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9 05-20-62123 (HS-2005A)\Crash Analysis\"/>
    </mc:Choice>
  </mc:AlternateContent>
  <xr:revisionPtr revIDLastSave="0" documentId="13_ncr:1_{AB11EC9B-AD5C-4E7E-9479-2693AFAAD78F}" xr6:coauthVersionLast="47" xr6:coauthVersionMax="47" xr10:uidLastSave="{00000000-0000-0000-0000-000000000000}"/>
  <bookViews>
    <workbookView xWindow="-96" yWindow="-96" windowWidth="23232" windowHeight="13872" tabRatio="823" firstSheet="5" activeTab="9"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s>
  <definedNames>
    <definedName name="_xlnm._FilterDatabase" localSheetId="11" hidden="1">After!$A$3:$M$3</definedName>
    <definedName name="_xlnm._FilterDatabase" localSheetId="10" hidden="1">Before!$A$3:$M$66</definedName>
    <definedName name="_xlnm._FilterDatabase" localSheetId="8" hidden="1">'Filtered Fiche'!$A$1:$X$175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Trends!$Q$2:$Q$4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Trends!$O$2:$O$19</definedName>
    <definedName name="ExternalData_1" localSheetId="16" hidden="1">'Email List'!$A$1:$T$32</definedName>
    <definedName name="TrendsMetricList">Trends!$S$2:$S$140</definedName>
    <definedName name="VehicleCodeList">Trends!$P$2:$P$18</definedName>
    <definedName name="YList">Trends!$R$2:$R$2</definedName>
  </definedNames>
  <calcPr fullCalcOnLoad="1"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<sst xmlns="http://schemas.openxmlformats.org/spreadsheetml/2006/main" count="10346" uniqueCount="1257">
  <si>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</si>
  <si>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</si>
  <si>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</si>
  <si>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</si>
  <si>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</si>
  <si>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</si>
  <si>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</si>
  <si>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</si>
  <si>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</si>
  <si>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</si>
  <si>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</si>
  <si>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</si>
  <si>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</si>
  <si>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</si>
  <si>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</si>
  <si>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</si>
  <si>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</si>
  <si>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</si>
  <si>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</si>
  <si>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</si>
  <si>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</si>
  <si>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</si>
  <si>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</si>
  <si>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</si>
  <si>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</si>
  <si>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</si>
  <si>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</si>
  <si>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</si>
  <si>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</si>
  <si>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</si>
  <si>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</si>
  <si>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</si>
  <si>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</si>
  <si>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</si>
  <si>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</si>
  <si>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</si>
  <si>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</si>
  <si>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</si>
  <si>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</si>
  <si>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</si>
  <si>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</si>
  <si>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</si>
  <si>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</si>
  <si>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</si>
  <si>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</si>
  <si>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</si>
  <si>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</si>
  <si>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</si>
  <si>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</si>
  <si>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</si>
  <si>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</si>
  <si>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</si>
  <si>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</si>
  <si>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</si>
  <si>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</si>
  <si>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</si>
  <si>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</si>
  <si>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</si>
  <si>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</si>
  <si>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</si>
  <si>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</si>
  <si>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</si>
  <si>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</si>
  <si>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</si>
  <si>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</si>
  <si>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</si>
  <si>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</si>
  <si>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</si>
  <si>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</si>
  <si>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</si>
  <si>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</si>
  <si>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</si>
  <si>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</si>
  <si>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</si>
  <si>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</si>
  <si>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</si>
  <si>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</si>
  <si>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</si>
  <si>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</si>
  <si>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</si>
  <si>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</si>
  <si>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</si>
  <si>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</si>
  <si>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</si>
  <si>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</si>
  <si>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</si>
  <si>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</si>
  <si>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</si>
  <si>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</si>
  <si>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</si>
  <si>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</si>
  <si>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</si>
  <si>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</si>
  <si>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</si>
  <si>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</si>
  <si>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</si>
  <si>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</si>
  <si>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</si>
  <si>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</si>
  <si>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</si>
  <si>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</si>
  <si>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</si>
  <si>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</si>
  <si>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</si>
  <si>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</si>
  <si>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</si>
  <si>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</si>
  <si>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</si>
  <si>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</si>
  <si>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</si>
  <si>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</si>
  <si>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</si>
  <si>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</si>
  <si>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</si>
  <si>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</si>
  <si>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</si>
  <si>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</si>
  <si>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</si>
  <si>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</si>
  <si>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</si>
  <si>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</si>
  <si>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</si>
  <si>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</si>
  <si>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</si>
  <si>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</si>
  <si>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</si>
  <si>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</si>
  <si>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</si>
  <si>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</si>
  <si>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</si>
  <si>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</si>
  <si>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</si>
  <si>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</si>
  <si>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</si>
  <si>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</si>
  <si>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</si>
  <si>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</si>
  <si>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</si>
  <si>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</si>
  <si>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</si>
  <si>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</si>
  <si>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</si>
  <si>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</si>
  <si>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</si>
  <si>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</si>
  <si>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</si>
  <si>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</si>
  <si>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</si>
  <si>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</si>
  <si>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</si>
  <si>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</si>
  <si>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</si>
  <si>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</si>
  <si>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</si>
  <si>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</si>
  <si>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</si>
  <si>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</si>
  <si>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</si>
  <si>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</si>
  <si>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</si>
  <si>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</si>
  <si>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</si>
  <si>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</si>
  <si>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</si>
  <si>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</si>
  <si>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</si>
  <si>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</si>
  <si>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</si>
  <si>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</si>
  <si>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</si>
  <si>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</si>
  <si>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</si>
  <si>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</si>
  <si>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</si>
  <si>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</si>
  <si>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</si>
  <si>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</si>
  <si>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</si>
  <si>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</si>
  <si>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</si>
  <si>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</si>
  <si>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</si>
  <si>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</si>
  <si>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</si>
  <si>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</si>
  <si>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</si>
  <si>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</si>
  <si>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</si>
  <si>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</si>
  <si>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</si>
  <si>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</si>
  <si>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</si>
  <si>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</si>
  <si>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</si>
  <si>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</si>
  <si>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</si>
  <si>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</si>
  <si>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</si>
  <si>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</si>
  <si>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</si>
  <si>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</si>
  <si>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</si>
  <si>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</si>
  <si>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</si>
  <si>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</si>
  <si>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</si>
  <si>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</si>
  <si>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</si>
  <si>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</si>
  <si>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</si>
  <si>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</si>
  <si>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</si>
  <si>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</si>
  <si>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</si>
  <si>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</si>
  <si>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</si>
  <si>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</si>
  <si>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</si>
  <si>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</si>
  <si>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</si>
  <si>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</si>
  <si>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</si>
  <si>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</si>
  <si>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</si>
  <si>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</si>
  <si>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</si>
  <si>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</si>
  <si>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</si>
  <si>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</si>
  <si>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</si>
  <si>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</si>
  <si>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</si>
  <si>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</si>
  <si>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</si>
  <si>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</si>
  <si>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</si>
  <si>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</si>
  <si>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</si>
  <si>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</si>
  <si>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</si>
  <si>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</si>
  <si>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</si>
  <si>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</si>
  <si>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</si>
  <si>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</si>
  <si>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</si>
  <si>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</si>
  <si>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</si>
  <si>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</si>
  <si>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</si>
  <si>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</si>
  <si>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</si>
  <si>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</si>
  <si>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</si>
  <si>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</si>
  <si>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</si>
  <si>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</si>
  <si>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</si>
  <si>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</si>
  <si>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</si>
  <si>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</si>
  <si>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</si>
  <si>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</si>
  <si>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</si>
  <si>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</si>
  <si>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</si>
  <si>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</si>
  <si>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</si>
  <si>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</si>
  <si>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</si>
  <si>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</si>
  <si>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</si>
  <si>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</si>
  <si>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</si>
  <si>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</si>
  <si>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</si>
  <si>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</si>
  <si>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</si>
  <si>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</si>
  <si>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</si>
  <si>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</si>
  <si>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</si>
  <si>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</si>
  <si>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</si>
  <si>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</si>
  <si>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</si>
  <si>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</si>
  <si>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</si>
  <si>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</si>
  <si>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</si>
  <si>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</si>
  <si>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</si>
  <si>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</si>
  <si>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</si>
  <si>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</si>
  <si>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</si>
  <si>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</si>
  <si>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</si>
  <si>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</si>
  <si>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</si>
  <si>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</si>
  <si>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</si>
  <si>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</si>
  <si>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</si>
  <si>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</si>
  <si>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</si>
  <si>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</si>
  <si>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</si>
  <si>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</si>
  <si>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</si>
  <si>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</si>
  <si>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</si>
  <si>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</si>
  <si>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</si>
  <si>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</si>
  <si>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</si>
  <si>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</si>
  <si>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</si>
  <si>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</si>
  <si>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</si>
  <si>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</si>
  <si>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</si>
  <si>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</si>
  <si>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</si>
  <si>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</si>
  <si>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</si>
  <si>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</si>
  <si>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</si>
  <si>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</si>
  <si>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</si>
  <si>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</si>
  <si>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</si>
  <si>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</si>
  <si>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</si>
  <si>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</si>
  <si>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</si>
  <si>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</si>
  <si>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</si>
  <si>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</si>
  <si>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</si>
  <si>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</si>
  <si>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</si>
  <si>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</si>
  <si>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</si>
  <si>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</si>
  <si>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</si>
  <si>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</si>
  <si>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</si>
  <si>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</si>
  <si>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</si>
  <si>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</si>
  <si>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</si>
  <si>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</si>
  <si>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</si>
  <si>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</si>
  <si>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</si>
  <si>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</si>
  <si>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</si>
  <si>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</si>
  <si>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</si>
  <si>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</si>
  <si>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</si>
  <si>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</si>
  <si>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</si>
  <si>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</si>
  <si>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</si>
  <si>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</si>
  <si>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</si>
  <si>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</si>
  <si>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</si>
  <si>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</si>
  <si>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</si>
  <si>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</si>
  <si>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</si>
  <si>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</si>
  <si>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</si>
  <si>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</si>
  <si>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</si>
  <si>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</si>
  <si>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</si>
  <si>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</si>
  <si>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</si>
  <si>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</si>
  <si>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</si>
  <si>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</si>
  <si>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</si>
  <si>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</si>
  <si>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</si>
  <si>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</si>
  <si>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</si>
  <si>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</si>
  <si>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</si>
  <si>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</si>
  <si>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</si>
  <si>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</si>
  <si>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</si>
  <si>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</si>
  <si>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</si>
  <si>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</si>
  <si>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</si>
  <si>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</si>
  <si>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</si>
  <si>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</si>
  <si>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</si>
  <si>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</si>
  <si>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</si>
  <si>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</si>
  <si>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</si>
  <si>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</si>
  <si>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</si>
  <si>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</si>
  <si>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</si>
  <si>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</si>
  <si>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</si>
  <si>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</si>
  <si>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</si>
  <si>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</si>
  <si>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</si>
  <si>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</si>
  <si>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</si>
  <si>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</si>
  <si>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</si>
  <si>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</si>
  <si>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</si>
  <si>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</si>
  <si>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</si>
  <si>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</si>
  <si>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</si>
  <si>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</si>
  <si>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</si>
  <si>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</si>
  <si>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</si>
  <si>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</si>
  <si>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</si>
  <si>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</si>
  <si>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</si>
  <si>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</si>
  <si>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</si>
  <si>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</si>
  <si>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</si>
  <si>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</si>
  <si>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</si>
  <si>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</si>
  <si>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</si>
  <si>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</si>
  <si>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</si>
  <si>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</si>
  <si>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</si>
  <si>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</si>
  <si>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</si>
  <si>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</si>
  <si>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</si>
  <si>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</si>
  <si>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</si>
  <si>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</si>
  <si>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</si>
  <si>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</si>
  <si>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</si>
  <si>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</si>
  <si>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</si>
  <si>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</si>
  <si>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</si>
  <si>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</si>
  <si>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</si>
  <si>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</si>
  <si>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</si>
  <si>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</si>
  <si>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</si>
  <si>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</si>
  <si>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</si>
  <si>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</si>
  <si>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</si>
  <si>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</si>
  <si>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</si>
  <si>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</si>
  <si>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</si>
  <si>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</si>
  <si>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</si>
  <si>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</si>
  <si>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</si>
  <si>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</si>
  <si>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</si>
  <si>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</si>
  <si>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</si>
  <si>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</si>
  <si>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</si>
  <si>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</si>
  <si>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</si>
  <si>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</si>
  <si>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</si>
  <si>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</si>
  <si>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</si>
  <si>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</si>
  <si>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</si>
  <si>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</si>
  <si>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</si>
  <si>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</si>
  <si>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</si>
  <si>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</si>
  <si>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</si>
  <si>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</si>
  <si>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</si>
  <si>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</si>
  <si>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</si>
  <si>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</si>
  <si>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</si>
  <si>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</si>
  <si>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</si>
  <si>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</si>
  <si>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</si>
  <si>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</si>
  <si>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</si>
  <si>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</si>
  <si>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</si>
  <si>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</si>
  <si>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</si>
  <si>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</si>
  <si>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</si>
  <si>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</si>
  <si>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</si>
  <si>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</si>
  <si>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</si>
  <si>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</si>
  <si>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</si>
  <si>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</si>
  <si>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</si>
  <si>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</si>
  <si>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</si>
  <si>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</si>
  <si>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</si>
  <si>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</si>
  <si>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</si>
  <si>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</si>
  <si>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</si>
  <si>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</si>
  <si>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</si>
  <si>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</si>
  <si>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</si>
  <si>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</si>
  <si>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</si>
  <si>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</si>
  <si>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</si>
  <si>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</si>
  <si>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</si>
  <si>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</si>
  <si>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</si>
  <si>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</si>
  <si>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</si>
  <si>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</si>
  <si>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</si>
  <si>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</si>
  <si>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</si>
  <si>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</si>
  <si>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</si>
  <si>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</si>
  <si>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</si>
  <si>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</si>
  <si>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</si>
  <si>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</si>
  <si>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</si>
  <si>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</si>
  <si>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</si>
  <si>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</si>
  <si>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</si>
  <si>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</si>
  <si>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</si>
  <si>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</si>
  <si>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</si>
  <si>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</si>
  <si>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</si>
  <si>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</si>
  <si>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</si>
  <si>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</si>
  <si>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</si>
  <si>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</si>
  <si>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</si>
  <si>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</si>
  <si>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</si>
  <si>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</si>
  <si>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</si>
  <si>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</si>
  <si>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</si>
  <si>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</si>
  <si>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</si>
  <si>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</si>
  <si>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</si>
  <si>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</si>
  <si>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</si>
  <si>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</si>
  <si>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</si>
  <si>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</si>
  <si>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</si>
  <si>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</si>
  <si>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</si>
  <si>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</si>
  <si>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</si>
  <si>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</si>
  <si>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</si>
  <si>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</si>
  <si>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</si>
  <si>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</si>
  <si>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</si>
  <si>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</si>
  <si>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</si>
  <si>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</si>
  <si>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</si>
  <si>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</si>
  <si>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</si>
  <si>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</si>
  <si>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</si>
  <si>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</si>
  <si>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</si>
  <si>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</si>
  <si>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</si>
  <si>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</si>
  <si>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</si>
  <si>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</si>
  <si>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</si>
  <si>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</si>
  <si>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</si>
  <si>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</si>
  <si>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</si>
  <si>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</si>
  <si>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</si>
  <si>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</si>
  <si>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</si>
  <si>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</si>
  <si>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</si>
  <si>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</si>
  <si>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</si>
  <si>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</si>
  <si>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</si>
  <si>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</si>
  <si>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</si>
  <si>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</si>
  <si>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</si>
  <si>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</si>
  <si>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</si>
  <si>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</si>
  <si>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</si>
  <si>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</si>
  <si>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</si>
  <si>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</si>
  <si>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</si>
  <si>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</si>
  <si>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</si>
  <si>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</si>
  <si>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</si>
  <si>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</si>
  <si>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</si>
  <si>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</si>
  <si>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</si>
  <si>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</si>
  <si>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</si>
  <si>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</si>
  <si>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</si>
  <si>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</si>
  <si>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</si>
  <si>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</si>
  <si>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</si>
  <si>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</si>
  <si>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</si>
  <si>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</si>
  <si>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</si>
  <si>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</si>
  <si>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</si>
  <si>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</si>
  <si>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</si>
  <si>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</si>
  <si>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</si>
  <si>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</si>
  <si>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</si>
  <si>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</si>
  <si>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</si>
  <si>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</si>
  <si>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</si>
  <si>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</si>
  <si>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</si>
  <si>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</si>
  <si>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</si>
  <si>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</si>
  <si>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</si>
  <si>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</si>
  <si>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</si>
  <si>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</si>
  <si>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</si>
  <si>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</si>
  <si>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</si>
  <si>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</si>
  <si>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</si>
  <si>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</si>
  <si>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</si>
  <si>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</si>
  <si>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</si>
  <si>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</si>
  <si>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</si>
  <si>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</si>
  <si>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</si>
  <si>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</si>
  <si>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</si>
  <si>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</si>
  <si>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</si>
  <si>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</si>
  <si>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</si>
  <si>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</si>
  <si>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</si>
  <si>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</si>
  <si>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</si>
  <si>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</si>
  <si>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</si>
  <si>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</si>
  <si>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</si>
  <si>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</si>
  <si>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</si>
  <si>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</si>
  <si>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</si>
  <si>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</si>
  <si>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</si>
  <si>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</si>
  <si>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</si>
  <si>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</si>
  <si>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</si>
  <si>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</si>
  <si>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</si>
  <si>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</si>
  <si>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</si>
  <si>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</si>
  <si>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</si>
  <si>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</si>
  <si>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</si>
  <si>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</si>
  <si>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</si>
  <si>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</si>
  <si>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</si>
  <si>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</si>
  <si>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Frontal Impact Crashes in Intersection (Angle, LTDR, LTSR, RTDR, RTSR, Head-On)</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</si>
  <si>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</si>
  <si>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</si>
  <si>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</si>
  <si>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</si>
  <si>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</si>
  <si>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</si>
  <si>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</si>
  <si>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</si>
  <si>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</si>
  <si>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</si>
  <si>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</si>
  <si>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</si>
  <si>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</si>
  <si>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</si>
  <si>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</si>
  <si>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</si>
  <si>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</si>
  <si>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</si>
  <si>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</si>
  <si>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</si>
  <si>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</si>
  <si>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</si>
  <si>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</si>
  <si>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SW</t>
  </si>
  <si>
    <t>NE</t>
  </si>
  <si>
    <t>NW</t>
  </si>
  <si>
    <t>MAIN</t>
  </si>
  <si>
    <t>IS?</t>
  </si>
  <si>
    <t>Dist From Int</t>
  </si>
  <si>
    <t>Location Notes</t>
  </si>
  <si>
    <t>IS</t>
  </si>
  <si>
    <t>NIS</t>
  </si>
  <si>
    <t>SBT</t>
  </si>
  <si>
    <t>DEL</t>
  </si>
  <si>
    <t>SBL</t>
  </si>
  <si>
    <t>EBT</t>
  </si>
  <si>
    <t>NOT IN STUDY - REPORT NOT REVIEWED</t>
  </si>
  <si>
    <t>NOT IN STUDY - REPORT REVIEWED</t>
  </si>
  <si>
    <t>DELETED FROM STUDY</t>
  </si>
  <si>
    <t>Chris Bahret, PE</t>
  </si>
  <si>
    <t>VHB</t>
  </si>
  <si>
    <t>IN STUDY</t>
  </si>
  <si>
    <t>ADDED TO STUDY</t>
  </si>
  <si>
    <t>\\vhb.com\gbl\Client\039990.004\05_Work\NCDOTProjNum\Traffic Safety\Documents\Accessible Worksheets</t>
  </si>
  <si>
    <t>Crash Type</t>
  </si>
  <si>
    <t>Vehicle 1</t>
  </si>
  <si>
    <t>Vehicle 2</t>
  </si>
  <si>
    <t>WBL</t>
  </si>
  <si>
    <t>NBT</t>
  </si>
  <si>
    <t>Frontal impact crashes involving the NB approach</t>
  </si>
  <si>
    <t>Frontal impact crashes involving the SB approach</t>
  </si>
  <si>
    <t>LTDR crashes (WB turning vehicle)</t>
  </si>
  <si>
    <t>Lane departure crashes (total)</t>
  </si>
  <si>
    <t>Night crashes</t>
  </si>
  <si>
    <t>Rear end crashes (total)</t>
  </si>
  <si>
    <t>Pick</t>
  </si>
  <si>
    <t>Pick a Trends line in J and the label and counts fill in; edit K/L/M freely afterwards.</t>
  </si>
  <si>
    <t>05-20-62123 (TIP #HS-2005A)</t>
  </si>
  <si>
    <t>SR 1602 (Main Street) at SR 1207 (Spring Street)</t>
  </si>
  <si>
    <t>36.310027, -78.587328</t>
  </si>
  <si>
    <t>Oxford</t>
  </si>
  <si>
    <t>Construct a Mini-Roundabout including pedestrian upgrades</t>
  </si>
  <si>
    <t xml:space="preserve">If any patterns of pedestrian crashes emerge, they will be noted. </t>
  </si>
  <si>
    <t>West</t>
  </si>
  <si>
    <t>SR 1602 (Main Street)</t>
  </si>
  <si>
    <t>SR 1207 (Spring Street)</t>
  </si>
  <si>
    <t>Location ID</t>
  </si>
  <si>
    <t>VOLUME</t>
  </si>
  <si>
    <t>Direction</t>
  </si>
  <si>
    <t>2-WAY</t>
  </si>
  <si>
    <t>RouteID</t>
  </si>
  <si>
    <t>Located On</t>
  </si>
  <si>
    <t>SR 1207 (W Spring St)</t>
  </si>
  <si>
    <t>Approach</t>
  </si>
  <si>
    <t>WEST OF</t>
  </si>
  <si>
    <t>Crossroad</t>
  </si>
  <si>
    <t>SR 1602 (Main St)</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</si>
  <si>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</si>
  <si>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</si>
  <si>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</si>
  <si>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</si>
  <si>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</si>
  <si>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</si>
  <si>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</si>
  <si>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</si>
  <si>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</si>
  <si>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</si>
  <si>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</si>
  <si>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</si>
  <si>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</si>
  <si>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</si>
  <si>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</si>
  <si>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</si>
  <si>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</si>
  <si>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</si>
  <si>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</si>
  <si>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</si>
  <si>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</si>
  <si>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</si>
  <si>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</si>
  <si>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</si>
  <si>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</si>
  <si>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</si>
  <si>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</si>
  <si>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</si>
  <si>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 Spring St</t>
  </si>
  <si>
    <t>EAST OF</t>
  </si>
  <si>
    <t>NS</t>
  </si>
  <si>
    <t>Local</t>
  </si>
  <si>
    <t>SOUTH OF</t>
  </si>
  <si>
    <t>US 158 BUS</t>
  </si>
  <si>
    <t>SR 1207 W Spring St</t>
  </si>
  <si>
    <t>Google Earth aerials shows project completed between March 2021 and March 2022, Google Street View shows project implemented as of November 2022, NearMap shows project implemented as of February 2022</t>
  </si>
  <si>
    <t>E Spring Street</t>
  </si>
  <si>
    <t>CREEDMOOR</t>
  </si>
  <si>
    <t>*LCL W WILTON AVE</t>
  </si>
  <si>
    <t>*LCL 205 N MAIN ST</t>
  </si>
  <si>
    <t>SANDERFORD</t>
  </si>
  <si>
    <t>*LCL W SANDERFORD ST</t>
  </si>
  <si>
    <t>MASONIC</t>
  </si>
  <si>
    <t>*PP 414 S MAIN ST</t>
  </si>
  <si>
    <t>*LCL PERRY FARM RD</t>
  </si>
  <si>
    <t>ELM</t>
  </si>
  <si>
    <t>PVA CITY TAVERN PVA</t>
  </si>
  <si>
    <t>MILL</t>
  </si>
  <si>
    <t>PVA DOLLAR GENERAL PVA</t>
  </si>
  <si>
    <t>CHURCH</t>
  </si>
  <si>
    <t>PVA DOLLAR TREE</t>
  </si>
  <si>
    <t>PVA FAMILY FARE</t>
  </si>
  <si>
    <t>LION</t>
  </si>
  <si>
    <t>PVA FAMILY FARE STORE</t>
  </si>
  <si>
    <t>OXFORD</t>
  </si>
  <si>
    <t>PVA HICKS GYM</t>
  </si>
  <si>
    <t>SPRING</t>
  </si>
  <si>
    <t>COOPER</t>
  </si>
  <si>
    <t>PVA LIBRARY PVA</t>
  </si>
  <si>
    <t>PVA MAIN ST</t>
  </si>
  <si>
    <t>PVA 404 N MAIN ST</t>
  </si>
  <si>
    <t>PVA FBC ACADEMY</t>
  </si>
  <si>
    <t>PVA POST OFFICE PVA</t>
  </si>
  <si>
    <t>PVA PVA CITY TAVERN</t>
  </si>
  <si>
    <t>GRAY</t>
  </si>
  <si>
    <t>PVA PVA OF HIX GYM</t>
  </si>
  <si>
    <t>PVA COOPER ST</t>
  </si>
  <si>
    <t>PVA SOCIAL SERVICES LOT</t>
  </si>
  <si>
    <t>HILLSBORO</t>
  </si>
  <si>
    <t>PVA SOSSOMANS PVA</t>
  </si>
  <si>
    <t>US 15</t>
  </si>
  <si>
    <t>PVA SUNTRUST BANK PVA</t>
  </si>
  <si>
    <t>PVA SUNTRUST PVA</t>
  </si>
  <si>
    <t>PVA USPS PVA</t>
  </si>
  <si>
    <t>WALL</t>
  </si>
  <si>
    <t>SALEM</t>
  </si>
  <si>
    <t>*PP 112 SALEM RD</t>
  </si>
  <si>
    <t>EDGEWOOD</t>
  </si>
  <si>
    <t>WILLIAMSBORO</t>
  </si>
  <si>
    <t>LANDIS</t>
  </si>
  <si>
    <t>*LCL HORNER SIDING RD</t>
  </si>
  <si>
    <t>*LCL SPING ST</t>
  </si>
  <si>
    <t>VHB_PEDBIKE</t>
  </si>
  <si>
    <t>*LCL T&amp;M PVA</t>
  </si>
  <si>
    <t>SR 1522</t>
  </si>
  <si>
    <t>PVA OXFORD PREP SCHOOL</t>
  </si>
  <si>
    <t>SR 1523</t>
  </si>
  <si>
    <t>PVA WRIGHT FUNERAL HOME</t>
  </si>
  <si>
    <t>SR 1515</t>
  </si>
  <si>
    <t>GILLIAM</t>
  </si>
  <si>
    <t>FRONT</t>
  </si>
  <si>
    <t>MCCLANAHAN</t>
  </si>
  <si>
    <t>PVA BANK ST</t>
  </si>
  <si>
    <t>PVA WALL ST</t>
  </si>
  <si>
    <t>DOGWOOD</t>
  </si>
  <si>
    <t>*LCL E LYON STREET</t>
  </si>
  <si>
    <t>NC 50</t>
  </si>
  <si>
    <t>*LCL NC-50</t>
  </si>
  <si>
    <t>ROGER</t>
  </si>
  <si>
    <t>*LCL W LYON STREET</t>
  </si>
  <si>
    <t>NC 56</t>
  </si>
  <si>
    <t>PARK</t>
  </si>
  <si>
    <t>FLEMING</t>
  </si>
  <si>
    <t>LAKE</t>
  </si>
  <si>
    <t>PVA MAIN STREET</t>
  </si>
  <si>
    <t>DOUGLAS</t>
  </si>
  <si>
    <t>WILTON</t>
  </si>
  <si>
    <t>*LCL CRESENT HEIGHTS DRIVE</t>
  </si>
  <si>
    <t>*US 15 P</t>
  </si>
  <si>
    <t>DURHAM</t>
  </si>
  <si>
    <t>CRESCENT</t>
  </si>
  <si>
    <t>MARTIN LUTHER KING</t>
  </si>
  <si>
    <t>NC 96</t>
  </si>
  <si>
    <t>GRANVILLE</t>
  </si>
  <si>
    <t>SYCAMORE</t>
  </si>
  <si>
    <t>HUNT</t>
  </si>
  <si>
    <t>RALEIGH</t>
  </si>
  <si>
    <t>ORANGE</t>
  </si>
  <si>
    <t>BELL</t>
  </si>
  <si>
    <t>HIGH</t>
  </si>
  <si>
    <t>BULLOCK</t>
  </si>
  <si>
    <t>PVA SPRING ST</t>
  </si>
  <si>
    <t>PVA SPRING STREET</t>
  </si>
  <si>
    <t>LEWIS</t>
  </si>
  <si>
    <t>MAPLE</t>
  </si>
  <si>
    <t>SR 1004</t>
  </si>
  <si>
    <t>SUNSET</t>
  </si>
  <si>
    <t>SR 1127</t>
  </si>
  <si>
    <t>MOSS</t>
  </si>
  <si>
    <t>SR 1161</t>
  </si>
  <si>
    <t>SR 1602</t>
  </si>
  <si>
    <t>HIGHLAND</t>
  </si>
  <si>
    <t>SR 1195</t>
  </si>
  <si>
    <t>PVA OXFORD PARK BLVD</t>
  </si>
  <si>
    <t>HORNER SIDING</t>
  </si>
  <si>
    <t>SR 1521</t>
  </si>
  <si>
    <t>US 158</t>
  </si>
  <si>
    <t>SR 1524</t>
  </si>
  <si>
    <t>SR 1520</t>
  </si>
  <si>
    <t>SR 1528</t>
  </si>
  <si>
    <t>US 158BUS</t>
  </si>
  <si>
    <t>PVA EDGEWOOD DR</t>
  </si>
  <si>
    <t>SR 1513</t>
  </si>
  <si>
    <t>SR 1533</t>
  </si>
  <si>
    <t>SR 1525</t>
  </si>
  <si>
    <t>SR 1526</t>
  </si>
  <si>
    <t>SR 1304</t>
  </si>
  <si>
    <t>CL-VANCE</t>
  </si>
  <si>
    <t>AIRPORT</t>
  </si>
  <si>
    <t>SR 1126</t>
  </si>
  <si>
    <t>SR 1146</t>
  </si>
  <si>
    <t>SR 1646</t>
  </si>
  <si>
    <t>SR 1662</t>
  </si>
  <si>
    <t>SR 1650</t>
  </si>
  <si>
    <t>COGGESHALL</t>
  </si>
  <si>
    <t>LITTLE JOHN</t>
  </si>
  <si>
    <t>PVA W SPRING ST</t>
  </si>
  <si>
    <t>COURT</t>
  </si>
  <si>
    <t>MALULI</t>
  </si>
  <si>
    <t>PVA COURT ST</t>
  </si>
  <si>
    <t>SR 1613</t>
  </si>
  <si>
    <t>SR 1617</t>
  </si>
  <si>
    <t>SR 1639</t>
  </si>
  <si>
    <t>HOLLY CREEK</t>
  </si>
  <si>
    <t>*LCL HOLLY CREEK LANDING</t>
  </si>
  <si>
    <t>MANGUM</t>
  </si>
  <si>
    <t>SAM MOSS-HAYES</t>
  </si>
  <si>
    <t>OAK</t>
  </si>
  <si>
    <t>STOVALL</t>
  </si>
  <si>
    <t>SR 1415</t>
  </si>
  <si>
    <t>SR 1700</t>
  </si>
  <si>
    <t>COZART</t>
  </si>
  <si>
    <t>SR 1724</t>
  </si>
  <si>
    <t>INDUSTRY</t>
  </si>
  <si>
    <t>COLLEGE</t>
  </si>
  <si>
    <t>I 85</t>
  </si>
  <si>
    <t>NEW COLLEGE</t>
  </si>
  <si>
    <t>PINECONE</t>
  </si>
  <si>
    <t>*LCL MILITARY STREET</t>
  </si>
  <si>
    <t>backing from a W Spring angled space beside the roundabout, Post Office and Library on the diagram, about 60' W of Main</t>
  </si>
  <si>
    <t>Unk</t>
  </si>
  <si>
    <t>V2</t>
  </si>
  <si>
    <t>Backing: unit 2 backed from a W Spring space into EB unit 1; V2 at fault</t>
  </si>
  <si>
    <t>backing from an angled space on W Spring next to the Main St curb returns per diagram, unit 2 EB toward Main; within 150'</t>
  </si>
  <si>
    <t>V1</t>
  </si>
  <si>
    <t>Backing: unit 1 backed from a W Spring space into EB unit 2; V1 at fault</t>
  </si>
  <si>
    <t>no diagram (vehicles moved); narrative puts V2 EB on Spring through the stop sign into V1 NB on Main, at the junction</t>
  </si>
  <si>
    <t>Angle: EB unit 2 ran the Spring St stop sign into NB unit 1; V2 at fault</t>
  </si>
  <si>
    <t>at Main/Spring per diagram and narrative, V1 right turn from Main onto Spring, V2 through on Spring</t>
  </si>
  <si>
    <t>SBR</t>
  </si>
  <si>
    <t>WBT</t>
  </si>
  <si>
    <t>RTDR: unit 1 turning right from Main onto Spring struck by through unit 2; V2 at fault</t>
  </si>
  <si>
    <t>RE at the E Spring stop line at Main per diagram and narrative</t>
  </si>
  <si>
    <t>RE: WB unit 1 struck stopped unit 2 at the E Spring stop line; V1 at fault</t>
  </si>
  <si>
    <t>unit 1 crossed Main onto Spring and struck a parked car in the first angled spaces past the corner per diagram and narrative; within 150'</t>
  </si>
  <si>
    <t>Parked: WB unit 1 struck a parked car in the W Spring angled parking; V1 at fault; S blank in TEAAS; report codes injury unknown (6) for all occupants, counted as O</t>
  </si>
  <si>
    <t>at Main and Spring per narrative, 0 ft</t>
  </si>
  <si>
    <t>EBL</t>
  </si>
  <si>
    <t>LTSR: unit 2 turning left from Spring onto Main across WB unit 1; V2 at fault</t>
  </si>
  <si>
    <t>in the roundabout per diagram and narrative</t>
  </si>
  <si>
    <t>Angle: WB unit 1 entered the roundabout into SB unit 2 already in the roundabout; V1 at fault</t>
  </si>
  <si>
    <t>entering the roundabout per narrative, at Spring St per location block</t>
  </si>
  <si>
    <t>SSSD: unit 1 failed to yield entering the roundabout and sideswiped unit 2; V1 at fault</t>
  </si>
  <si>
    <t>in the roundabout at Main and E Spring per narrative, Unit 2 entered from E Spring through the yield</t>
  </si>
  <si>
    <t>WBR</t>
  </si>
  <si>
    <t>RTDR: unit 2 entered from E Spring through the yield into NB unit 1 in the roundabout; V2 at fault; S blank in TEAAS; report codes injury unknown (6) for all occupants, counted as O</t>
  </si>
  <si>
    <t>parked car in the angled row in front of Oxford Baptist Church, drawn mid-block between E Spring and Little John per diagram, about 150' to 200' N; coded at E Spring with no distance</t>
  </si>
  <si>
    <t>Parked: NB unit 1 sideswiped parked unit 2; V1 at fault</t>
  </si>
  <si>
    <t>drawn in the Post Office angled row opposite the middle of the building per diagram, about 200' N of Spring; coded 100' N</t>
  </si>
  <si>
    <t>Backing: unit 1 backed from a Main St space into parked unit 2; V1 at fault</t>
  </si>
  <si>
    <t>backing from a Main St space into SB unit 2 per narrative, no diagram; SB traffic passes the west side Post Office row, which starts about 140' N of Spring; not placed within 150'</t>
  </si>
  <si>
    <t>Backing: unit 1 backed from a space into unit 2 behind it; V1 at fault</t>
  </si>
  <si>
    <t>Post Office angled parking row on Main per diagram (row starts about 140' N of Spring); coded at Spring with no distance, &gt;150'</t>
  </si>
  <si>
    <t>Backing: unit 1 reversed from a space into SB unit 2; V1 at fault</t>
  </si>
  <si>
    <t>Post Office angled parking row on Main per diagram, unit 1 ran up on the Post Office curb; coded at Spring with no distance, &gt;150'</t>
  </si>
  <si>
    <t>Backing: unit 1 backed from a space into SB unit 2 waiting in the lane; V1 at fault</t>
  </si>
  <si>
    <t>drawn in front of the U.S. Post Office, 144 Main St, mid-building per diagram, about 200' N of Spring; coded 100' NW of Spring</t>
  </si>
  <si>
    <t>Backing: unit 1 backed from a Post Office space into parked unit 2; V1 at fault</t>
  </si>
  <si>
    <t>backing from a Post Office parking space on Main per narrative, no diagram; the row starts about 140' N of Spring, &gt;150'</t>
  </si>
  <si>
    <t>Backing: unit 2 backed from a space into parked unit 1; V2 at fault</t>
  </si>
  <si>
    <t>location block 100' N of Front St, diagram in the Post Office angled parking row on Main (140' to 250' N of Spring); not placed within 150'</t>
  </si>
  <si>
    <t>Backing: unit 1 backed from an angled space into parked unit 2; V1 at fault</t>
  </si>
  <si>
    <t>at Orange St per diagram, 1,730' W of Main</t>
  </si>
  <si>
    <t>RE: vehicle 1 stated he was down shifting his car and did not have enough time to stop; V1 at fault</t>
  </si>
  <si>
    <t>on SR 1602 merge ramp 50' S of US 158 per diagram and narrative, &gt;150'</t>
  </si>
  <si>
    <t>NBR</t>
  </si>
  <si>
    <t>RE: vehicle's 1 and 2 were traveling north on sr 1602 attempting to merge onto us 158; V1 at fault</t>
  </si>
  <si>
    <t>in Main St angled parking mid-block between Williamsboro and Spring per diagram, about 160' N of Spring, &gt;150'</t>
  </si>
  <si>
    <t>Backing: "vehicle one was parked facing east on main street when it was struck in the left rear...; V2 at fault</t>
  </si>
  <si>
    <t>Post Office angled parking row on Main per diagram, coded from Williamsboro toward Spring with no distance; row starts 140' N of Spring, not placed within 150'</t>
  </si>
  <si>
    <t>Backing: unit 1 backed from a parking space into unit 2 stopped in the lane; V1 at fault</t>
  </si>
  <si>
    <t>parked in front of the Post Office on Main, coded 200' N of Spring; &gt;150'</t>
  </si>
  <si>
    <t>Parked: hit and run on a parked vehicle; V1 at fault</t>
  </si>
  <si>
    <t>rural SR 1602 at Shalag US Inc PVA, 0.6 mi S of US 158 outside town per location block and diagram, &gt;150'</t>
  </si>
  <si>
    <t>RE: "vehicle's 1, 2, and 3 were traveling north on sr 1602; V1 at fault</t>
  </si>
  <si>
    <t>at Little John St per diagram and narrative, backing from Main St parking space, &gt;150'</t>
  </si>
  <si>
    <t>Backing: vehicle 2 was parked on main st</t>
  </si>
  <si>
    <t>angled parking on Main 60' S of Williamsboro per location block and diagram, about 700' N of Spring, &gt;150'</t>
  </si>
  <si>
    <t>Parked: hr i was dispatched to main street in reference to an accident; V1 at fault</t>
  </si>
  <si>
    <t>entirely in the SunTrust Bank parking lot (PVA) per diagram and narrative; parking lot crash</t>
  </si>
  <si>
    <t>Backing: unit 1 backed into unit 2 leaving a space in the lot; V1 at fault</t>
  </si>
  <si>
    <t>in a PVA off W Spring per location block, no diagram (hit and run); parking lot crash</t>
  </si>
  <si>
    <t>Parked: hit and run on a parked vehicle in a driveway; V2 at fault</t>
  </si>
  <si>
    <t>Post Office angled parking on Main per diagram, coded 500' N of Spring; &gt;150'</t>
  </si>
  <si>
    <t>Backing: unit 1 backed from a space into unit 2; V1 at fault</t>
  </si>
  <si>
    <t>impact drawn N of Little John St in SB Main lane per diagram, unit 1 fled down Little John, &gt;150'</t>
  </si>
  <si>
    <t>RE: vehicle 1 and 2 were traveling south on main st; V1 at fault</t>
  </si>
  <si>
    <t>at E Front St crosswalk per diagram and narrative, 1,100' S of Spring</t>
  </si>
  <si>
    <t>RE: unit 1 was traveling south down main st; V1 at fault</t>
  </si>
  <si>
    <t>at 703 E Spring St per narrative, coded at Williamsboro St, mid-block segment on diagram, &gt;150'</t>
  </si>
  <si>
    <t>Parked: hrs i was dispatched to 703 e spring st in reference to a vehicle accident; V1 at fault</t>
  </si>
  <si>
    <t>at MLK Jr Ave per narrative and diagram, 875' W of Main</t>
  </si>
  <si>
    <t>Overturn: vehicle 1 was traveling east on spring st headed towards mlk jr; V1 at fault</t>
  </si>
  <si>
    <t>at Park Dr per location block and narrative, 3,410' E of Main</t>
  </si>
  <si>
    <t>NBL</t>
  </si>
  <si>
    <t>RORS: hrs i was dispatched to the intersection of e spring st and park dr in reference to a hit...; V1 at fault</t>
  </si>
  <si>
    <t>at Orange St per narrative and location block, 1,730' W of Main</t>
  </si>
  <si>
    <t>LTSR: while unit 2 was traveling north on west spring st, unit 1 was traveling south on west...; V1 at fault</t>
  </si>
  <si>
    <t>rural curve on SR 1602 outside city limits 0.1 mi E of US 158 per diagram and location block, &gt;150'</t>
  </si>
  <si>
    <t>RORR: vehicle 1 was traveling west on sr1602; V1 at fault</t>
  </si>
  <si>
    <t>parked at the Post Office on Main, coded 150' N of Little John (about 470' N of Spring); &gt;150'</t>
  </si>
  <si>
    <t>Parked: unattended parked vehicle struck, hit and run; V1 at fault</t>
  </si>
  <si>
    <t>entirely in the Library parking lot off W Spring per diagram and narrative; parking lot crash</t>
  </si>
  <si>
    <t>Backing: unit 1 backed out of a space into unit 2 in the lot; V1 at fault</t>
  </si>
  <si>
    <t>at Little John St per location block, no diagram, narrative does not place it nearer Spring, &gt;150'</t>
  </si>
  <si>
    <t>RE: unit 1 stated she was traveling north on main street as unit 2 was in front of her; V1 at fault</t>
  </si>
  <si>
    <t>at MLK Jr Ave per narrative and location block, 875' W of Main</t>
  </si>
  <si>
    <t>SSSD: i was dispatched to a hit and run at e spring street and mlk; V2 at fault</t>
  </si>
  <si>
    <t>at MLK Jr Ave per narrative, 875' W of Main</t>
  </si>
  <si>
    <t>LTSR: unit 1 was traveling west on w spring st; V1 at fault</t>
  </si>
  <si>
    <t>backed into parked car at 200 W Spring St per narrative, no diagram (vehicles moved), coded toward MLK; 200 block is W of Wall St, &gt;150'</t>
  </si>
  <si>
    <t>Backing: i responded to 200 w spring st due to a call about a vehicle collision with only property...; V1 at fault</t>
  </si>
  <si>
    <t>backing from Main St parking space, coded from Hillsboro toward Spring with distance blank, diagram shows no cross street or landmark; not placed within 150' of Spring</t>
  </si>
  <si>
    <t>Backing: i was on main st when i saw unit 1 back into unit 2 from a parking spot; V1 at fault</t>
  </si>
  <si>
    <t>T&amp;M Foodmart PVA on W Spring, drawn between MLK Jr Ave and Granville St on 106955408, about 1,000' W of Main</t>
  </si>
  <si>
    <t>LTDR: i ofc b; V1 at fault</t>
  </si>
  <si>
    <t>entirely in the Post Office parking lot off W Spring per diagram; parking lot crash</t>
  </si>
  <si>
    <t>Backing: unit 1 backed into parked unit 2 in the lot; V1 at fault</t>
  </si>
  <si>
    <t>Trends</t>
  </si>
  <si>
    <t>Crash types</t>
  </si>
  <si>
    <t>Vehicle codes</t>
  </si>
  <si>
    <t>At fault</t>
  </si>
  <si>
    <t>Target</t>
  </si>
  <si>
    <t>Trends lines (One Pager picks)</t>
  </si>
  <si>
    <t>Live counts on Before and After (rows 4 to 1003). The One Pager picks a line by its label in column F or L.</t>
  </si>
  <si>
    <t>Angle crashes (NB vehicle 1)</t>
  </si>
  <si>
    <t>Angle crashes (SB vehicle 1)</t>
  </si>
  <si>
    <t>Angle crashes (EB vehicle 1)</t>
  </si>
  <si>
    <t>Total crashes</t>
  </si>
  <si>
    <t>Target 1 crashes</t>
  </si>
  <si>
    <t>NBU</t>
  </si>
  <si>
    <t>Angle crashes (WB vehicle 1)</t>
  </si>
  <si>
    <t>Crashes with a crash type</t>
  </si>
  <si>
    <t>Lane departure crashes</t>
  </si>
  <si>
    <t>Angle crashes (unclear direction vehicle 1)</t>
  </si>
  <si>
    <t>Crashes without a crash type</t>
  </si>
  <si>
    <t>Rear end crashes</t>
  </si>
  <si>
    <t>Angle crashes (total)</t>
  </si>
  <si>
    <t>Sum of the crash type totals</t>
  </si>
  <si>
    <t>Target 2 crashes</t>
  </si>
  <si>
    <t>LTSR crashes (NB turning vehicle)</t>
  </si>
  <si>
    <t>Check</t>
  </si>
  <si>
    <t>Target 3 crashes</t>
  </si>
  <si>
    <t>SBU</t>
  </si>
  <si>
    <t>LTSR crashes (SB turning vehicle)</t>
  </si>
  <si>
    <t>LTSR crashes (EB turning vehicle)</t>
  </si>
  <si>
    <t>LTSR crashes (WB turning vehicle)</t>
  </si>
  <si>
    <t>Frontal impact crashes (NB at fault)</t>
  </si>
  <si>
    <t>EBR</t>
  </si>
  <si>
    <t>LTSR crashes (unclear direction turning vehicle)</t>
  </si>
  <si>
    <t>Frontal impact crashes (SB at fault)</t>
  </si>
  <si>
    <t>EBU</t>
  </si>
  <si>
    <t>LTSR crashes (total)</t>
  </si>
  <si>
    <t>Frontal impact crashes (EB at fault)</t>
  </si>
  <si>
    <t>LTDR crashes (NB turning vehicle)</t>
  </si>
  <si>
    <t>Frontal impact crashes (WB at fault)</t>
  </si>
  <si>
    <t>LTDR crashes (SB turning vehicle)</t>
  </si>
  <si>
    <t>Frontal impact crashes (fault unclear)</t>
  </si>
  <si>
    <t>Ped</t>
  </si>
  <si>
    <t>LTDR crashes (EB turning vehicle)</t>
  </si>
  <si>
    <t>Frontal impact crashes (total)</t>
  </si>
  <si>
    <t>WBU</t>
  </si>
  <si>
    <t>LTDR crashes (unclear direction turning vehicle)</t>
  </si>
  <si>
    <t>LTDR crashes (total)</t>
  </si>
  <si>
    <t>RTSR crashes (NB turning vehicle)</t>
  </si>
  <si>
    <t>RTSR crashes (SB turning vehicle)</t>
  </si>
  <si>
    <t>Frontal impact crashes involving the EB approach</t>
  </si>
  <si>
    <t>RTSR crashes (EB turning vehicle)</t>
  </si>
  <si>
    <t>Frontal impact crashes involving the WB approach</t>
  </si>
  <si>
    <t>RTSR crashes (WB turning vehicle)</t>
  </si>
  <si>
    <t>RTSR crashes (unclear direction turning vehicle)</t>
  </si>
  <si>
    <t>RTSR crashes (total)</t>
  </si>
  <si>
    <t>Lane departure crashes (NB at fault)</t>
  </si>
  <si>
    <t>RTDR crashes (NB turning vehicle)</t>
  </si>
  <si>
    <t>Lane departure crashes (SB at fault)</t>
  </si>
  <si>
    <t>RTDR crashes (SB turning vehicle)</t>
  </si>
  <si>
    <t>Lane departure crashes (EB at fault)</t>
  </si>
  <si>
    <t>RTDR crashes (EB turning vehicle)</t>
  </si>
  <si>
    <t>Lane departure crashes (WB at fault)</t>
  </si>
  <si>
    <t>RTDR crashes (WB turning vehicle)</t>
  </si>
  <si>
    <t>Lane departure crashes (fault unclear)</t>
  </si>
  <si>
    <t>RTDR crashes (unclear direction turning vehicle)</t>
  </si>
  <si>
    <t>RTDR crashes (total)</t>
  </si>
  <si>
    <t>HeadOn crashes (NB vehicle 1)</t>
  </si>
  <si>
    <t>HeadOn crashes (SB vehicle 1)</t>
  </si>
  <si>
    <t>Target 1 crashes (NB at fault)</t>
  </si>
  <si>
    <t>HeadOn crashes (EB vehicle 1)</t>
  </si>
  <si>
    <t>Target 1 crashes (SB at fault)</t>
  </si>
  <si>
    <t>HeadOn crashes (WB vehicle 1)</t>
  </si>
  <si>
    <t>Target 1 crashes (EB at fault)</t>
  </si>
  <si>
    <t>HeadOn crashes (unclear direction vehicle 1)</t>
  </si>
  <si>
    <t>Target 1 crashes (WB at fault)</t>
  </si>
  <si>
    <t>Head on crashes (total)</t>
  </si>
  <si>
    <t>Target 1 crashes (fault unclear)</t>
  </si>
  <si>
    <t>U-Turn crashes (NB turning vehicle)</t>
  </si>
  <si>
    <t>Target 1 crashes (total)</t>
  </si>
  <si>
    <t>U-Turn crashes (SB turning vehicle)</t>
  </si>
  <si>
    <t>U-Turn crashes (EB turning vehicle)</t>
  </si>
  <si>
    <t>U-Turn crashes (WB turning vehicle)</t>
  </si>
  <si>
    <t>Target 2 crashes (NB at fault)</t>
  </si>
  <si>
    <t>U-Turn crashes (unclear direction turning vehicle)</t>
  </si>
  <si>
    <t>Target 2 crashes (SB at fault)</t>
  </si>
  <si>
    <t>U-Turn crashes (total)</t>
  </si>
  <si>
    <t>Target 2 crashes (EB at fault)</t>
  </si>
  <si>
    <t>Ran off road right crashes (NB)</t>
  </si>
  <si>
    <t>Target 2 crashes (WB at fault)</t>
  </si>
  <si>
    <t>Ran off road right crashes (SB)</t>
  </si>
  <si>
    <t>Target 2 crashes (fault unclear)</t>
  </si>
  <si>
    <t>Ran off road right crashes (EB)</t>
  </si>
  <si>
    <t>Target 2 crashes (total)</t>
  </si>
  <si>
    <t>Ran off road right crashes (WB)</t>
  </si>
  <si>
    <t>Ran off road right crashes (unclear direction)</t>
  </si>
  <si>
    <t>Ran off road right crashes (total)</t>
  </si>
  <si>
    <t>Target 3 crashes (NB at fault)</t>
  </si>
  <si>
    <t>Ran off road left crashes (NB)</t>
  </si>
  <si>
    <t>Target 3 crashes (SB at fault)</t>
  </si>
  <si>
    <t>Ran off road left crashes (SB)</t>
  </si>
  <si>
    <t>Target 3 crashes (EB at fault)</t>
  </si>
  <si>
    <t>Ran off road left crashes (EB)</t>
  </si>
  <si>
    <t>Target 3 crashes (WB at fault)</t>
  </si>
  <si>
    <t>Ran off road left crashes (WB)</t>
  </si>
  <si>
    <t>Target 3 crashes (fault unclear)</t>
  </si>
  <si>
    <t>Ran off road left crashes (unclear direction)</t>
  </si>
  <si>
    <t>Target 3 crashes (total)</t>
  </si>
  <si>
    <t>Ran off road left crashes (total)</t>
  </si>
  <si>
    <t>Ran off road straight crashes (NB)</t>
  </si>
  <si>
    <t>Ran off road straight crashes (SB)</t>
  </si>
  <si>
    <t>All target crashes (NB at fault)</t>
  </si>
  <si>
    <t>Ran off road straight crashes (EB)</t>
  </si>
  <si>
    <t>All target crashes (SB at fault)</t>
  </si>
  <si>
    <t>Ran off road straight crashes (WB)</t>
  </si>
  <si>
    <t>All target crashes (EB at fault)</t>
  </si>
  <si>
    <t>Ran off road straight crashes (unclear direction)</t>
  </si>
  <si>
    <t>All target crashes (WB at fault)</t>
  </si>
  <si>
    <t>Ran off road straight crashes (total)</t>
  </si>
  <si>
    <t>All target crashes (fault unclear)</t>
  </si>
  <si>
    <t>Sideswipe same direction crashes (NB striking vehicle)</t>
  </si>
  <si>
    <t>All target crashes (total)</t>
  </si>
  <si>
    <t>Sideswipe same direction crashes (SB striking vehicle)</t>
  </si>
  <si>
    <t>Sideswipe same direction crashes (EB striking vehicle)</t>
  </si>
  <si>
    <t>Sideswipe same direction crashes (WB striking vehicle)</t>
  </si>
  <si>
    <t>Wet crashes</t>
  </si>
  <si>
    <t>Sideswipe same direction crashes (unclear direction striking vehicle)</t>
  </si>
  <si>
    <t>Sideswipe same direction crashes (total)</t>
  </si>
  <si>
    <t>Injury crashes</t>
  </si>
  <si>
    <t>Sideswipe opposite direction crashes (NB striking vehicle)</t>
  </si>
  <si>
    <t>Avoidance maneuver crashes</t>
  </si>
  <si>
    <t>Sideswipe opposite direction crashes (SB striking vehicle)</t>
  </si>
  <si>
    <t>Crashes with fault unclear</t>
  </si>
  <si>
    <t>Sideswipe opposite direction crashes (EB striking vehicle)</t>
  </si>
  <si>
    <t>Sideswipe opposite direction crashes (WB striking vehicle)</t>
  </si>
  <si>
    <t>Custom lines</t>
  </si>
  <si>
    <t>Definition</t>
  </si>
  <si>
    <t>Sideswipe opposite direction crashes (unclear direction striking vehicle)</t>
  </si>
  <si>
    <t>Target Crashes: Spring St At-Fault</t>
  </si>
  <si>
    <t>Target 1 crashes with the at-fault vehicle on Spring St (EB + WB at fault)</t>
  </si>
  <si>
    <t>Sideswipe opposite direction crashes (total)</t>
  </si>
  <si>
    <t>Target Crashes: Main St At-Fault</t>
  </si>
  <si>
    <t>Target 1 crashes with the at-fault vehicle on Main St (NB + SB at fault)</t>
  </si>
  <si>
    <t>Overturn crashes (NB)</t>
  </si>
  <si>
    <t>Target Crashes: Failed to Yield</t>
  </si>
  <si>
    <t>Target crashes where the at-fault driver failed to yield, per the reports: 105532814, 106594525, 106899135, 107982237</t>
  </si>
  <si>
    <t>Overturn crashes (SB)</t>
  </si>
  <si>
    <t>Target Crashes: Ran Stop Sign</t>
  </si>
  <si>
    <t>Target crashes where the at-fault driver ran the stop sign, per the report: 105329673</t>
  </si>
  <si>
    <t>Overturn crashes (EB)</t>
  </si>
  <si>
    <t>Rear End Crashes</t>
  </si>
  <si>
    <t>Overturn crashes (WB)</t>
  </si>
  <si>
    <t>On-Street Parking Crashes</t>
  </si>
  <si>
    <t>Crashes involving a vehicle in the on-street angled parking (backing out, or struck while parked): 105172416, 105273794, 106412908</t>
  </si>
  <si>
    <t>Overturn crashes (unclear direction)</t>
  </si>
  <si>
    <t>Overturn crashes (total)</t>
  </si>
  <si>
    <t>Rear end crashes (NB rear vehicle)</t>
  </si>
  <si>
    <t>Rear end crashes (SB rear vehicle)</t>
  </si>
  <si>
    <t>Rear end crashes (EB rear vehicle)</t>
  </si>
  <si>
    <t>Rear end crashes (WB rear vehicle)</t>
  </si>
  <si>
    <t>Rear end crashes (unclear direction rear vehicle)</t>
  </si>
  <si>
    <t>Pedestrian crashes</t>
  </si>
  <si>
    <t>Bicycle crashes</t>
  </si>
  <si>
    <t>Animal crashes</t>
  </si>
  <si>
    <t>Other crashes</t>
  </si>
  <si>
    <t>Vehicle 1 lines use vehicle 1's approach; turning vehicle lines the vehicle making the turn; striking and rear vehicle lines the at-fault vehicle.</t>
  </si>
  <si>
    <t>Frontal impact: Angle, LTSR, LTDR, RTSR, RTDR, HeadOn. Lane departure: RORR, RORL, RORS, Overturn.</t>
  </si>
  <si>
    <t>Wet: road condition 2 or 3. Night: light 4 to 6. Injury: K, A, B or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</si>
</sst>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18">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0" fillId="49" borderId="91" xfId="0" applyFill="1" applyBorder="1"/>
    <xf numFmtId="0" fontId="0" fillId="0" borderId="38" xfId="0" applyBorder="1"/>
    <xf numFmtId="10" fontId="32" fillId="36" borderId="28" xfId="0" applyNumberFormat="1" applyFont="1" applyFill="1" applyBorder="1" applyAlignment="1">
      <alignment horizontal="center" vertical="center"/>
    </xf>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47" fillId="0" borderId="0" xfId="0" applyFont="1"/>
    <xf numFmtId="0" fontId="0" fillId="43" borderId="0" xfId="0" applyFill="1"/>
    <xf numFmtId="14" fontId="0" fillId="43" borderId="0" xfId="0" applyNumberFormat="1" applyFill="1"/>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1" borderId="0" xfId="0" applyFont="1" applyFill="1"/>
    <xf numFmtId="0" fontId="0" fillId="51" borderId="0" xfId="0" applyFill="1"/>
    <xf numFmtId="14" fontId="0" fillId="51" borderId="0" xfId="0" applyNumberFormat="1" applyFill="1"/>
    <xf numFmtId="0" fontId="0" fillId="45" borderId="0" xfId="0" applyFill="1"/>
    <xf numFmtId="0" fontId="47" fillId="45" borderId="0" xfId="0" applyFont="1"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2" borderId="0" xfId="0" applyFont="1" applyFill="1"/>
    <xf numFmtId="0" fontId="0" fillId="52" borderId="0" xfId="0" applyFill="1"/>
    <xf numFmtId="14" fontId="0" fillId="52" borderId="0" xfId="0" applyNumberFormat="1" applyFill="1"/>
    <xf numFmtId="0" fontId="16" fillId="53" borderId="0" xfId="0" applyFont="1" applyFill="1"/>
    <xf numFmtId="0" fontId="0" fillId="53" borderId="0" xfId="0" applyFill="1"/>
    <xf numFmtId="14" fontId="0" fillId="53" borderId="0" xfId="0" applyNumberFormat="1" applyFill="1"/>
    <xf numFmtId="0" fontId="54" fillId="33" borderId="14" xfId="45" applyFill="1" applyBorder="1" applyProtection="1">
      <protection locked="0"/>
    </xf>
    <xf numFmtId="0" fontId="16" fillId="0" borderId="37" xfId="0" applyFont="1" applyBorder="1"/>
    <xf numFmtId="0" fontId="0" fillId="0" borderId="37" xfId="0" applyBorder="1"/>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36" borderId="0" xfId="0" applyFill="1" applyAlignment="1" applyProtection="1">
      <alignment horizontal="left"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39" xfId="0" applyBorder="1" applyAlignment="1" applyProtection="1">
      <alignment horizontal="right" vertical="top"/>
      <protection locked="0"/>
    </xf>
    <xf numFmtId="0" fontId="0" fillId="0" borderId="41" xfId="0" applyBorder="1" applyAlignment="1" applyProtection="1">
      <alignment horizontal="right" vertical="top"/>
      <protection locked="0"/>
    </xf>
    <xf numFmtId="0" fontId="0" fillId="0" borderId="40" xfId="0" applyBorder="1" applyAlignment="1" applyProtection="1">
      <alignment horizontal="left" vertical="top" wrapText="1"/>
      <protection locked="0"/>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5" fillId="36" borderId="26"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35" fillId="36" borderId="62"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22/11/relationships/FeaturePropertyBag" Target="featurePropertyBag/featurePropertyBag.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22224</xdr:colOff>
      <xdr:row>18</xdr:row>
      <xdr:rowOff>174869</xdr:rowOff>
    </xdr:from>
    <xdr:to>
      <xdr:col>10</xdr:col>
      <xdr:colOff>273050</xdr:colOff>
      <xdr:row>32</xdr:row>
      <xdr:rowOff>155621</xdr:rowOff>
    </xdr:to>
    <xdr:pic>
      <xdr:nvPicPr>
        <xdr:cNvPr id="12" name="Picture 11" descr="West leg: SR 1207 (Spring Street), 35 mph, 2025 AADT: 2800&#10;East leg: E Spring Street, 35 mph, 2025 AADT: 1900&#10;North leg: SR 1602 (Main Street), 25 mph, 2025 AADT: 2500&#10;South leg: SR 1602 (Main Street), 25 mph, 2025 AADT: 1300">
          <a:extLst>
            <a:ext uri="{FF2B5EF4-FFF2-40B4-BE49-F238E27FC236}">
              <a16:creationId xmlns:a16="http://schemas.microsoft.com/office/drawing/2014/main" id="{D93CCAE4-E412-CA58-E413-3441649A5D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016354" y="3550529"/>
          <a:ext cx="4845686" cy="2602032"/>
        </a:xfrm>
        <a:prstGeom prst="rect">
          <a:avLst/>
        </a:prstGeom>
        <a:ln w="12700">
          <a:solidFill>
            <a:schemeClr val="tx1"/>
          </a:solidFill>
        </a:ln>
      </xdr:spPr>
    </xdr:pic>
    <xdr:clientData/>
  </xdr:twoCellAnchor>
  <xdr:twoCellAnchor>
    <xdr:from>
      <xdr:col>6</xdr:col>
      <xdr:colOff>1172210</xdr:colOff>
      <xdr:row>19</xdr:row>
      <xdr:rowOff>63500</xdr:rowOff>
    </xdr:from>
    <xdr:to>
      <xdr:col>7</xdr:col>
      <xdr:colOff>900176</xdr:colOff>
      <xdr:row>22</xdr:row>
      <xdr:rowOff>71120</xdr:rowOff>
    </xdr:to>
    <xdr:sp macro="" textlink="">
      <xdr:nvSpPr>
        <xdr:cNvPr id="13" name="TextBox 12">
          <a:extLst>
            <a:ext uri="{FF2B5EF4-FFF2-40B4-BE49-F238E27FC236}">
              <a16:creationId xmlns:a16="http://schemas.microsoft.com/office/drawing/2014/main" id="{ACDD532A-D733-3250-E3A6-2E1FC1A75634}"/>
            </a:ext>
          </a:extLst>
        </xdr:cNvPr>
        <xdr:cNvSpPr txBox="1"/>
      </xdr:nvSpPr>
      <xdr:spPr>
        <a:xfrm>
          <a:off x="15166340" y="3622040"/>
          <a:ext cx="1499616" cy="609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2,500 </a:t>
          </a:r>
        </a:p>
      </xdr:txBody>
    </xdr:sp>
    <xdr:clientData/>
  </xdr:twoCellAnchor>
  <xdr:twoCellAnchor>
    <xdr:from>
      <xdr:col>6</xdr:col>
      <xdr:colOff>81280</xdr:colOff>
      <xdr:row>27</xdr:row>
      <xdr:rowOff>20320</xdr:rowOff>
    </xdr:from>
    <xdr:to>
      <xdr:col>6</xdr:col>
      <xdr:colOff>1581150</xdr:colOff>
      <xdr:row>30</xdr:row>
      <xdr:rowOff>83820</xdr:rowOff>
    </xdr:to>
    <xdr:sp macro="" textlink="">
      <xdr:nvSpPr>
        <xdr:cNvPr id="14" name="TextBox 13">
          <a:extLst>
            <a:ext uri="{FF2B5EF4-FFF2-40B4-BE49-F238E27FC236}">
              <a16:creationId xmlns:a16="http://schemas.microsoft.com/office/drawing/2014/main" id="{EB92EE2F-B807-A03D-CC51-0DFFB3A4CB03}"/>
            </a:ext>
          </a:extLst>
        </xdr:cNvPr>
        <xdr:cNvSpPr txBox="1"/>
      </xdr:nvSpPr>
      <xdr:spPr>
        <a:xfrm>
          <a:off x="14075410" y="5102860"/>
          <a:ext cx="149987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2,800 </a:t>
          </a:r>
        </a:p>
      </xdr:txBody>
    </xdr:sp>
    <xdr:clientData/>
  </xdr:twoCellAnchor>
  <xdr:twoCellAnchor>
    <xdr:from>
      <xdr:col>7</xdr:col>
      <xdr:colOff>449580</xdr:colOff>
      <xdr:row>29</xdr:row>
      <xdr:rowOff>19050</xdr:rowOff>
    </xdr:from>
    <xdr:to>
      <xdr:col>8</xdr:col>
      <xdr:colOff>83820</xdr:colOff>
      <xdr:row>32</xdr:row>
      <xdr:rowOff>82550</xdr:rowOff>
    </xdr:to>
    <xdr:sp macro="" textlink="">
      <xdr:nvSpPr>
        <xdr:cNvPr id="15" name="TextBox 14">
          <a:extLst>
            <a:ext uri="{FF2B5EF4-FFF2-40B4-BE49-F238E27FC236}">
              <a16:creationId xmlns:a16="http://schemas.microsoft.com/office/drawing/2014/main" id="{BAF5C41C-DB2D-FBCE-6789-91F504A9C420}"/>
            </a:ext>
          </a:extLst>
        </xdr:cNvPr>
        <xdr:cNvSpPr txBox="1"/>
      </xdr:nvSpPr>
      <xdr:spPr>
        <a:xfrm>
          <a:off x="16215360" y="5467350"/>
          <a:ext cx="149733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1,300 </a:t>
          </a:r>
        </a:p>
      </xdr:txBody>
    </xdr:sp>
    <xdr:clientData/>
  </xdr:twoCellAnchor>
  <xdr:twoCellAnchor editAs="oneCell">
    <xdr:from>
      <xdr:col>7</xdr:col>
      <xdr:colOff>1428750</xdr:colOff>
      <xdr:row>18</xdr:row>
      <xdr:rowOff>174432</xdr:rowOff>
    </xdr:from>
    <xdr:to>
      <xdr:col>10</xdr:col>
      <xdr:colOff>274465</xdr:colOff>
      <xdr:row>23</xdr:row>
      <xdr:rowOff>102870</xdr:rowOff>
    </xdr:to>
    <xdr:pic>
      <xdr:nvPicPr>
        <xdr:cNvPr id="6" name="Picture 5" descr="Location map of Oxford, Granville County, showing the project location.">
          <a:extLst>
            <a:ext uri="{FF2B5EF4-FFF2-40B4-BE49-F238E27FC236}">
              <a16:creationId xmlns:a16="http://schemas.microsoft.com/office/drawing/2014/main" id="{173EC4C6-F767-CFDE-1748-F44B7E5C7E1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7194530" y="3550092"/>
          <a:ext cx="1668925" cy="896178"/>
        </a:xfrm>
        <a:prstGeom prst="rect">
          <a:avLst/>
        </a:prstGeom>
        <a:ln w="12700">
          <a:solidFill>
            <a:schemeClr val="tx1"/>
          </a:solidFill>
        </a:ln>
      </xdr:spPr>
    </xdr:pic>
    <xdr:clientData/>
  </xdr:twoCellAnchor>
  <xdr:twoCellAnchor>
    <xdr:from>
      <xdr:col>7</xdr:col>
      <xdr:colOff>1178560</xdr:colOff>
      <xdr:row>24</xdr:row>
      <xdr:rowOff>46990</xdr:rowOff>
    </xdr:from>
    <xdr:to>
      <xdr:col>9</xdr:col>
      <xdr:colOff>216916</xdr:colOff>
      <xdr:row>27</xdr:row>
      <xdr:rowOff>106680</xdr:rowOff>
    </xdr:to>
    <xdr:sp macro="" textlink="">
      <xdr:nvSpPr>
        <xdr:cNvPr id="9" name="TextBox 8">
          <a:extLst>
            <a:ext uri="{FF2B5EF4-FFF2-40B4-BE49-F238E27FC236}">
              <a16:creationId xmlns:a16="http://schemas.microsoft.com/office/drawing/2014/main" id="{50A9E57E-5311-4111-8D7D-8409E6734870}"/>
            </a:ext>
          </a:extLst>
        </xdr:cNvPr>
        <xdr:cNvSpPr txBox="1"/>
      </xdr:nvSpPr>
      <xdr:spPr>
        <a:xfrm>
          <a:off x="16944340" y="4577080"/>
          <a:ext cx="1499616"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E Spring Street</a:t>
          </a:r>
          <a:br>
            <a:rPr lang="en-US" sz="1100"/>
          </a:br>
          <a:r>
            <a:rPr lang="en-US" sz="1100"/>
            <a:t>35 mph</a:t>
          </a:r>
          <a:br>
            <a:rPr lang="en-US" sz="1100"/>
          </a:br>
          <a:r>
            <a:rPr lang="en-US" sz="1100"/>
            <a:t>2025 AADT: 1,900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26</xdr:row>
      <xdr:rowOff>125730</xdr:rowOff>
    </xdr:from>
    <xdr:to>
      <xdr:col>5</xdr:col>
      <xdr:colOff>1011779</xdr:colOff>
      <xdr:row>50</xdr:row>
      <xdr:rowOff>179513</xdr:rowOff>
    </xdr:to>
    <xdr:grpSp>
      <xdr:nvGrpSpPr>
        <xdr:cNvPr id="7" name="Group 6">
          <a:extLst>
            <a:ext uri="{FF2B5EF4-FFF2-40B4-BE49-F238E27FC236}">
              <a16:creationId xmlns:a16="http://schemas.microsoft.com/office/drawing/2014/main" id="{9DD16BFF-0188-A831-4212-1BEC6369474D}"/>
            </a:ext>
          </a:extLst>
        </xdr:cNvPr>
        <xdr:cNvGrpSpPr/>
      </xdr:nvGrpSpPr>
      <xdr:grpSpPr>
        <a:xfrm>
          <a:off x="514350" y="5276850"/>
          <a:ext cx="5160869" cy="4505768"/>
          <a:chOff x="514350" y="5273040"/>
          <a:chExt cx="5160869" cy="4526723"/>
        </a:xfrm>
      </xdr:grpSpPr>
      <xdr:pic>
        <xdr:nvPicPr>
          <xdr:cNvPr id="2" name="Picture 1">
            <a:extLst>
              <a:ext uri="{FF2B5EF4-FFF2-40B4-BE49-F238E27FC236}">
                <a16:creationId xmlns:a16="http://schemas.microsoft.com/office/drawing/2014/main" id="{51456027-EA2C-C2D0-EF35-414C9E6AE475}"/>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sp macro="" textlink="">
        <xdr:nvSpPr>
          <xdr:cNvPr id="3" name="Oval 2">
            <a:extLst>
              <a:ext uri="{FF2B5EF4-FFF2-40B4-BE49-F238E27FC236}">
                <a16:creationId xmlns:a16="http://schemas.microsoft.com/office/drawing/2014/main" id="{960C04A9-1CF6-9072-FA10-E417B2595EB7}"/>
              </a:ext>
            </a:extLst>
          </xdr:cNvPr>
          <xdr:cNvSpPr>
            <a:spLocks noChangeAspect="1"/>
          </xdr:cNvSpPr>
        </xdr:nvSpPr>
        <xdr:spPr>
          <a:xfrm>
            <a:off x="2640330" y="7578090"/>
            <a:ext cx="274320" cy="274320"/>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Oval 3">
            <a:extLst>
              <a:ext uri="{FF2B5EF4-FFF2-40B4-BE49-F238E27FC236}">
                <a16:creationId xmlns:a16="http://schemas.microsoft.com/office/drawing/2014/main" id="{06ECA06E-8D8B-6229-5BBF-9F38C00CC68A}"/>
              </a:ext>
            </a:extLst>
          </xdr:cNvPr>
          <xdr:cNvSpPr>
            <a:spLocks noChangeAspect="1"/>
          </xdr:cNvSpPr>
        </xdr:nvSpPr>
        <xdr:spPr>
          <a:xfrm>
            <a:off x="3931920" y="6911340"/>
            <a:ext cx="274320" cy="274320"/>
          </a:xfrm>
          <a:prstGeom prst="ellipse">
            <a:avLst/>
          </a:prstGeom>
          <a:noFill/>
          <a:ln w="2857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2139FCC3-4205-48E2-9B27-97E46C638EDA}"/>
              </a:ext>
            </a:extLst>
          </xdr:cNvPr>
          <xdr:cNvSpPr>
            <a:spLocks noChangeAspect="1"/>
          </xdr:cNvSpPr>
        </xdr:nvSpPr>
        <xdr:spPr>
          <a:xfrm>
            <a:off x="3733800" y="7985760"/>
            <a:ext cx="274320" cy="274320"/>
          </a:xfrm>
          <a:prstGeom prst="ellipse">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a:extLst>
              <a:ext uri="{FF2B5EF4-FFF2-40B4-BE49-F238E27FC236}">
                <a16:creationId xmlns:a16="http://schemas.microsoft.com/office/drawing/2014/main" id="{B4DC0EE6-B80B-4512-81A0-A29FA667E799}"/>
              </a:ext>
            </a:extLst>
          </xdr:cNvPr>
          <xdr:cNvSpPr>
            <a:spLocks noChangeAspect="1"/>
          </xdr:cNvSpPr>
        </xdr:nvSpPr>
        <xdr:spPr>
          <a:xfrm>
            <a:off x="2590800" y="6134100"/>
            <a:ext cx="274320" cy="274320"/>
          </a:xfrm>
          <a:prstGeom prst="ellipse">
            <a:avLst/>
          </a:prstGeom>
          <a:no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17"/>
    <tableColumn id="4" xr3:uid="{09F98296-7798-43A9-896E-04974E766AB0}" uniqueName="4" name="Column4" queryTableFieldId="4" dataDxfId="16"/>
    <tableColumn id="5" xr3:uid="{7404F65E-908C-4E97-8A12-167073D0C86C}" uniqueName="5" name="Column5" queryTableFieldId="5" dataDxfId="15"/>
    <tableColumn id="6" xr3:uid="{E8F135F1-991A-4811-87AD-D84806E5CC4D}" uniqueName="6" name="Column6" queryTableFieldId="6" dataDxfId="14"/>
    <tableColumn id="7" xr3:uid="{1B55EDB6-4BCD-47DA-BE7D-D9653772A615}" uniqueName="7" name="Column7" queryTableFieldId="7" dataDxfId="13"/>
    <tableColumn id="8" xr3:uid="{7ABA678C-AE41-4E2D-B477-7B4356F11CB8}" uniqueName="8" name="Column8" queryTableFieldId="8" dataDxfId="12"/>
    <tableColumn id="9" xr3:uid="{643D99A0-0B65-4AC0-AF81-E2DA4B225B21}" uniqueName="9" name="Column9" queryTableFieldId="9" dataDxfId="11"/>
    <tableColumn id="10" xr3:uid="{9DA9C349-FC44-4600-B7F6-45D6D024F33A}" uniqueName="10" name="Column10" queryTableFieldId="10" dataDxfId="10"/>
    <tableColumn id="11" xr3:uid="{A2B6EDF3-CECD-45AD-8586-09DDB24832EB}" uniqueName="11" name="Column11" queryTableFieldId="11" dataDxfId="9"/>
    <tableColumn id="12" xr3:uid="{3E005D86-B4D8-42B9-93D2-3C80DC04DCCE}" uniqueName="12" name="Column12" queryTableFieldId="12" dataDxfId="8"/>
    <tableColumn id="13" xr3:uid="{016FE69D-1C56-45D4-9E52-065A02E99004}" uniqueName="13" name="Column13" queryTableFieldId="13" dataDxfId="7"/>
    <tableColumn id="14" xr3:uid="{C34357CF-7B33-4146-BC79-692656D5A261}" uniqueName="14" name="Column14" queryTableFieldId="14" dataDxfId="6"/>
    <tableColumn id="15" xr3:uid="{C88019FB-EE31-4C10-A8D4-4687278EC36E}" uniqueName="15" name="Column15" queryTableFieldId="15" dataDxfId="5"/>
    <tableColumn id="16" xr3:uid="{2765D085-A51B-4A58-AB1C-DAAD376A310A}" uniqueName="16" name="Column16" queryTableFieldId="16" dataDxfId="4"/>
    <tableColumn id="17" xr3:uid="{3FB365D3-6DBE-4359-AEFC-281495DF078B}" uniqueName="17" name="Column17" queryTableFieldId="17" dataDxfId="3"/>
    <tableColumn id="18" xr3:uid="{FE013A89-E8AF-4575-82F2-F6B1BB038DDC}" uniqueName="18" name="Column18" queryTableFieldId="18" dataDxfId="2"/>
    <tableColumn id="19" xr3:uid="{FFA895D5-680A-4E33-8146-EB667FBECFB6}" uniqueName="19" name="Column19" queryTableFieldId="19" dataDxfId="1"/>
    <tableColumn id="20" xr3:uid="{630375A4-F031-4719-88E6-C86A4BD1306C}" uniqueName="20" name="Column20"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50" Type="http://schemas.openxmlformats.org/officeDocument/2006/relationships/drawing" Target="../drawings/drawing5.xm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49" Type="http://schemas.openxmlformats.org/officeDocument/2006/relationships/printerSettings" Target="../printerSettings/printerSettings5.bin"/><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 Id="rId8" Type="http://schemas.openxmlformats.org/officeDocument/2006/relationships/hyperlink" Target="http://maps.google.com/?q=35.994456,-80.06247"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994456,-80.06247" TargetMode="External"/><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client/039990.004/05_Work/NCDOTProjNum/Traffic%20Safety/Documents/Accessible%20Worksheet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35" t="s">
        <v>107</v>
      </c>
      <c r="C2" s="636"/>
      <c r="D2" s="636"/>
      <c r="E2" s="636"/>
      <c r="F2" s="636"/>
      <c r="G2" s="636"/>
      <c r="H2" s="636"/>
      <c r="I2" s="637"/>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topLeftCell="D7" zoomScaleNormal="100" workbookViewId="0"/>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1"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38" t="s">
        <v>323</v>
      </c>
      <c r="C2" s="639"/>
      <c r="D2" s="639"/>
      <c r="E2" s="639"/>
      <c r="F2" s="639"/>
      <c r="G2" s="639"/>
      <c r="H2" s="639"/>
      <c r="I2" s="639"/>
      <c r="J2" s="639"/>
      <c r="K2" s="639"/>
      <c r="L2" s="639"/>
      <c r="M2" s="639"/>
      <c r="N2" s="639"/>
      <c r="O2" s="639"/>
      <c r="P2" s="639"/>
      <c r="Q2" s="639"/>
      <c r="R2" s="640"/>
    </row>
    <row r="3" spans="2:18" ht="15" customHeight="1" thickBot="1">
      <c r="B3" s="641"/>
      <c r="C3" s="642"/>
      <c r="D3" s="642"/>
      <c r="E3" s="642"/>
      <c r="F3" s="642"/>
      <c r="G3" s="642"/>
      <c r="H3" s="642"/>
      <c r="I3" s="642"/>
      <c r="J3" s="642"/>
      <c r="K3" s="642"/>
      <c r="L3" s="642"/>
      <c r="M3" s="642"/>
      <c r="N3" s="642"/>
      <c r="O3" s="642"/>
      <c r="P3" s="642"/>
      <c r="Q3" s="642"/>
      <c r="R3" s="643"/>
    </row>
    <row r="4" spans="2:18" ht="15" customHeight="1" thickBot="1">
      <c r="B4" s="109"/>
      <c r="C4" s="110"/>
      <c r="D4" s="110"/>
      <c r="E4" s="110"/>
      <c r="F4" s="110"/>
      <c r="G4" s="110"/>
      <c r="H4" s="110"/>
      <c r="I4" s="110"/>
      <c r="J4" s="110"/>
      <c r="K4" s="110"/>
      <c r="L4" s="110"/>
      <c r="M4" s="110"/>
      <c r="N4" s="111"/>
      <c r="O4" s="111"/>
      <c r="P4" s="111"/>
      <c r="Q4" s="111"/>
      <c r="R4" s="112"/>
    </row>
    <row r="5" spans="2:18" ht="16.5" customHeight="1" thickBot="1">
      <c r="B5" s="113"/>
      <c r="C5" s="111"/>
      <c r="D5" s="114"/>
      <c r="E5" s="115" t="s">
        <v>350</v>
      </c>
      <c r="F5" s="114"/>
      <c r="G5" s="116"/>
      <c r="H5" s="117" t="s">
        <v>111</v>
      </c>
      <c r="I5" s="111"/>
      <c r="J5" s="111"/>
      <c r="K5" s="646" t="s">
        <v>42</v>
      </c>
      <c r="L5" s="647"/>
      <c r="M5" s="111"/>
      <c r="O5" s="118" t="s">
        <v>374</v>
      </c>
      <c r="P5" s="111"/>
      <c r="Q5" s="111"/>
      <c r="R5" s="112"/>
    </row>
    <row r="6" spans="2:18">
      <c r="B6" s="113"/>
      <c r="C6" s="119" t="s">
        <v>135</v>
      </c>
      <c r="D6" s="120">
        <v>41000076579</v>
      </c>
      <c r="E6" s="121"/>
      <c r="F6" s="114"/>
      <c r="G6" s="122" t="s">
        <v>149</v>
      </c>
      <c r="H6" s="198" t="n">
        <f>YEARFRAC(H7,H8)</f>
        <v>10</v>
      </c>
      <c r="I6" s="111"/>
      <c r="J6" s="111"/>
      <c r="K6" s="648" t="s">
        <v>332</v>
      </c>
      <c r="L6" s="649"/>
      <c r="M6" s="111"/>
      <c r="N6" s="123" t="s">
        <v>373</v>
      </c>
      <c r="O6" s="124">
        <v>35</v>
      </c>
      <c r="P6" s="111"/>
      <c r="Q6" s="111"/>
      <c r="R6" s="112"/>
    </row>
    <row r="7" spans="2:18" ht="14.7" thickBot="1">
      <c r="B7" s="113"/>
      <c r="C7" s="125" t="s">
        <v>136</v>
      </c>
      <c r="D7" s="596" t="s">
        <v>793</v>
      </c>
      <c r="E7" s="127"/>
      <c r="F7" s="114"/>
      <c r="G7" s="128" t="s">
        <v>142</v>
      </c>
      <c r="H7" s="129">
        <v>40391</v>
      </c>
      <c r="I7" s="111"/>
      <c r="J7" s="111"/>
      <c r="K7" s="650" t="s">
        <v>330</v>
      </c>
      <c r="L7" s="651"/>
      <c r="M7" s="111"/>
      <c r="N7" s="130" t="s">
        <v>372</v>
      </c>
      <c r="O7" s="131">
        <v>25</v>
      </c>
      <c r="P7" s="111"/>
      <c r="Q7" s="111"/>
      <c r="R7" s="112"/>
    </row>
    <row r="8" spans="2:18" ht="14.7" thickBot="1">
      <c r="B8" s="113"/>
      <c r="C8" s="125" t="s">
        <v>324</v>
      </c>
      <c r="D8" s="126" t="s">
        <v>546</v>
      </c>
      <c r="E8" s="127"/>
      <c r="F8" s="114"/>
      <c r="G8" s="128" t="s">
        <v>143</v>
      </c>
      <c r="H8" s="129">
        <v>44043</v>
      </c>
      <c r="I8" s="111"/>
      <c r="J8" s="111"/>
      <c r="K8" s="652" t="s">
        <v>331</v>
      </c>
      <c r="L8" s="653"/>
      <c r="M8" s="111"/>
      <c r="N8" s="111"/>
      <c r="O8" s="111"/>
      <c r="P8" s="111"/>
      <c r="Q8" s="111"/>
      <c r="R8" s="112"/>
    </row>
    <row r="9" spans="2:18" ht="14.7" thickBot="1">
      <c r="B9" s="113"/>
      <c r="C9" s="125" t="s">
        <v>140</v>
      </c>
      <c r="D9" s="126" t="s">
        <v>794</v>
      </c>
      <c r="E9" s="127"/>
      <c r="F9" s="114"/>
      <c r="G9" s="132"/>
      <c r="H9" s="133"/>
      <c r="I9" s="117" t="s">
        <v>357</v>
      </c>
      <c r="J9" s="111"/>
      <c r="K9" s="644" t="s">
        <v>732</v>
      </c>
      <c r="L9" s="645"/>
      <c r="M9" s="111"/>
      <c r="N9" s="111"/>
      <c r="O9" s="111"/>
      <c r="P9" s="111"/>
      <c r="Q9" s="111"/>
      <c r="R9" s="112"/>
    </row>
    <row r="10" spans="2:18" ht="14.7" thickBot="1">
      <c r="B10" s="113"/>
      <c r="C10" s="125" t="s">
        <v>157</v>
      </c>
      <c r="D10" s="591" t="s">
        <v>795</v>
      </c>
      <c r="E10" s="127"/>
      <c r="F10" s="114"/>
      <c r="G10" s="134" t="s">
        <v>13</v>
      </c>
      <c r="H10" s="135">
        <v>19</v>
      </c>
      <c r="I10" s="199" t="n">
        <f>H10/$H$6</f>
        <v>1.9</v>
      </c>
      <c r="J10" s="111"/>
      <c r="K10" s="136" t="s">
        <v>358</v>
      </c>
      <c r="L10" s="111"/>
      <c r="M10" s="137"/>
      <c r="N10" s="111"/>
      <c r="O10" s="111"/>
      <c r="P10" s="111"/>
      <c r="Q10" s="111"/>
      <c r="R10" s="112"/>
    </row>
    <row r="11" spans="2:18" ht="14.7" thickBot="1">
      <c r="B11" s="113"/>
      <c r="C11" s="125" t="s">
        <v>137</v>
      </c>
      <c r="D11" s="126" t="s">
        <v>483</v>
      </c>
      <c r="E11" s="127"/>
      <c r="F11" s="114"/>
      <c r="G11" s="138" t="s">
        <v>150</v>
      </c>
      <c r="H11" s="135">
        <v>0</v>
      </c>
      <c r="I11" s="200" t="n">
        <f t="shared" ref="I11:I15" si="0">H11/$H$6</f>
        <v>0</v>
      </c>
      <c r="J11" s="111"/>
      <c r="K11" s="139" t="s">
        <v>351</v>
      </c>
      <c r="L11" s="140" t="s">
        <v>352</v>
      </c>
      <c r="M11" s="140" t="s">
        <v>353</v>
      </c>
      <c r="N11" s="140" t="s">
        <v>355</v>
      </c>
      <c r="O11" s="141" t="s">
        <v>354</v>
      </c>
      <c r="P11" s="142" t="s">
        <v>356</v>
      </c>
      <c r="Q11" s="143" t="s">
        <v>712</v>
      </c>
      <c r="R11" s="112"/>
    </row>
    <row r="12" spans="2:18">
      <c r="B12" s="113"/>
      <c r="C12" s="125" t="s">
        <v>138</v>
      </c>
      <c r="D12" s="126" t="s">
        <v>796</v>
      </c>
      <c r="E12" s="127"/>
      <c r="F12" s="114"/>
      <c r="G12" s="138" t="s">
        <v>151</v>
      </c>
      <c r="H12" s="135">
        <v>0</v>
      </c>
      <c r="I12" s="200" t="n">
        <f t="shared" si="0"/>
        <v>0</v>
      </c>
      <c r="J12" s="111"/>
      <c r="K12" s="144" t="s">
        <v>799</v>
      </c>
      <c r="L12" s="145" t="s">
        <v>801</v>
      </c>
      <c r="M12" s="145">
        <v>35</v>
      </c>
      <c r="N12" s="145">
        <v>2025</v>
      </c>
      <c r="O12" s="628" t="n">
        <f>'Evaluation Set-up'!L26</f>
        <v>2800</v>
      </c>
      <c r="P12" s="146" t="b">
        <v>0</v>
      </c>
      <c r="Q12" s="202" t="str">
        <f>K12&amp;" leg: "&amp;L12&amp;", "&amp;M12&amp;" mph, "&amp;N12&amp;" AADT: "&amp;O12&amp;IF(P12," (est)","")</f>
        <v>West leg: SR 1207 (Spring Street), 35 mph, 2025 AADT: 2800</v>
      </c>
      <c r="R12" s="112"/>
    </row>
    <row r="13" spans="2:18">
      <c r="B13" s="113"/>
      <c r="C13" s="125" t="s">
        <v>139</v>
      </c>
      <c r="D13" s="565">
        <f>IFERROR(_xlfn.XLOOKUP(D11,'For NCDOT staff - for Tracking'!G39:G139,'For NCDOT staff - for Tracking'!H39:H139),"")</f>
        <v>5</v>
      </c>
      <c r="E13" s="127"/>
      <c r="F13" s="114"/>
      <c r="G13" s="138" t="s">
        <v>152</v>
      </c>
      <c r="H13" s="135">
        <v>1</v>
      </c>
      <c r="I13" s="200" t="n">
        <f t="shared" si="0"/>
        <v>0.1</v>
      </c>
      <c r="J13" s="111"/>
      <c r="K13" s="147" t="s">
        <v>738</v>
      </c>
      <c r="L13" s="145" t="s">
        <v>849</v>
      </c>
      <c r="M13" s="148">
        <v>35</v>
      </c>
      <c r="N13" s="148">
        <v>2025</v>
      </c>
      <c r="O13" s="629" t="n">
        <f>'Evaluation Set-up'!M26</f>
        <v>1900</v>
      </c>
      <c r="P13" s="149" t="b">
        <v>0</v>
      </c>
      <c r="Q13" s="202" t="str">
        <f t="shared" ref="Q13:Q14" si="1">K13&amp;" leg: "&amp;L13&amp;", "&amp;M13&amp;" mph, "&amp;N13&amp;" AADT: "&amp;O13&amp;IF(P13," (est)","")</f>
        <v>East leg: E Spring Street, 35 mph, 2025 AADT: 1900</v>
      </c>
      <c r="R13" s="112"/>
    </row>
    <row r="14" spans="2:18">
      <c r="B14" s="113"/>
      <c r="C14" s="125" t="s">
        <v>141</v>
      </c>
      <c r="D14" s="150" t="inlineStr">
        <is>
          <t>Construct a Mini-Roundabout, replacing the stop signs on Spring Street. Pedestrian upgrades included crosswalks and curb ramps on all four legs, splitter island refuges on the north and west legs, and in-street yield to pedestrian signs (R1-6) in those islands. Signs installed were yield (R1-2) and roundabout ahead (W2-6) signs on all four approaches and chevron signs (R6-4) on the central island.</t>
        </is>
      </c>
      <c r="E14" s="151"/>
      <c r="F14" s="114"/>
      <c r="G14" s="138" t="s">
        <v>153</v>
      </c>
      <c r="H14" s="135">
        <v>3</v>
      </c>
      <c r="I14" s="200" t="n">
        <f t="shared" si="0"/>
        <v>0.3</v>
      </c>
      <c r="J14" s="111"/>
      <c r="K14" s="147" t="s">
        <v>736</v>
      </c>
      <c r="L14" s="148" t="s">
        <v>800</v>
      </c>
      <c r="M14" s="148">
        <v>25</v>
      </c>
      <c r="N14" s="148">
        <v>2025</v>
      </c>
      <c r="O14" s="629" t="n">
        <f>'Evaluation Set-up'!O26</f>
        <v>2500</v>
      </c>
      <c r="P14" s="149" t="b">
        <v>0</v>
      </c>
      <c r="Q14" s="202" t="str">
        <f t="shared" si="1"/>
        <v>North leg: SR 1602 (Main Street), 25 mph, 2025 AADT: 2500</v>
      </c>
      <c r="R14" s="112"/>
    </row>
    <row r="15" spans="2:18" ht="14.7" thickBot="1">
      <c r="B15" s="113"/>
      <c r="C15" s="125" t="s">
        <v>326</v>
      </c>
      <c r="D15" s="152" t="s">
        <v>100</v>
      </c>
      <c r="E15" s="127"/>
      <c r="F15" s="114"/>
      <c r="G15" s="153" t="s">
        <v>27</v>
      </c>
      <c r="H15" s="154">
        <v>15</v>
      </c>
      <c r="I15" s="201" t="n">
        <f t="shared" si="0"/>
        <v>1.5</v>
      </c>
      <c r="J15" s="111"/>
      <c r="K15" s="155" t="s">
        <v>737</v>
      </c>
      <c r="L15" s="148" t="s">
        <v>800</v>
      </c>
      <c r="M15" s="156">
        <v>25</v>
      </c>
      <c r="N15" s="156">
        <v>2025</v>
      </c>
      <c r="O15" s="630" t="n">
        <f>'Evaluation Set-up'!P26</f>
        <v>1300</v>
      </c>
      <c r="P15" s="157" t="b">
        <v>0</v>
      </c>
      <c r="Q15" s="203" t="str">
        <f>K15&amp;" leg: "&amp;L15&amp;", "&amp;M15&amp;" mph, "&amp;N15&amp;" AADT: "&amp;O15&amp;IF(P15," (est)","")</f>
        <v>South leg: SR 1602 (Main Street), 25 mph, 2025 AADT: 1300</v>
      </c>
      <c r="R15" s="112"/>
    </row>
    <row r="16" spans="2:18">
      <c r="B16" s="113"/>
      <c r="C16" s="125" t="s">
        <v>156</v>
      </c>
      <c r="D16" s="158">
        <v>278000</v>
      </c>
      <c r="E16" s="159"/>
      <c r="F16" s="114"/>
      <c r="G16" s="111"/>
      <c r="H16" s="111"/>
      <c r="I16" s="111"/>
      <c r="J16" s="111"/>
      <c r="K16" s="111"/>
      <c r="L16" s="111"/>
      <c r="M16" s="111"/>
      <c r="N16" s="111"/>
      <c r="O16" s="111"/>
      <c r="P16" s="111"/>
      <c r="Q16" s="111"/>
      <c r="R16" s="112"/>
    </row>
    <row r="17" spans="2:18" ht="14.7" thickBot="1">
      <c r="B17" s="113"/>
      <c r="C17" s="125" t="s">
        <v>158</v>
      </c>
      <c r="D17" s="160">
        <v>44545</v>
      </c>
      <c r="E17" s="161"/>
      <c r="F17" s="114"/>
      <c r="G17" s="136" t="s">
        <v>700</v>
      </c>
      <c r="H17" s="111"/>
      <c r="I17" s="111"/>
      <c r="J17" s="111"/>
      <c r="K17" s="111"/>
      <c r="L17" s="579" t="s">
        <v>723</v>
      </c>
      <c r="M17" s="580"/>
      <c r="N17" s="580"/>
      <c r="O17" s="580"/>
      <c r="P17" s="580"/>
      <c r="Q17" s="111"/>
      <c r="R17" s="112"/>
    </row>
    <row r="18" spans="2:18" ht="29.1" thickBot="1">
      <c r="B18" s="113"/>
      <c r="C18" s="125" t="s">
        <v>329</v>
      </c>
      <c r="D18" s="162" t="s">
        <v>848</v>
      </c>
      <c r="E18" s="163"/>
      <c r="F18" s="114"/>
      <c r="G18" s="111"/>
      <c r="H18" s="111"/>
      <c r="I18" s="111"/>
      <c r="J18" s="111"/>
      <c r="K18" s="111"/>
      <c r="L18" s="581" t="s">
        <v>163</v>
      </c>
      <c r="M18" s="582" t="s">
        <v>142</v>
      </c>
      <c r="N18" s="583" t="s">
        <v>143</v>
      </c>
      <c r="O18" s="582" t="s">
        <v>166</v>
      </c>
      <c r="P18" s="583" t="s">
        <v>167</v>
      </c>
      <c r="Q18" s="111"/>
      <c r="R18" s="112"/>
    </row>
    <row r="19" spans="2:18">
      <c r="B19" s="113"/>
      <c r="C19" s="125" t="s">
        <v>328</v>
      </c>
      <c r="D19" s="126">
        <v>150</v>
      </c>
      <c r="E19" s="127"/>
      <c r="F19" s="114"/>
      <c r="G19" s="111"/>
      <c r="H19" s="111"/>
      <c r="I19" s="111"/>
      <c r="J19" s="111"/>
      <c r="K19" s="111"/>
      <c r="L19" s="584" t="s">
        <v>112</v>
      </c>
      <c r="M19" s="575" t="n">
        <f>'Evaluation Set-up'!D9</f>
        <v>42795</v>
      </c>
      <c r="N19" s="576" t="n">
        <f>'Evaluation Set-up'!E9</f>
        <v>44469</v>
      </c>
      <c r="O19" s="577" t="n">
        <f>'Evaluation Set-up'!F9</f>
        <v>4</v>
      </c>
      <c r="P19" s="578" t="n">
        <f>'Evaluation Set-up'!G9</f>
        <v>7</v>
      </c>
      <c r="Q19" s="111"/>
      <c r="R19" s="112"/>
    </row>
    <row r="20" spans="2:18">
      <c r="B20" s="113"/>
      <c r="C20" s="125" t="s">
        <v>242</v>
      </c>
      <c r="D20" s="150" t="inlineStr">
        <is>
          <t>Frontal Impact Crashes in Intersection: Angle, Left Turn Different Roadways (LTDR), Left Turn Same Roadway (LTSR), Right Turn Different Roadways (RTDR), Right Turn Same Roadway (RTSR) and Head-On</t>
        </is>
      </c>
      <c r="E20" s="151"/>
      <c r="F20" s="114"/>
      <c r="G20" s="111"/>
      <c r="H20" s="111"/>
      <c r="I20" s="111"/>
      <c r="J20" s="111"/>
      <c r="K20" s="111"/>
      <c r="L20" s="585" t="s">
        <v>144</v>
      </c>
      <c r="M20" s="180" t="n">
        <f>'Evaluation Set-up'!D10</f>
        <v>44470</v>
      </c>
      <c r="N20" s="574" t="n">
        <f>'Evaluation Set-up'!E10</f>
        <v>44561</v>
      </c>
      <c r="O20" s="186" t="n">
        <f>'Evaluation Set-up'!F10</f>
        <v>0</v>
      </c>
      <c r="P20" s="187" t="n">
        <f>'Evaluation Set-up'!G10</f>
        <v>3</v>
      </c>
      <c r="Q20" s="111"/>
      <c r="R20" s="112"/>
    </row>
    <row r="21" spans="2:18" ht="14.7" thickBot="1">
      <c r="B21" s="113"/>
      <c r="C21" s="125" t="s">
        <v>243</v>
      </c>
      <c r="D21" s="126"/>
      <c r="E21" s="127"/>
      <c r="F21" s="114"/>
      <c r="G21" s="111"/>
      <c r="H21" s="111"/>
      <c r="I21" s="111"/>
      <c r="J21" s="111"/>
      <c r="K21" s="111"/>
      <c r="L21" s="586" t="s">
        <v>113</v>
      </c>
      <c r="M21" s="181" t="n">
        <f>'Evaluation Set-up'!D11</f>
        <v>44562</v>
      </c>
      <c r="N21" s="183" t="n">
        <f>'Evaluation Set-up'!E11</f>
        <v>46234</v>
      </c>
      <c r="O21" s="188" t="n">
        <f>'Evaluation Set-up'!F11</f>
        <v>4</v>
      </c>
      <c r="P21" s="189" t="n">
        <f>'Evaluation Set-up'!G11</f>
        <v>7</v>
      </c>
      <c r="Q21" s="111"/>
      <c r="R21" s="112"/>
    </row>
    <row r="22" spans="2:18" ht="18.3">
      <c r="B22" s="164"/>
      <c r="C22" s="125" t="s">
        <v>309</v>
      </c>
      <c r="D22" s="126"/>
      <c r="E22" s="127"/>
      <c r="F22" s="114"/>
      <c r="G22" s="111"/>
      <c r="H22" s="111"/>
      <c r="I22" s="111"/>
      <c r="J22" s="111"/>
      <c r="K22" s="111"/>
      <c r="L22" s="111"/>
      <c r="M22" s="111"/>
      <c r="N22" s="111"/>
      <c r="O22" s="111"/>
      <c r="P22" s="111"/>
      <c r="Q22" s="111"/>
      <c r="R22" s="112"/>
    </row>
    <row r="23" spans="2:18">
      <c r="B23" s="165"/>
      <c r="C23" s="125" t="s">
        <v>325</v>
      </c>
      <c r="D23" s="162"/>
      <c r="E23" s="163"/>
      <c r="F23" s="114"/>
      <c r="G23" s="136"/>
      <c r="H23" s="111"/>
      <c r="I23" s="111"/>
      <c r="J23" s="111"/>
      <c r="K23" s="111"/>
      <c r="L23" s="111"/>
      <c r="M23" s="111"/>
      <c r="N23" s="111"/>
      <c r="O23" s="111"/>
      <c r="P23" s="111"/>
      <c r="Q23" s="111"/>
      <c r="R23" s="112"/>
    </row>
    <row r="24" spans="2:18" ht="14.7" thickBot="1">
      <c r="B24" s="113"/>
      <c r="C24" s="166" t="s">
        <v>333</v>
      </c>
      <c r="D24" s="167" t="s">
        <v>798</v>
      </c>
      <c r="E24" s="168"/>
      <c r="F24" s="114"/>
      <c r="G24" s="111"/>
      <c r="H24" s="111"/>
      <c r="I24" s="111"/>
      <c r="J24" s="111"/>
      <c r="K24" s="111"/>
      <c r="L24" s="111"/>
      <c r="M24" s="111"/>
      <c r="N24" s="111"/>
      <c r="O24" s="111"/>
      <c r="P24" s="111"/>
      <c r="Q24" s="111"/>
      <c r="R24" s="112"/>
    </row>
    <row r="25" spans="2:18" ht="14.7" thickBot="1">
      <c r="B25" s="169"/>
      <c r="C25" s="170"/>
      <c r="D25" s="170"/>
      <c r="E25" s="170"/>
      <c r="F25" s="170"/>
      <c r="G25" s="171"/>
      <c r="H25" s="170"/>
      <c r="I25" s="170"/>
      <c r="J25" s="170"/>
      <c r="K25" s="170"/>
      <c r="L25" s="170"/>
      <c r="M25" s="170"/>
      <c r="N25" s="170"/>
      <c r="O25" s="170"/>
      <c r="P25" s="170"/>
      <c r="Q25" s="170"/>
      <c r="R25" s="172"/>
    </row>
    <row r="26" spans="2:18">
      <c r="G26" s="173"/>
    </row>
    <row r="27" spans="2:18">
      <c r="G27" s="173"/>
    </row>
    <row r="28" spans="2:18">
      <c r="G28" s="173"/>
    </row>
    <row r="29" spans="2:18">
      <c r="G29" s="173"/>
    </row>
    <row r="30" spans="2:18">
      <c r="G30" s="173"/>
    </row>
    <row r="31" spans="2:18">
      <c r="G31" s="173"/>
    </row>
    <row r="32" spans="2:18">
      <c r="G32" s="173"/>
    </row>
    <row r="33" spans="7:7">
      <c r="G33" s="173"/>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0"/>
  <sheetViews>
    <sheetView workbookViewId="0"/>
  </sheetViews>
  <sheetFormatPr defaultColWidth="9.15625" defaultRowHeight="14.4"/>
  <cols>
    <col min="1" max="1" width="2.7890625" style="98" customWidth="1"/>
    <col min="2" max="2" width="3.5234375" style="98" customWidth="1"/>
    <col min="3" max="3" width="29.15625" style="98" customWidth="1"/>
    <col min="4" max="5" width="14.47265625" style="204"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72" t="s">
        <v>54</v>
      </c>
      <c r="C2" s="673"/>
      <c r="D2" s="673"/>
      <c r="E2" s="673"/>
      <c r="F2" s="673"/>
      <c r="G2" s="673"/>
      <c r="H2" s="674"/>
      <c r="J2" s="672" t="s">
        <v>55</v>
      </c>
      <c r="K2" s="673"/>
      <c r="L2" s="673"/>
      <c r="M2" s="673"/>
      <c r="N2" s="673"/>
      <c r="O2" s="673"/>
      <c r="P2" s="673"/>
      <c r="Q2" s="673"/>
      <c r="R2" s="673"/>
      <c r="S2" s="673"/>
      <c r="T2" s="673"/>
      <c r="U2" s="673"/>
      <c r="V2" s="674"/>
    </row>
    <row r="3" spans="2:34" ht="15" customHeight="1" thickBot="1">
      <c r="B3" s="205"/>
      <c r="C3" s="206"/>
      <c r="D3" s="207"/>
      <c r="E3" s="207"/>
      <c r="F3" s="206"/>
      <c r="G3" s="206"/>
      <c r="H3" s="208"/>
      <c r="J3" s="113"/>
      <c r="K3" s="111"/>
      <c r="L3" s="111"/>
      <c r="M3" s="111"/>
      <c r="N3" s="111"/>
      <c r="O3" s="111"/>
      <c r="P3" s="111"/>
      <c r="Q3" s="111"/>
      <c r="R3" s="111"/>
      <c r="S3" s="111"/>
      <c r="T3" s="111"/>
      <c r="U3" s="111"/>
      <c r="V3" s="112"/>
    </row>
    <row r="4" spans="2:34" ht="15" customHeight="1" thickBot="1">
      <c r="B4" s="113"/>
      <c r="C4" s="209" t="s">
        <v>46</v>
      </c>
      <c r="D4" s="210">
        <v>46234</v>
      </c>
      <c r="E4" s="111"/>
      <c r="F4" s="691" t="s">
        <v>42</v>
      </c>
      <c r="G4" s="692"/>
      <c r="H4" s="112"/>
      <c r="J4" s="113"/>
      <c r="K4" s="111"/>
      <c r="L4" s="654" t="s">
        <v>159</v>
      </c>
      <c r="M4" s="655"/>
      <c r="N4" s="656"/>
      <c r="O4" s="111"/>
      <c r="P4" s="688" t="s">
        <v>171</v>
      </c>
      <c r="Q4" s="689"/>
      <c r="R4" s="690"/>
      <c r="S4" s="111"/>
      <c r="T4" s="211" t="s">
        <v>123</v>
      </c>
      <c r="U4" s="111"/>
      <c r="V4" s="112"/>
    </row>
    <row r="5" spans="2:34" ht="15" customHeight="1" thickBot="1">
      <c r="B5" s="113"/>
      <c r="C5" s="657" t="s">
        <v>162</v>
      </c>
      <c r="D5" s="670">
        <v>3</v>
      </c>
      <c r="E5" s="111"/>
      <c r="F5" s="648" t="s">
        <v>164</v>
      </c>
      <c r="G5" s="649"/>
      <c r="H5" s="112"/>
      <c r="J5" s="113"/>
      <c r="K5" s="111"/>
      <c r="L5" s="212" t="s">
        <v>160</v>
      </c>
      <c r="M5" s="213"/>
      <c r="N5" s="214">
        <v>2019</v>
      </c>
      <c r="O5" s="111"/>
      <c r="P5" s="684" t="s">
        <v>172</v>
      </c>
      <c r="Q5" s="685"/>
      <c r="R5" s="177" t="n">
        <f>IFERROR(ROUND(VLOOKUP($N$5, $K$11:$R$35, 8, FALSE), -2), "Select Year")</f>
        <v>5100</v>
      </c>
      <c r="S5" s="111"/>
      <c r="T5" s="215" t="s">
        <v>45</v>
      </c>
      <c r="U5" s="659" t="s">
        <v>176</v>
      </c>
      <c r="V5" s="112"/>
      <c r="AF5" s="660" t="s">
        <v>43</v>
      </c>
      <c r="AG5" s="661"/>
      <c r="AH5" s="662"/>
    </row>
    <row r="6" spans="2:34" ht="15" customHeight="1" thickTop="1" thickBot="1">
      <c r="B6" s="113"/>
      <c r="C6" s="658"/>
      <c r="D6" s="671"/>
      <c r="E6" s="111"/>
      <c r="F6" s="668" t="s">
        <v>165</v>
      </c>
      <c r="G6" s="669"/>
      <c r="H6" s="112"/>
      <c r="J6" s="113"/>
      <c r="K6" s="111"/>
      <c r="L6" s="216" t="s">
        <v>161</v>
      </c>
      <c r="M6" s="217"/>
      <c r="N6" s="218">
        <v>2025</v>
      </c>
      <c r="O6" s="111"/>
      <c r="P6" s="686" t="s">
        <v>173</v>
      </c>
      <c r="Q6" s="687"/>
      <c r="R6" s="178" t="n">
        <f>IFERROR(ROUND(VLOOKUP($N$6, $K$11:$R$35, 8, FALSE), -2), "Select Year")</f>
        <v>4300</v>
      </c>
      <c r="S6" s="111"/>
      <c r="T6" s="111"/>
      <c r="U6" s="659"/>
      <c r="V6" s="112"/>
      <c r="AF6" s="250"/>
      <c r="AG6" s="251"/>
      <c r="AH6" s="252"/>
    </row>
    <row r="7" spans="2:34" s="97" customFormat="1" ht="15" customHeight="1" thickBot="1">
      <c r="B7" s="113"/>
      <c r="C7" s="111"/>
      <c r="D7" s="114"/>
      <c r="E7" s="114"/>
      <c r="F7" s="111"/>
      <c r="G7" s="111"/>
      <c r="H7" s="112"/>
      <c r="J7" s="113"/>
      <c r="K7" s="111"/>
      <c r="L7" s="111"/>
      <c r="M7" s="111"/>
      <c r="N7" s="111"/>
      <c r="O7" s="111"/>
      <c r="P7" s="111"/>
      <c r="Q7" s="111"/>
      <c r="R7" s="111"/>
      <c r="S7" s="111"/>
      <c r="T7" s="219"/>
      <c r="U7" s="659"/>
      <c r="V7" s="112"/>
      <c r="W7" s="98"/>
      <c r="X7" s="98"/>
      <c r="Y7" s="98"/>
      <c r="Z7" s="98"/>
      <c r="AA7" s="98"/>
      <c r="AF7" s="253"/>
      <c r="AG7" s="254"/>
      <c r="AH7" s="255" t="s">
        <v>44</v>
      </c>
    </row>
    <row r="8" spans="2:34" ht="15" customHeight="1" thickBot="1">
      <c r="B8" s="220"/>
      <c r="C8" s="221" t="s">
        <v>163</v>
      </c>
      <c r="D8" s="222" t="s">
        <v>142</v>
      </c>
      <c r="E8" s="223" t="s">
        <v>143</v>
      </c>
      <c r="F8" s="222" t="s">
        <v>166</v>
      </c>
      <c r="G8" s="223" t="s">
        <v>167</v>
      </c>
      <c r="H8" s="224"/>
      <c r="I8" s="225"/>
      <c r="J8" s="113"/>
      <c r="K8" s="675" t="s">
        <v>124</v>
      </c>
      <c r="L8" s="676"/>
      <c r="M8" s="676"/>
      <c r="N8" s="676"/>
      <c r="O8" s="676"/>
      <c r="P8" s="676"/>
      <c r="Q8" s="676"/>
      <c r="R8" s="677"/>
      <c r="S8" s="111"/>
      <c r="T8" s="215" t="s">
        <v>45</v>
      </c>
      <c r="U8" s="659" t="s">
        <v>126</v>
      </c>
      <c r="V8" s="112"/>
      <c r="AF8" s="256" t="n">
        <f>YEAR(E9)</f>
        <v>2021</v>
      </c>
      <c r="AG8" t="n">
        <f>MONTH(E9)</f>
        <v>9</v>
      </c>
      <c r="AH8" s="257" t="n">
        <f>(YEAR(D10)-YEAR(D9))*12+MONTH(D10)-MONTH(D9)</f>
        <v>55</v>
      </c>
    </row>
    <row r="9" spans="2:34" ht="15" customHeight="1">
      <c r="B9" s="113"/>
      <c r="C9" s="226" t="s">
        <v>112</v>
      </c>
      <c r="D9" s="179" t="n">
        <f>IF(B14,D14,DATE(AF8-F11,AG8-G11+1,1))</f>
        <v>42795</v>
      </c>
      <c r="E9" s="182" t="n">
        <f>D10-1</f>
        <v>44469</v>
      </c>
      <c r="F9" s="184" t="n">
        <f>ROUNDDOWN(AH8/12,0)</f>
        <v>4</v>
      </c>
      <c r="G9" s="185" t="n">
        <f>AH8-12*F9</f>
        <v>7</v>
      </c>
      <c r="H9" s="112"/>
      <c r="J9" s="113"/>
      <c r="K9" s="678" t="s">
        <v>31</v>
      </c>
      <c r="L9" s="680" t="s">
        <v>32</v>
      </c>
      <c r="M9" s="682" t="s">
        <v>33</v>
      </c>
      <c r="N9" s="663" t="s">
        <v>34</v>
      </c>
      <c r="O9" s="680" t="s">
        <v>36</v>
      </c>
      <c r="P9" s="682" t="s">
        <v>37</v>
      </c>
      <c r="Q9" s="663" t="s">
        <v>35</v>
      </c>
      <c r="R9" s="665" t="s">
        <v>41</v>
      </c>
      <c r="S9" s="111"/>
      <c r="T9" s="111"/>
      <c r="U9" s="659"/>
      <c r="V9" s="112"/>
      <c r="AF9" s="256" t="n">
        <f>YEAR(E10)</f>
        <v>2021</v>
      </c>
      <c r="AG9" t="n">
        <f>MONTH(E10)</f>
        <v>12</v>
      </c>
      <c r="AH9" s="258" t="n">
        <f>(YEAR(D11)-YEAR(D10))*12+MONTH(D11)-MONTH(D10)</f>
        <v>3</v>
      </c>
    </row>
    <row r="10" spans="2:34" ht="15" customHeight="1" thickBot="1">
      <c r="B10" s="113"/>
      <c r="C10" s="228" t="s">
        <v>144</v>
      </c>
      <c r="D10" s="180" t="n">
        <f>DATE(AF9,AG9-(D5-1),1)</f>
        <v>44470</v>
      </c>
      <c r="E10" s="229">
        <v>44561</v>
      </c>
      <c r="F10" s="186" t="n">
        <f>ROUNDDOWN(AH9/12,0)</f>
        <v>0</v>
      </c>
      <c r="G10" s="187" t="n">
        <f>AH9-12*F10</f>
        <v>3</v>
      </c>
      <c r="H10" s="112"/>
      <c r="J10" s="113"/>
      <c r="K10" s="679"/>
      <c r="L10" s="681"/>
      <c r="M10" s="683"/>
      <c r="N10" s="664"/>
      <c r="O10" s="681"/>
      <c r="P10" s="683"/>
      <c r="Q10" s="664"/>
      <c r="R10" s="666"/>
      <c r="S10" s="111"/>
      <c r="T10" s="215" t="s">
        <v>45</v>
      </c>
      <c r="U10" s="659" t="s">
        <v>127</v>
      </c>
      <c r="V10" s="112"/>
      <c r="AF10" s="259"/>
      <c r="AG10" s="260" t="n">
        <f>E11+1</f>
        <v>46235</v>
      </c>
      <c r="AH10" s="261" t="n">
        <f>(YEAR(AG10)-YEAR(D11))*12+MONTH(AG10)-MONTH(D11)</f>
        <v>55</v>
      </c>
    </row>
    <row r="11" spans="2:34" ht="15" customHeight="1" thickBot="1">
      <c r="B11" s="113"/>
      <c r="C11" s="230" t="s">
        <v>113</v>
      </c>
      <c r="D11" s="181" t="n">
        <f>E10+1</f>
        <v>44562</v>
      </c>
      <c r="E11" s="183" t="n">
        <f>D4</f>
        <v>46234</v>
      </c>
      <c r="F11" s="188" t="n">
        <f>ROUNDDOWN(AH10/12,0)</f>
        <v>4</v>
      </c>
      <c r="G11" s="189" t="n">
        <f>AH10-12*F11</f>
        <v>7</v>
      </c>
      <c r="H11" s="112"/>
      <c r="J11" s="113"/>
      <c r="K11" s="231">
        <v>2010</v>
      </c>
      <c r="L11" s="553"/>
      <c r="M11" s="554"/>
      <c r="N11" s="175" t="str">
        <f t="shared" ref="N11:N35" si="0">IF(COUNT(L11:M11) = 0, "",L11/2+M11/2)</f>
        <v/>
      </c>
      <c r="O11" s="562"/>
      <c r="P11" s="554"/>
      <c r="Q11" s="175" t="str">
        <f t="shared" ref="Q11:Q27" si="1">IF(COUNT(O11:P11) = 0, "",O11/2+P11/2)</f>
        <v/>
      </c>
      <c r="R11" s="247" t="str">
        <f t="shared" ref="R11" si="2">IF(COUNT(L11:M11) = 0, "",N11+Q11)</f>
        <v/>
      </c>
      <c r="S11" s="111"/>
      <c r="T11" s="111"/>
      <c r="U11" s="659"/>
      <c r="V11" s="224"/>
      <c r="AB11" s="232"/>
    </row>
    <row r="12" spans="2:34" ht="15" customHeight="1">
      <c r="B12" s="113"/>
      <c r="C12" s="111"/>
      <c r="D12" s="233"/>
      <c r="E12" s="233"/>
      <c r="F12" s="114"/>
      <c r="G12" s="114"/>
      <c r="H12" s="112"/>
      <c r="J12" s="113"/>
      <c r="K12" s="234">
        <v>2011</v>
      </c>
      <c r="L12" s="555"/>
      <c r="M12" s="556"/>
      <c r="N12" s="174" t="str">
        <f t="shared" si="0"/>
        <v/>
      </c>
      <c r="O12" s="555"/>
      <c r="P12" s="557"/>
      <c r="Q12" s="174" t="str">
        <f t="shared" si="1"/>
        <v/>
      </c>
      <c r="R12" s="248" t="str">
        <f>IF(COUNT(L12:M12) = 0, "",N12+Q12)</f>
        <v/>
      </c>
      <c r="S12" s="111"/>
      <c r="T12" s="215" t="s">
        <v>45</v>
      </c>
      <c r="U12" s="659" t="s">
        <v>125</v>
      </c>
      <c r="V12" s="224"/>
      <c r="W12" s="173"/>
    </row>
    <row r="13" spans="2:34" ht="15" customHeight="1" thickBot="1">
      <c r="B13" s="113"/>
      <c r="C13" s="111"/>
      <c r="D13" s="235"/>
      <c r="E13" s="235"/>
      <c r="F13" s="111"/>
      <c r="G13" s="111"/>
      <c r="H13" s="112"/>
      <c r="J13" s="113"/>
      <c r="K13" s="234">
        <v>2012</v>
      </c>
      <c r="L13" s="555"/>
      <c r="M13" s="556"/>
      <c r="N13" s="174" t="str">
        <f t="shared" si="0"/>
        <v/>
      </c>
      <c r="O13" s="555"/>
      <c r="P13" s="557"/>
      <c r="Q13" s="174" t="str">
        <f t="shared" si="1"/>
        <v/>
      </c>
      <c r="R13" s="248" t="str">
        <f t="shared" ref="R13:R22" si="3">IF(COUNT(L13:M13) = 0, "",N13+Q13)</f>
        <v/>
      </c>
      <c r="S13" s="111"/>
      <c r="T13" s="111"/>
      <c r="U13" s="659"/>
      <c r="V13" s="112"/>
      <c r="W13" s="173"/>
    </row>
    <row r="14" spans="2:34" ht="15" customHeight="1" thickBot="1">
      <c r="B14" s="236" t="b">
        <v>0</v>
      </c>
      <c r="C14" s="237" t="s">
        <v>445</v>
      </c>
      <c r="D14" s="238">
        <v>42552</v>
      </c>
      <c r="E14" s="235"/>
      <c r="F14" s="111"/>
      <c r="G14" s="111"/>
      <c r="H14" s="112"/>
      <c r="J14" s="113"/>
      <c r="K14" s="234">
        <v>2013</v>
      </c>
      <c r="L14" s="555"/>
      <c r="M14" s="556"/>
      <c r="N14" s="174" t="str">
        <f t="shared" si="0"/>
        <v/>
      </c>
      <c r="O14" s="555"/>
      <c r="P14" s="557"/>
      <c r="Q14" s="174" t="str">
        <f t="shared" si="1"/>
        <v/>
      </c>
      <c r="R14" s="248" t="str">
        <f t="shared" si="3"/>
        <v/>
      </c>
      <c r="S14" s="111"/>
      <c r="T14" s="111"/>
      <c r="U14" s="659"/>
      <c r="V14" s="112"/>
    </row>
    <row r="15" spans="2:34" ht="15" customHeight="1">
      <c r="B15" s="113"/>
      <c r="C15" s="111"/>
      <c r="D15" s="233"/>
      <c r="E15" s="233"/>
      <c r="F15" s="111"/>
      <c r="G15" s="111"/>
      <c r="H15" s="112"/>
      <c r="J15" s="113"/>
      <c r="K15" s="234">
        <v>2014</v>
      </c>
      <c r="L15" s="555"/>
      <c r="M15" s="556"/>
      <c r="N15" s="174" t="str">
        <f t="shared" si="0"/>
        <v/>
      </c>
      <c r="O15" s="555"/>
      <c r="P15" s="557"/>
      <c r="Q15" s="174" t="str">
        <f t="shared" si="1"/>
        <v/>
      </c>
      <c r="R15" s="248" t="str">
        <f t="shared" si="3"/>
        <v/>
      </c>
      <c r="S15" s="111"/>
      <c r="T15" s="215" t="s">
        <v>45</v>
      </c>
      <c r="U15" s="659" t="s">
        <v>128</v>
      </c>
      <c r="V15" s="112"/>
    </row>
    <row r="16" spans="2:34" ht="15" customHeight="1">
      <c r="B16" s="164" t="s">
        <v>106</v>
      </c>
      <c r="C16" s="111"/>
      <c r="D16" s="114"/>
      <c r="E16" s="114"/>
      <c r="F16" s="111"/>
      <c r="G16" s="111"/>
      <c r="H16" s="112"/>
      <c r="J16" s="113"/>
      <c r="K16" s="234">
        <v>2015</v>
      </c>
      <c r="L16" s="555"/>
      <c r="M16" s="556"/>
      <c r="N16" s="174" t="str">
        <f t="shared" si="0"/>
        <v/>
      </c>
      <c r="O16" s="555"/>
      <c r="P16" s="557"/>
      <c r="Q16" s="174" t="str">
        <f t="shared" si="1"/>
        <v/>
      </c>
      <c r="R16" s="248" t="str">
        <f t="shared" si="3"/>
        <v/>
      </c>
      <c r="S16" s="111"/>
      <c r="T16" s="111"/>
      <c r="U16" s="659"/>
      <c r="V16" s="112"/>
    </row>
    <row r="17" spans="2:22" ht="15" customHeight="1">
      <c r="B17" s="239" t="s">
        <v>45</v>
      </c>
      <c r="C17" s="667" t="s">
        <v>169</v>
      </c>
      <c r="D17" s="667"/>
      <c r="E17" s="667"/>
      <c r="F17" s="667"/>
      <c r="G17" s="667"/>
      <c r="H17" s="112"/>
      <c r="J17" s="113"/>
      <c r="K17" s="234">
        <v>2016</v>
      </c>
      <c r="L17" s="599"/>
      <c r="M17" s="598"/>
      <c r="N17" s="174" t="str">
        <f t="shared" si="0"/>
        <v/>
      </c>
      <c r="O17" s="597"/>
      <c r="P17" s="556"/>
      <c r="Q17" s="174" t="str">
        <f t="shared" si="1"/>
        <v/>
      </c>
      <c r="R17" s="248" t="str">
        <f t="shared" si="3"/>
        <v/>
      </c>
      <c r="S17" s="111"/>
      <c r="T17" s="111"/>
      <c r="U17" s="659"/>
      <c r="V17" s="240"/>
    </row>
    <row r="18" spans="2:22" ht="15" customHeight="1">
      <c r="B18" s="113"/>
      <c r="C18" s="667"/>
      <c r="D18" s="667"/>
      <c r="E18" s="667"/>
      <c r="F18" s="667"/>
      <c r="G18" s="667"/>
      <c r="H18" s="112"/>
      <c r="J18" s="113"/>
      <c r="K18" s="234">
        <v>2017</v>
      </c>
      <c r="L18" s="625" t="n">
        <f>L62</f>
        <v>3900</v>
      </c>
      <c r="M18" s="626" t="n">
        <f>M62</f>
        <v>2400</v>
      </c>
      <c r="N18" s="174" t="n">
        <f t="shared" si="0"/>
        <v>3150</v>
      </c>
      <c r="O18" s="627" t="n">
        <f>O62</f>
        <v>3400</v>
      </c>
      <c r="P18" s="598" t="n">
        <f>ROUND(AVERAGE(P61,P19),-2)</f>
        <v>1900</v>
      </c>
      <c r="Q18" s="174" t="n">
        <f t="shared" si="1"/>
        <v>2650</v>
      </c>
      <c r="R18" s="248" t="n">
        <f t="shared" si="3"/>
        <v>5800</v>
      </c>
      <c r="S18" s="111"/>
      <c r="T18" s="215" t="s">
        <v>45</v>
      </c>
      <c r="U18" s="111" t="s">
        <v>177</v>
      </c>
      <c r="V18" s="240"/>
    </row>
    <row r="19" spans="2:22" ht="15" customHeight="1">
      <c r="B19" s="239" t="s">
        <v>45</v>
      </c>
      <c r="C19" s="667" t="s">
        <v>170</v>
      </c>
      <c r="D19" s="667"/>
      <c r="E19" s="667"/>
      <c r="F19" s="667"/>
      <c r="G19" s="667"/>
      <c r="H19" s="112"/>
      <c r="J19" s="113">
        <v>5</v>
      </c>
      <c r="K19" s="234">
        <v>2018</v>
      </c>
      <c r="L19" s="599" t="n">
        <f>ROUND(AVERAGE(L18,L20),-2)</f>
        <v>3700</v>
      </c>
      <c r="M19" s="598" t="n">
        <f>ROUND($M$24+($M$18-$M$24)*J19/6,-2)</f>
        <v>2300</v>
      </c>
      <c r="N19" s="174" t="n">
        <f t="shared" si="0"/>
        <v>3000</v>
      </c>
      <c r="O19" s="599" t="n">
        <f>ROUND(AVERAGE(O18,O20),-2)</f>
        <v>3100</v>
      </c>
      <c r="P19" s="626" t="n">
        <f t="shared" ref="O19:P26" si="4">P63</f>
        <v>1800</v>
      </c>
      <c r="Q19" s="174" t="n">
        <f t="shared" si="1"/>
        <v>2450</v>
      </c>
      <c r="R19" s="248" t="n">
        <f t="shared" si="3"/>
        <v>5450</v>
      </c>
      <c r="S19" s="111"/>
      <c r="T19" s="215" t="s">
        <v>45</v>
      </c>
      <c r="U19" s="667" t="s">
        <v>178</v>
      </c>
      <c r="V19" s="112"/>
    </row>
    <row r="20" spans="2:22" ht="15" customHeight="1">
      <c r="B20" s="113"/>
      <c r="C20" s="667"/>
      <c r="D20" s="667"/>
      <c r="E20" s="667"/>
      <c r="F20" s="667"/>
      <c r="G20" s="667"/>
      <c r="H20" s="112"/>
      <c r="J20" s="113">
        <v>4</v>
      </c>
      <c r="K20" s="234">
        <v>2019</v>
      </c>
      <c r="L20" s="625" t="n">
        <f t="shared" ref="L20:L26" si="5">L64</f>
        <v>3500</v>
      </c>
      <c r="M20" s="598" t="n">
        <f t="shared" ref="M20:M23" si="6">ROUND($M$24+($M$18-$M$24)*J20/6,-2)</f>
        <v>2200</v>
      </c>
      <c r="N20" s="174" t="n">
        <f t="shared" si="0"/>
        <v>2850</v>
      </c>
      <c r="O20" s="627" t="n">
        <f t="shared" si="4"/>
        <v>2700</v>
      </c>
      <c r="P20" s="598" t="n">
        <f>ROUND($P$19-($P$19-$P$23)*1/4,-2)</f>
        <v>1700</v>
      </c>
      <c r="Q20" s="174" t="n">
        <f t="shared" si="1"/>
        <v>2200</v>
      </c>
      <c r="R20" s="248" t="n">
        <f t="shared" si="3"/>
        <v>5050</v>
      </c>
      <c r="S20" s="111"/>
      <c r="T20" s="111"/>
      <c r="U20" s="667"/>
      <c r="V20" s="112"/>
    </row>
    <row r="21" spans="2:22" ht="15" customHeight="1">
      <c r="B21" s="239" t="s">
        <v>45</v>
      </c>
      <c r="C21" s="667" t="s">
        <v>168</v>
      </c>
      <c r="D21" s="667"/>
      <c r="E21" s="667"/>
      <c r="F21" s="667"/>
      <c r="G21" s="667"/>
      <c r="H21" s="112"/>
      <c r="J21" s="113">
        <v>3</v>
      </c>
      <c r="K21" s="234">
        <v>2020</v>
      </c>
      <c r="L21" s="599" t="n">
        <f>ROUND(AVERAGE(L20,L22)*0.85,-2)</f>
        <v>2800</v>
      </c>
      <c r="M21" s="598" t="n">
        <f>ROUND(($M$24+($M$18-$M$24)*J21/6)*0.85,-2)</f>
        <v>1800</v>
      </c>
      <c r="N21" s="174" t="n">
        <f t="shared" si="0"/>
        <v>2300</v>
      </c>
      <c r="O21" s="599" t="n">
        <f>ROUND(AVERAGE(O20,O22)*0.85,-2)</f>
        <v>2200</v>
      </c>
      <c r="P21" s="598" t="n">
        <f>ROUND(($P$19-($P$19-$P$23)*2/4)*0.85,-2)</f>
        <v>1300</v>
      </c>
      <c r="Q21" s="174" t="n">
        <f t="shared" si="1"/>
        <v>1750</v>
      </c>
      <c r="R21" s="248" t="n">
        <f t="shared" si="3"/>
        <v>4050</v>
      </c>
      <c r="S21" s="111"/>
      <c r="T21" s="111"/>
      <c r="U21" s="667"/>
      <c r="V21" s="112"/>
    </row>
    <row r="22" spans="2:22" ht="15" customHeight="1">
      <c r="B22" s="239"/>
      <c r="C22" s="667"/>
      <c r="D22" s="667"/>
      <c r="E22" s="667"/>
      <c r="F22" s="667"/>
      <c r="G22" s="667"/>
      <c r="H22" s="112"/>
      <c r="J22" s="113">
        <v>2</v>
      </c>
      <c r="K22" s="234">
        <v>2021</v>
      </c>
      <c r="L22" s="599" t="n">
        <f>ROUND(AVERAGE(L20,L24),-2)</f>
        <v>3200</v>
      </c>
      <c r="M22" s="598" t="n">
        <f t="shared" si="6"/>
        <v>2100</v>
      </c>
      <c r="N22" s="174" t="n">
        <f t="shared" si="0"/>
        <v>2650</v>
      </c>
      <c r="O22" s="599" t="n">
        <f>ROUND(AVERAGE(O20,O24),-2)</f>
        <v>2500</v>
      </c>
      <c r="P22" s="598" t="n">
        <f>ROUND($P$19-($P$19-$P$23)*3/4,-2)</f>
        <v>1400</v>
      </c>
      <c r="Q22" s="174" t="n">
        <f t="shared" si="1"/>
        <v>1950</v>
      </c>
      <c r="R22" s="248" t="n">
        <f t="shared" si="3"/>
        <v>4600</v>
      </c>
      <c r="S22" s="111"/>
      <c r="T22" s="215" t="s">
        <v>45</v>
      </c>
      <c r="U22" s="659" t="s">
        <v>179</v>
      </c>
      <c r="V22" s="112"/>
    </row>
    <row r="23" spans="2:22" ht="15" customHeight="1">
      <c r="B23" s="239" t="s">
        <v>45</v>
      </c>
      <c r="C23" s="667" t="s">
        <v>701</v>
      </c>
      <c r="D23" s="667"/>
      <c r="E23" s="667"/>
      <c r="F23" s="667"/>
      <c r="G23" s="667"/>
      <c r="H23" s="112"/>
      <c r="J23" s="113">
        <v>1</v>
      </c>
      <c r="K23" s="234">
        <v>2022</v>
      </c>
      <c r="L23" s="599" t="n">
        <f>ROUND(AVERAGE(L22,L24),-2)</f>
        <v>3000</v>
      </c>
      <c r="M23" s="598" t="n">
        <f t="shared" si="6"/>
        <v>2000</v>
      </c>
      <c r="N23" s="174" t="n">
        <f t="shared" si="0"/>
        <v>2500</v>
      </c>
      <c r="O23" s="599" t="n">
        <f>ROUND(AVERAGE(O22,O24),-2)</f>
        <v>2400</v>
      </c>
      <c r="P23" s="626" t="n">
        <f t="shared" si="4"/>
        <v>1200</v>
      </c>
      <c r="Q23" s="174" t="n">
        <f t="shared" si="1"/>
        <v>1800</v>
      </c>
      <c r="R23" s="248" t="n">
        <f t="shared" ref="R23:R27" si="7">IF(COUNT(L23:M23) = 0, "",N23+Q23)</f>
        <v>4300</v>
      </c>
      <c r="S23" s="111"/>
      <c r="T23" s="111"/>
      <c r="U23" s="659"/>
      <c r="V23" s="112"/>
    </row>
    <row r="24" spans="2:22" ht="15" customHeight="1">
      <c r="B24" s="113"/>
      <c r="C24" s="667"/>
      <c r="D24" s="667"/>
      <c r="E24" s="667"/>
      <c r="F24" s="667"/>
      <c r="G24" s="667"/>
      <c r="H24" s="112"/>
      <c r="J24" s="113"/>
      <c r="K24" s="234">
        <v>2023</v>
      </c>
      <c r="L24" s="625" t="n">
        <f t="shared" si="5"/>
        <v>2800</v>
      </c>
      <c r="M24" s="626" t="n">
        <f t="shared" ref="M24:M26" si="8">M68</f>
        <v>1900</v>
      </c>
      <c r="N24" s="174" t="n">
        <f t="shared" si="0"/>
        <v>2350</v>
      </c>
      <c r="O24" s="627" t="n">
        <f t="shared" si="4"/>
        <v>2200</v>
      </c>
      <c r="P24" s="598" t="n">
        <f>ROUND(AVERAGE(P23,P25),-2)</f>
        <v>1300</v>
      </c>
      <c r="Q24" s="174" t="n">
        <f t="shared" si="1"/>
        <v>1750</v>
      </c>
      <c r="R24" s="248" t="n">
        <f t="shared" si="7"/>
        <v>4100</v>
      </c>
      <c r="S24" s="111"/>
      <c r="T24" s="111"/>
      <c r="U24" s="659"/>
      <c r="V24" s="112"/>
    </row>
    <row r="25" spans="2:22" ht="14.7" thickBot="1">
      <c r="B25" s="169"/>
      <c r="C25" s="170"/>
      <c r="D25" s="241"/>
      <c r="E25" s="241"/>
      <c r="F25" s="170"/>
      <c r="G25" s="170"/>
      <c r="H25" s="172"/>
      <c r="J25" s="113"/>
      <c r="K25" s="234">
        <v>2024</v>
      </c>
      <c r="L25" s="625" t="n">
        <f t="shared" si="5"/>
        <v>2900</v>
      </c>
      <c r="M25" s="626" t="n">
        <f t="shared" si="8"/>
        <v>2000</v>
      </c>
      <c r="N25" s="174" t="n">
        <f t="shared" si="0"/>
        <v>2450</v>
      </c>
      <c r="O25" s="627" t="n">
        <f t="shared" si="4"/>
        <v>2300</v>
      </c>
      <c r="P25" s="626" t="n">
        <f t="shared" si="4"/>
        <v>1300</v>
      </c>
      <c r="Q25" s="174" t="n">
        <f t="shared" si="1"/>
        <v>1800</v>
      </c>
      <c r="R25" s="248" t="n">
        <f t="shared" si="7"/>
        <v>4250</v>
      </c>
      <c r="S25" s="111"/>
      <c r="T25" s="111"/>
      <c r="U25" s="659"/>
      <c r="V25" s="112"/>
    </row>
    <row r="26" spans="2:22" ht="15" customHeight="1">
      <c r="J26" s="113"/>
      <c r="K26" s="234">
        <v>2025</v>
      </c>
      <c r="L26" s="625" t="n">
        <f t="shared" si="5"/>
        <v>2800</v>
      </c>
      <c r="M26" s="626" t="n">
        <f t="shared" si="8"/>
        <v>1900</v>
      </c>
      <c r="N26" s="174" t="n">
        <f t="shared" si="0"/>
        <v>2350</v>
      </c>
      <c r="O26" s="627" t="n">
        <f t="shared" si="4"/>
        <v>2500</v>
      </c>
      <c r="P26" s="626" t="n">
        <f t="shared" si="4"/>
        <v>1300</v>
      </c>
      <c r="Q26" s="174" t="n">
        <f t="shared" si="1"/>
        <v>1900</v>
      </c>
      <c r="R26" s="248" t="n">
        <f t="shared" si="7"/>
        <v>4250</v>
      </c>
      <c r="S26" s="111"/>
      <c r="T26" s="111"/>
      <c r="U26" s="659"/>
      <c r="V26" s="112"/>
    </row>
    <row r="27" spans="2:22" ht="15" customHeight="1">
      <c r="J27" s="113"/>
      <c r="K27" s="234">
        <v>2026</v>
      </c>
      <c r="L27" s="599" t="n">
        <f>L26</f>
        <v>2800</v>
      </c>
      <c r="M27" s="598" t="n">
        <f>M26</f>
        <v>1900</v>
      </c>
      <c r="N27" s="174" t="n">
        <f t="shared" si="0"/>
        <v>2350</v>
      </c>
      <c r="O27" s="597" t="n">
        <f>O26</f>
        <v>2500</v>
      </c>
      <c r="P27" s="598" t="n">
        <f>P26</f>
        <v>1300</v>
      </c>
      <c r="Q27" s="174" t="n">
        <f t="shared" si="1"/>
        <v>1900</v>
      </c>
      <c r="R27" s="248" t="n">
        <f t="shared" si="7"/>
        <v>4250</v>
      </c>
      <c r="S27" s="111"/>
      <c r="T27" s="111"/>
      <c r="U27" s="659"/>
      <c r="V27" s="112"/>
    </row>
    <row r="28" spans="2:22" ht="15" customHeight="1">
      <c r="F28" s="232"/>
      <c r="J28" s="113"/>
      <c r="K28" s="234">
        <v>2027</v>
      </c>
      <c r="L28" s="557"/>
      <c r="M28" s="556"/>
      <c r="N28" s="174" t="str">
        <f t="shared" si="0"/>
        <v/>
      </c>
      <c r="O28" s="627"/>
      <c r="P28" s="626"/>
      <c r="Q28" s="174" t="str">
        <f t="shared" ref="Q28:Q35" si="9">IF(COUNT(O28:P28) = 0, "",O28/2+P28/2)</f>
        <v/>
      </c>
      <c r="R28" s="248" t="str">
        <f t="shared" ref="R28:R35" si="10">IF(COUNT(L28:M28) = 0, "",N28+Q28)</f>
        <v/>
      </c>
      <c r="S28" s="111"/>
      <c r="T28" s="242" t="s">
        <v>45</v>
      </c>
      <c r="U28" s="243" t="s">
        <v>180</v>
      </c>
      <c r="V28" s="112"/>
    </row>
    <row r="29" spans="2:22" ht="15" customHeight="1">
      <c r="J29" s="113"/>
      <c r="K29" s="234">
        <v>2028</v>
      </c>
      <c r="L29" s="557"/>
      <c r="M29" s="556"/>
      <c r="N29" s="174" t="str">
        <f t="shared" si="0"/>
        <v/>
      </c>
      <c r="O29" s="555"/>
      <c r="P29" s="556"/>
      <c r="Q29" s="174" t="str">
        <f t="shared" si="9"/>
        <v/>
      </c>
      <c r="R29" s="248" t="str">
        <f t="shared" si="10"/>
        <v/>
      </c>
      <c r="S29" s="111"/>
      <c r="T29" s="244"/>
      <c r="U29" s="243"/>
      <c r="V29" s="112"/>
    </row>
    <row r="30" spans="2:22" ht="15" customHeight="1">
      <c r="J30" s="113"/>
      <c r="K30" s="234">
        <v>2029</v>
      </c>
      <c r="L30" s="557"/>
      <c r="M30" s="556"/>
      <c r="N30" s="174" t="str">
        <f t="shared" si="0"/>
        <v/>
      </c>
      <c r="O30" s="555"/>
      <c r="P30" s="556"/>
      <c r="Q30" s="174" t="str">
        <f t="shared" si="9"/>
        <v/>
      </c>
      <c r="R30" s="248" t="str">
        <f t="shared" si="10"/>
        <v/>
      </c>
      <c r="S30" s="111"/>
      <c r="T30" s="244"/>
      <c r="U30" s="243"/>
      <c r="V30" s="112"/>
    </row>
    <row r="31" spans="2:22" ht="15" customHeight="1">
      <c r="J31" s="113"/>
      <c r="K31" s="234">
        <v>2030</v>
      </c>
      <c r="L31" s="557"/>
      <c r="M31" s="556"/>
      <c r="N31" s="174" t="str">
        <f t="shared" si="0"/>
        <v/>
      </c>
      <c r="O31" s="556"/>
      <c r="P31" s="556"/>
      <c r="Q31" s="174" t="str">
        <f t="shared" si="9"/>
        <v/>
      </c>
      <c r="R31" s="248" t="str">
        <f t="shared" si="10"/>
        <v/>
      </c>
      <c r="S31" s="111"/>
      <c r="T31" s="244"/>
      <c r="U31" s="243"/>
      <c r="V31" s="112"/>
    </row>
    <row r="32" spans="2:22" ht="15" customHeight="1">
      <c r="J32" s="113"/>
      <c r="K32" s="234">
        <v>2031</v>
      </c>
      <c r="L32" s="558"/>
      <c r="M32" s="559"/>
      <c r="N32" s="174" t="str">
        <f t="shared" si="0"/>
        <v/>
      </c>
      <c r="O32" s="563"/>
      <c r="P32" s="559"/>
      <c r="Q32" s="174" t="str">
        <f t="shared" si="9"/>
        <v/>
      </c>
      <c r="R32" s="248" t="str">
        <f t="shared" si="10"/>
        <v/>
      </c>
      <c r="S32" s="111"/>
      <c r="T32" s="244"/>
      <c r="U32" s="243"/>
      <c r="V32" s="112"/>
    </row>
    <row r="33" spans="7:22" ht="15" customHeight="1">
      <c r="J33" s="113"/>
      <c r="K33" s="234">
        <v>2032</v>
      </c>
      <c r="L33" s="558"/>
      <c r="M33" s="559"/>
      <c r="N33" s="174" t="str">
        <f t="shared" si="0"/>
        <v/>
      </c>
      <c r="O33" s="563"/>
      <c r="P33" s="559"/>
      <c r="Q33" s="174" t="str">
        <f t="shared" si="9"/>
        <v/>
      </c>
      <c r="R33" s="248" t="str">
        <f t="shared" si="10"/>
        <v/>
      </c>
      <c r="S33" s="111"/>
      <c r="T33" s="244"/>
      <c r="U33" s="243"/>
      <c r="V33" s="112"/>
    </row>
    <row r="34" spans="7:22" ht="15" customHeight="1">
      <c r="J34" s="113"/>
      <c r="K34" s="234">
        <v>2033</v>
      </c>
      <c r="L34" s="558"/>
      <c r="M34" s="559"/>
      <c r="N34" s="174" t="str">
        <f t="shared" si="0"/>
        <v/>
      </c>
      <c r="O34" s="563"/>
      <c r="P34" s="559"/>
      <c r="Q34" s="174" t="str">
        <f t="shared" si="9"/>
        <v/>
      </c>
      <c r="R34" s="248" t="str">
        <f t="shared" si="10"/>
        <v/>
      </c>
      <c r="S34" s="111"/>
      <c r="T34" s="244"/>
      <c r="U34" s="243"/>
      <c r="V34" s="112"/>
    </row>
    <row r="35" spans="7:22" ht="15" customHeight="1" thickBot="1">
      <c r="J35" s="113"/>
      <c r="K35" s="245">
        <v>2034</v>
      </c>
      <c r="L35" s="560"/>
      <c r="M35" s="561"/>
      <c r="N35" s="176" t="str">
        <f t="shared" si="0"/>
        <v/>
      </c>
      <c r="O35" s="564"/>
      <c r="P35" s="561"/>
      <c r="Q35" s="176" t="str">
        <f t="shared" si="9"/>
        <v/>
      </c>
      <c r="R35" s="249" t="str">
        <f t="shared" si="10"/>
        <v/>
      </c>
      <c r="S35" s="111"/>
      <c r="T35" s="244"/>
      <c r="U35" s="243"/>
      <c r="V35" s="112"/>
    </row>
    <row r="36" spans="7:22" ht="15" customHeight="1" thickBot="1">
      <c r="J36" s="169"/>
      <c r="K36" s="246"/>
      <c r="L36" s="246"/>
      <c r="M36" s="246"/>
      <c r="N36" s="246"/>
      <c r="O36" s="246"/>
      <c r="P36" s="246"/>
      <c r="Q36" s="246"/>
      <c r="R36" s="246"/>
      <c r="S36" s="170"/>
      <c r="T36" s="170"/>
      <c r="U36" s="170"/>
      <c r="V36" s="172"/>
    </row>
    <row r="37" spans="7:22">
      <c r="G37" s="98" t="s">
        <v>802</v>
      </c>
      <c r="L37" s="631">
        <v>390000205</v>
      </c>
      <c r="M37" s="632">
        <v>390000366</v>
      </c>
      <c r="O37" s="634">
        <v>390000035</v>
      </c>
      <c r="P37" s="633">
        <v>390000201</v>
      </c>
    </row>
    <row r="38" spans="7:22">
      <c r="G38" s="98" t="s">
        <v>187</v>
      </c>
      <c r="L38" s="98" t="s">
        <v>483</v>
      </c>
      <c r="M38" s="98" t="s">
        <v>483</v>
      </c>
      <c r="O38" s="98" t="s">
        <v>483</v>
      </c>
      <c r="P38" s="98" t="s">
        <v>483</v>
      </c>
    </row>
    <row r="39" spans="7:22">
      <c r="G39" s="98" t="s">
        <v>387</v>
      </c>
      <c r="L39" s="98" t="s">
        <v>803</v>
      </c>
      <c r="M39" s="98" t="s">
        <v>803</v>
      </c>
      <c r="O39" s="98" t="s">
        <v>803</v>
      </c>
      <c r="P39" s="98" t="s">
        <v>803</v>
      </c>
    </row>
    <row r="40" spans="7:22">
      <c r="G40" s="98" t="s">
        <v>804</v>
      </c>
      <c r="L40" s="98" t="s">
        <v>805</v>
      </c>
      <c r="M40" s="98" t="s">
        <v>805</v>
      </c>
      <c r="O40" s="98" t="s">
        <v>805</v>
      </c>
      <c r="P40" s="98" t="s">
        <v>805</v>
      </c>
    </row>
    <row r="41" spans="7:22">
      <c r="G41" s="98" t="s">
        <v>806</v>
      </c>
      <c r="L41" s="98">
        <v>40001207039</v>
      </c>
      <c r="M41" s="98">
        <v>50099299039</v>
      </c>
      <c r="O41" s="98">
        <v>40001602039</v>
      </c>
      <c r="P41" s="98">
        <v>40001602039</v>
      </c>
    </row>
    <row r="42" spans="7:22">
      <c r="G42" s="98" t="s">
        <v>807</v>
      </c>
      <c r="L42" s="98" t="s">
        <v>808</v>
      </c>
      <c r="M42" s="98" t="s">
        <v>841</v>
      </c>
      <c r="O42" s="98" t="s">
        <v>812</v>
      </c>
      <c r="P42" s="98" t="s">
        <v>812</v>
      </c>
    </row>
    <row r="43" spans="7:22">
      <c r="G43" s="98" t="s">
        <v>809</v>
      </c>
      <c r="L43" s="98" t="s">
        <v>810</v>
      </c>
      <c r="M43" s="98" t="s">
        <v>842</v>
      </c>
      <c r="O43" s="98" t="s">
        <v>845</v>
      </c>
      <c r="P43" s="98" t="s">
        <v>845</v>
      </c>
    </row>
    <row r="44" spans="7:22" ht="15" customHeight="1">
      <c r="G44" s="98" t="s">
        <v>811</v>
      </c>
      <c r="L44" s="98" t="s">
        <v>812</v>
      </c>
      <c r="M44" s="98" t="s">
        <v>812</v>
      </c>
      <c r="O44" s="98" t="s">
        <v>846</v>
      </c>
      <c r="P44" s="98" t="s">
        <v>847</v>
      </c>
    </row>
    <row r="45" spans="7:22">
      <c r="G45" s="98" t="s">
        <v>813</v>
      </c>
      <c r="L45" s="98" t="s">
        <v>814</v>
      </c>
      <c r="M45" s="98" t="s">
        <v>843</v>
      </c>
      <c r="O45" s="98" t="s">
        <v>814</v>
      </c>
      <c r="P45" s="98" t="s">
        <v>814</v>
      </c>
    </row>
    <row r="46" spans="7:22">
      <c r="G46" s="98" t="s">
        <v>815</v>
      </c>
      <c r="L46" s="98" t="s">
        <v>816</v>
      </c>
      <c r="M46" s="98" t="s">
        <v>844</v>
      </c>
      <c r="O46" s="98" t="s">
        <v>816</v>
      </c>
      <c r="P46" s="98" t="s">
        <v>816</v>
      </c>
    </row>
    <row r="47" spans="7:22">
      <c r="G47" s="98" t="s">
        <v>817</v>
      </c>
      <c r="P47" s="624">
        <v>2800</v>
      </c>
    </row>
    <row r="48" spans="7:22">
      <c r="G48" s="98" t="s">
        <v>818</v>
      </c>
      <c r="O48" s="624">
        <v>4200</v>
      </c>
    </row>
    <row r="49" spans="7:16">
      <c r="G49" s="98" t="s">
        <v>819</v>
      </c>
      <c r="P49" s="624">
        <v>2200</v>
      </c>
    </row>
    <row r="50" spans="7:16">
      <c r="G50" s="98" t="s">
        <v>820</v>
      </c>
      <c r="L50" s="624">
        <v>5500</v>
      </c>
      <c r="O50" s="624">
        <v>4600</v>
      </c>
    </row>
    <row r="51" spans="7:16">
      <c r="G51" s="98" t="s">
        <v>821</v>
      </c>
      <c r="P51" s="624">
        <v>2500</v>
      </c>
    </row>
    <row r="52" spans="7:16">
      <c r="G52" s="98" t="s">
        <v>822</v>
      </c>
      <c r="L52" s="624">
        <v>5100</v>
      </c>
      <c r="O52" s="624">
        <v>4800</v>
      </c>
    </row>
    <row r="53" spans="7:16">
      <c r="G53" s="98" t="s">
        <v>823</v>
      </c>
      <c r="P53" s="624">
        <v>2900</v>
      </c>
    </row>
    <row r="54" spans="7:16">
      <c r="G54" s="98" t="s">
        <v>824</v>
      </c>
      <c r="L54" s="624">
        <v>5400</v>
      </c>
      <c r="M54" s="624">
        <v>3200</v>
      </c>
      <c r="O54" s="624">
        <v>4600</v>
      </c>
    </row>
    <row r="55" spans="7:16">
      <c r="G55" s="98" t="s">
        <v>825</v>
      </c>
      <c r="P55" s="624">
        <v>2400</v>
      </c>
    </row>
    <row r="56" spans="7:16">
      <c r="G56" s="98" t="s">
        <v>826</v>
      </c>
      <c r="L56" s="624">
        <v>5300</v>
      </c>
      <c r="O56" s="624">
        <v>4000</v>
      </c>
    </row>
    <row r="57" spans="7:16">
      <c r="G57" s="98" t="s">
        <v>827</v>
      </c>
      <c r="P57" s="624">
        <v>2400</v>
      </c>
    </row>
    <row r="58" spans="7:16">
      <c r="G58" s="98" t="s">
        <v>828</v>
      </c>
      <c r="L58" s="624">
        <v>4000</v>
      </c>
      <c r="O58" s="624">
        <v>3100</v>
      </c>
    </row>
    <row r="59" spans="7:16">
      <c r="G59" s="98" t="s">
        <v>829</v>
      </c>
      <c r="M59" s="624">
        <v>2300</v>
      </c>
      <c r="P59" s="624">
        <v>2100</v>
      </c>
    </row>
    <row r="60" spans="7:16">
      <c r="G60" s="98" t="s">
        <v>830</v>
      </c>
      <c r="L60" s="624">
        <v>4800</v>
      </c>
      <c r="M60" s="624">
        <v>2700</v>
      </c>
      <c r="O60" s="624">
        <v>3700</v>
      </c>
    </row>
    <row r="61" spans="7:16">
      <c r="G61" s="98" t="s">
        <v>831</v>
      </c>
      <c r="P61" s="624">
        <v>2000</v>
      </c>
    </row>
    <row r="62" spans="7:16">
      <c r="G62" s="98" t="s">
        <v>832</v>
      </c>
      <c r="L62" s="624">
        <v>3900</v>
      </c>
      <c r="M62" s="624">
        <v>2400</v>
      </c>
      <c r="O62" s="624">
        <v>3400</v>
      </c>
    </row>
    <row r="63" spans="7:16">
      <c r="G63" s="98" t="s">
        <v>833</v>
      </c>
      <c r="P63" s="624">
        <v>1800</v>
      </c>
    </row>
    <row r="64" spans="7:16">
      <c r="G64" s="98" t="s">
        <v>834</v>
      </c>
      <c r="L64" s="624">
        <v>3500</v>
      </c>
      <c r="O64" s="624">
        <v>2700</v>
      </c>
    </row>
    <row r="65" spans="7:16">
      <c r="G65" s="98" t="s">
        <v>835</v>
      </c>
    </row>
    <row r="66" spans="7:16">
      <c r="G66" s="98" t="s">
        <v>836</v>
      </c>
    </row>
    <row r="67" spans="7:16">
      <c r="G67" s="98" t="s">
        <v>837</v>
      </c>
      <c r="P67" s="624">
        <v>1200</v>
      </c>
    </row>
    <row r="68" spans="7:16">
      <c r="G68" s="98" t="s">
        <v>838</v>
      </c>
      <c r="L68" s="624">
        <v>2800</v>
      </c>
      <c r="M68" s="624">
        <v>1900</v>
      </c>
      <c r="O68" s="624">
        <v>2200</v>
      </c>
    </row>
    <row r="69" spans="7:16">
      <c r="G69" s="98" t="s">
        <v>839</v>
      </c>
      <c r="L69" s="624">
        <v>2900</v>
      </c>
      <c r="M69" s="624">
        <v>2000</v>
      </c>
      <c r="O69" s="624">
        <v>2300</v>
      </c>
      <c r="P69" s="624">
        <v>1300</v>
      </c>
    </row>
    <row r="70" spans="7:16">
      <c r="G70" s="98" t="s">
        <v>840</v>
      </c>
      <c r="L70" s="624">
        <v>2800</v>
      </c>
      <c r="M70" s="624">
        <v>1900</v>
      </c>
      <c r="O70" s="624">
        <v>2500</v>
      </c>
      <c r="P70" s="624">
        <v>1300</v>
      </c>
    </row>
  </sheetData>
  <sheetProtection formatCells="0"/>
  <mergeCells count="32">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s>
  <dataValidations disablePrompts="1"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694" t="s">
        <v>247</v>
      </c>
      <c r="D5" s="694"/>
      <c r="E5" s="694"/>
      <c r="F5" s="694"/>
      <c r="G5" s="694"/>
      <c r="H5" s="694"/>
      <c r="I5" s="694"/>
      <c r="J5" s="694"/>
      <c r="K5" s="695"/>
    </row>
    <row r="6" spans="1:11" customFormat="1" ht="4.5" customHeight="1">
      <c r="B6" s="95"/>
      <c r="C6" s="47"/>
      <c r="D6" s="47"/>
      <c r="E6" s="47"/>
      <c r="F6" s="47"/>
      <c r="G6" s="47"/>
      <c r="H6" s="47"/>
      <c r="I6" s="47"/>
      <c r="J6" s="47"/>
      <c r="K6" s="47"/>
    </row>
    <row r="7" spans="1:11" customFormat="1" ht="35.25" customHeight="1">
      <c r="B7" s="94" t="s">
        <v>248</v>
      </c>
      <c r="C7" s="694" t="s">
        <v>249</v>
      </c>
      <c r="D7" s="694"/>
      <c r="E7" s="694"/>
      <c r="F7" s="694"/>
      <c r="G7" s="694"/>
      <c r="H7" s="694"/>
      <c r="I7" s="694"/>
      <c r="J7" s="694"/>
      <c r="K7" s="695"/>
    </row>
    <row r="8" spans="1:11" customFormat="1" ht="5.25" customHeight="1">
      <c r="B8" s="95"/>
      <c r="C8" s="47"/>
      <c r="D8" s="47"/>
      <c r="E8" s="47"/>
      <c r="F8" s="47"/>
      <c r="G8" s="47"/>
      <c r="H8" s="47"/>
      <c r="I8" s="47"/>
      <c r="J8" s="47"/>
      <c r="K8" s="47"/>
    </row>
    <row r="9" spans="1:11" customFormat="1" ht="33" customHeight="1">
      <c r="B9" s="696" t="s">
        <v>250</v>
      </c>
      <c r="C9" s="699" t="s">
        <v>303</v>
      </c>
      <c r="D9" s="699"/>
      <c r="E9" s="699"/>
      <c r="F9" s="699"/>
      <c r="G9" s="699"/>
      <c r="H9" s="699"/>
      <c r="I9" s="699"/>
      <c r="J9" s="699"/>
      <c r="K9" s="700"/>
    </row>
    <row r="10" spans="1:11" customFormat="1" ht="19.5" customHeight="1">
      <c r="B10" s="697"/>
      <c r="C10" s="701" t="s">
        <v>251</v>
      </c>
      <c r="D10" s="701"/>
      <c r="E10" s="701"/>
      <c r="F10" s="701"/>
      <c r="G10" s="701"/>
      <c r="H10" s="701"/>
      <c r="I10" s="701"/>
      <c r="J10" s="701"/>
      <c r="K10" s="702"/>
    </row>
    <row r="11" spans="1:11" customFormat="1" ht="19.5" customHeight="1">
      <c r="B11" s="697"/>
      <c r="C11" s="701" t="s">
        <v>307</v>
      </c>
      <c r="D11" s="701"/>
      <c r="E11" s="701"/>
      <c r="F11" s="701"/>
      <c r="G11" s="701"/>
      <c r="H11" s="701"/>
      <c r="I11" s="701"/>
      <c r="J11" s="701"/>
      <c r="K11" s="702"/>
    </row>
    <row r="12" spans="1:11" customFormat="1" ht="69" customHeight="1">
      <c r="B12" s="698"/>
      <c r="C12" s="703" t="s">
        <v>713</v>
      </c>
      <c r="D12" s="703"/>
      <c r="E12" s="703"/>
      <c r="F12" s="703"/>
      <c r="G12" s="703"/>
      <c r="H12" s="703"/>
      <c r="I12" s="703"/>
      <c r="J12" s="703"/>
      <c r="K12" s="704"/>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693" t="s">
        <v>308</v>
      </c>
      <c r="C18" s="693"/>
      <c r="D18" s="693"/>
      <c r="E18" s="693"/>
      <c r="F18" s="693"/>
      <c r="G18" s="693"/>
      <c r="H18" s="693"/>
      <c r="I18" s="693"/>
      <c r="J18" s="693"/>
      <c r="K18" s="693"/>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40"/>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05" t="s">
        <v>304</v>
      </c>
      <c r="C2" s="706"/>
      <c r="D2" s="706"/>
      <c r="E2" s="706"/>
      <c r="F2" s="707"/>
      <c r="I2" s="708" t="s">
        <v>302</v>
      </c>
      <c r="J2" s="709"/>
      <c r="K2" s="709"/>
      <c r="L2" s="709"/>
      <c r="M2" s="709"/>
      <c r="N2" s="709"/>
      <c r="O2" s="709"/>
      <c r="P2" s="709"/>
      <c r="Q2" s="710"/>
    </row>
    <row r="3" spans="2:17">
      <c r="B3" s="98">
        <v>105172416</v>
      </c>
      <c r="D3" s="592"/>
      <c r="I3" s="6" t="s">
        <v>45</v>
      </c>
      <c r="J3" s="711" t="s">
        <v>305</v>
      </c>
      <c r="K3" s="711"/>
      <c r="L3" s="711"/>
      <c r="M3" s="711"/>
      <c r="N3" s="711"/>
      <c r="O3" s="711"/>
      <c r="P3" s="711"/>
      <c r="Q3" s="712"/>
    </row>
    <row r="4" spans="2:17" ht="14.7" thickBot="1">
      <c r="B4" s="98">
        <v>105273794</v>
      </c>
      <c r="D4" s="592"/>
      <c r="E4" s="592"/>
      <c r="I4" s="593" t="s">
        <v>45</v>
      </c>
      <c r="J4" s="713" t="s">
        <v>306</v>
      </c>
      <c r="K4" s="713"/>
      <c r="L4" s="713"/>
      <c r="M4" s="713"/>
      <c r="N4" s="713"/>
      <c r="O4" s="713"/>
      <c r="P4" s="713"/>
      <c r="Q4" s="714"/>
    </row>
    <row r="5" spans="2:17">
      <c r="B5" s="98">
        <v>105329673</v>
      </c>
      <c r="D5" s="592"/>
      <c r="E5" s="592"/>
    </row>
    <row r="6" spans="2:17">
      <c r="B6" s="98">
        <v>105478298</v>
      </c>
      <c r="E6" s="592"/>
    </row>
    <row r="7" spans="2:17">
      <c r="B7" s="98">
        <v>105532814</v>
      </c>
      <c r="E7" s="592"/>
    </row>
    <row r="8" spans="2:17">
      <c r="B8" s="98">
        <v>105774815</v>
      </c>
      <c r="E8" s="592"/>
    </row>
    <row r="9" spans="2:17">
      <c r="B9" s="98">
        <v>106097127</v>
      </c>
      <c r="E9" s="592"/>
    </row>
    <row r="10" spans="2:17">
      <c r="B10" s="98">
        <v>106412908</v>
      </c>
      <c r="E10" s="592"/>
    </row>
    <row r="11" spans="2:17">
      <c r="B11" s="98">
        <v>106594525</v>
      </c>
      <c r="E11" s="592"/>
    </row>
    <row r="12" spans="2:17">
      <c r="B12" s="98">
        <v>106899135</v>
      </c>
      <c r="E12" s="592"/>
    </row>
    <row r="13" spans="2:17">
      <c r="B13" s="98">
        <v>107479858</v>
      </c>
      <c r="E13" s="592"/>
    </row>
    <row r="14" spans="2:17">
      <c r="B14" s="98">
        <v>107674222</v>
      </c>
      <c r="E14" s="592"/>
    </row>
    <row r="15" spans="2:17">
      <c r="B15" s="98">
        <v>107817083</v>
      </c>
      <c r="E15" s="592"/>
    </row>
    <row r="16" spans="2:17">
      <c r="B16" s="98">
        <v>107863132</v>
      </c>
      <c r="E16" s="592"/>
    </row>
    <row r="17" spans="2:5">
      <c r="B17" s="98">
        <v>107982237</v>
      </c>
      <c r="E17" s="592"/>
    </row>
    <row r="18" spans="2:5">
      <c r="B18" s="98">
        <v>108004793</v>
      </c>
      <c r="E18" s="592"/>
    </row>
    <row r="19" spans="2:5">
      <c r="B19" s="98">
        <v>108089406</v>
      </c>
      <c r="E19" s="592"/>
    </row>
    <row r="20" spans="2:5">
      <c r="E20" s="592"/>
    </row>
    <row r="21" spans="2:5">
      <c r="E21" s="592"/>
    </row>
    <row r="22" spans="2:5">
      <c r="E22" s="592"/>
    </row>
    <row r="23" spans="2:5">
      <c r="E23" s="592"/>
    </row>
    <row r="24" spans="2:5">
      <c r="E24" s="592"/>
    </row>
    <row r="25" spans="2:5">
      <c r="E25" s="592"/>
    </row>
    <row r="26" spans="2:5">
      <c r="E26" s="592"/>
    </row>
    <row r="27" spans="2:5">
      <c r="E27" s="592"/>
    </row>
    <row r="28" spans="2:5">
      <c r="E28" s="592"/>
    </row>
    <row r="29" spans="2:5">
      <c r="E29" s="592"/>
    </row>
    <row r="30" spans="2:5">
      <c r="E30" s="592"/>
    </row>
    <row r="31" spans="2:5">
      <c r="E31" s="592"/>
    </row>
    <row r="32" spans="2:5">
      <c r="E32" s="592"/>
    </row>
    <row r="33" spans="5:5">
      <c r="E33" s="592"/>
    </row>
    <row r="34" spans="5:5">
      <c r="E34" s="592"/>
    </row>
    <row r="35" spans="5:5">
      <c r="E35" s="592"/>
    </row>
    <row r="36" spans="5:5">
      <c r="E36" s="592"/>
    </row>
    <row r="37" spans="5:5">
      <c r="E37" s="592"/>
    </row>
    <row r="38" spans="5:5">
      <c r="E38" s="592"/>
    </row>
    <row r="39" spans="5:5">
      <c r="E39" s="592"/>
    </row>
    <row r="40" spans="5:5">
      <c r="E40" s="592"/>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5"/>
  <sheetViews>
    <sheetView workbookViewId="0"/>
  </sheetViews>
  <sheetFormatPr defaultRowHeight="14.4"/>
  <sheetData>
    <row r="1">
      <c r="A1" t="inlineStr">
        <is>
          <t>County</t>
        </is>
      </c>
      <c r="B1" t="inlineStr">
        <is>
          <t>County Code</t>
        </is>
      </c>
      <c r="C1" t="inlineStr">
        <is>
          <t>Division</t>
        </is>
      </c>
      <c r="D1" t="inlineStr">
        <is>
          <t>Municipality</t>
        </is>
      </c>
      <c r="E1" t="inlineStr">
        <is>
          <t>Municipality Code</t>
        </is>
      </c>
      <c r="F1" t="inlineStr">
        <is>
          <t>Begin Date</t>
        </is>
      </c>
      <c r="G1" t="inlineStr">
        <is>
          <t>End Date</t>
        </is>
      </c>
      <c r="H1" t="inlineStr">
        <is>
          <t>Years</t>
        </is>
      </c>
      <c r="I1" t="inlineStr">
        <is>
          <t>Y-Line Feet</t>
        </is>
      </c>
      <c r="J1" t="inlineStr">
        <is>
          <t>Road Name</t>
        </is>
      </c>
      <c r="K1" t="inlineStr">
        <is>
          <t>Road Code</t>
        </is>
      </c>
    </row>
    <row r="2">
      <c r="A2" t="inlineStr">
        <is>
          <t>GRANVILLE</t>
        </is>
      </c>
      <c r="B2">
        <v>39</v>
      </c>
      <c r="C2">
        <v>5</v>
      </c>
      <c r="D2" t="inlineStr">
        <is>
          <t>All and Rural</t>
        </is>
      </c>
      <c r="E2"/>
      <c r="F2" s="2">
        <v>42795</v>
      </c>
      <c r="G2" s="2">
        <v>46234</v>
      </c>
      <c r="H2">
        <v>9.418207</v>
      </c>
      <c r="I2">
        <v>150</v>
      </c>
      <c r="J2" t="inlineStr">
        <is>
          <t>SR 1602</t>
        </is>
      </c>
      <c r="K2">
        <v>40001602</v>
      </c>
    </row>
    <row r="3">
      <c r="A3" t="inlineStr">
        <is>
          <t>GRANVILLE</t>
        </is>
      </c>
      <c r="B3">
        <v>39</v>
      </c>
      <c r="C3">
        <v>5</v>
      </c>
      <c r="D3" t="inlineStr">
        <is>
          <t>All and Rural</t>
        </is>
      </c>
      <c r="E3"/>
      <c r="F3" s="2">
        <v>42795</v>
      </c>
      <c r="G3" s="2">
        <v>46234</v>
      </c>
      <c r="H3">
        <v>9.418207</v>
      </c>
      <c r="I3">
        <v>150</v>
      </c>
      <c r="J3" t="inlineStr">
        <is>
          <t>MAIN</t>
        </is>
      </c>
      <c r="K3">
        <v>50018682</v>
      </c>
    </row>
    <row r="4">
      <c r="A4" t="inlineStr">
        <is>
          <t>GRANVILLE</t>
        </is>
      </c>
      <c r="B4">
        <v>39</v>
      </c>
      <c r="C4">
        <v>5</v>
      </c>
      <c r="D4" t="inlineStr">
        <is>
          <t>All and Rural</t>
        </is>
      </c>
      <c r="E4"/>
      <c r="F4" s="2">
        <v>42795</v>
      </c>
      <c r="G4" s="2">
        <v>46234</v>
      </c>
      <c r="H4">
        <v>9.418207</v>
      </c>
      <c r="I4">
        <v>150</v>
      </c>
      <c r="J4" t="inlineStr">
        <is>
          <t>SR 1207</t>
        </is>
      </c>
      <c r="K4">
        <v>40001207</v>
      </c>
    </row>
    <row r="5">
      <c r="A5" t="inlineStr">
        <is>
          <t>GRANVILLE</t>
        </is>
      </c>
      <c r="B5">
        <v>39</v>
      </c>
      <c r="C5">
        <v>5</v>
      </c>
      <c r="D5" t="inlineStr">
        <is>
          <t>All and Rural</t>
        </is>
      </c>
      <c r="E5"/>
      <c r="F5" s="2">
        <v>42795</v>
      </c>
      <c r="G5" s="2">
        <v>46234</v>
      </c>
      <c r="H5">
        <v>9.418207</v>
      </c>
      <c r="I5">
        <v>150</v>
      </c>
      <c r="J5" t="inlineStr">
        <is>
          <t>SPRING</t>
        </is>
      </c>
      <c r="K5">
        <v>50028855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dimension ref="A1:S385"/>
  <sheetViews>
    <sheetView workbookViewId="0"/>
  </sheetViews>
  <sheetFormatPr defaultRowHeight="14.4"/>
  <sheetData>
    <row r="1" spans="1:19">
      <c r="A1" t="s">
        <v>739</v>
      </c>
      <c r="B1" t="s">
        <v>740</v>
      </c>
      <c r="C1" t="s">
        <v>741</v>
      </c>
      <c r="D1" t="s">
        <v>742</v>
      </c>
      <c r="E1" t="s">
        <v>743</v>
      </c>
      <c r="F1" t="s">
        <v>744</v>
      </c>
      <c r="G1" t="s">
        <v>745</v>
      </c>
      <c r="H1" t="s">
        <v>746</v>
      </c>
      <c r="I1" t="s">
        <v>747</v>
      </c>
      <c r="J1" t="s">
        <v>0</v>
      </c>
      <c r="K1" t="s">
        <v>1</v>
      </c>
      <c r="L1" t="s">
        <v>2</v>
      </c>
      <c r="M1" t="s">
        <v>3</v>
      </c>
      <c r="N1" t="s">
        <v>4</v>
      </c>
      <c r="O1" t="s">
        <v>5</v>
      </c>
      <c r="P1" t="s">
        <v>6</v>
      </c>
      <c r="Q1" t="s">
        <v>748</v>
      </c>
      <c r="R1" t="s">
        <v>749</v>
      </c>
      <c r="S1" t="s">
        <v>750</v>
      </c>
    </row>
    <row r="2" spans="1:19">
      <c r="A2" t="s">
        <v>850</v>
      </c>
      <c r="B2" t="s">
        <v>851</v>
      </c>
      <c r="C2">
        <v>0</v>
      </c>
      <c r="E2" t="s">
        <v>762</v>
      </c>
      <c r="F2" t="s">
        <v>762</v>
      </c>
      <c r="H2">
        <v>999.99900000000002</v>
      </c>
      <c r="J2">
        <v>108062655</v>
      </c>
      <c r="K2" s="2">
        <v>45745</v>
      </c>
      <c r="L2">
        <v>28</v>
      </c>
      <c r="M2">
        <v>1</v>
      </c>
      <c r="N2">
        <v>0</v>
      </c>
      <c r="O2">
        <v>1</v>
      </c>
      <c r="P2" t="s">
        <v>7</v>
      </c>
    </row>
    <row r="3" spans="1:19">
      <c r="A3" t="s">
        <v>850</v>
      </c>
      <c r="B3" t="s">
        <v>762</v>
      </c>
      <c r="C3">
        <v>0</v>
      </c>
      <c r="E3" t="s">
        <v>852</v>
      </c>
      <c r="F3" t="s">
        <v>853</v>
      </c>
      <c r="H3">
        <v>999.99900000000002</v>
      </c>
      <c r="J3">
        <v>106415662</v>
      </c>
      <c r="K3" s="2">
        <v>44159</v>
      </c>
      <c r="L3">
        <v>28</v>
      </c>
      <c r="M3">
        <v>1</v>
      </c>
      <c r="N3">
        <v>0</v>
      </c>
      <c r="O3">
        <v>1</v>
      </c>
      <c r="P3" t="s">
        <v>7</v>
      </c>
    </row>
    <row r="4" spans="1:19">
      <c r="A4" t="s">
        <v>850</v>
      </c>
      <c r="B4" t="s">
        <v>762</v>
      </c>
      <c r="C4">
        <v>0</v>
      </c>
      <c r="E4" t="s">
        <v>854</v>
      </c>
      <c r="F4" t="s">
        <v>762</v>
      </c>
      <c r="H4">
        <v>999.99900000000002</v>
      </c>
      <c r="J4">
        <v>108551459</v>
      </c>
      <c r="K4" s="2">
        <v>46148</v>
      </c>
      <c r="L4">
        <v>28</v>
      </c>
      <c r="M4">
        <v>1</v>
      </c>
      <c r="N4">
        <v>0</v>
      </c>
      <c r="O4">
        <v>1</v>
      </c>
      <c r="P4" t="s">
        <v>7</v>
      </c>
    </row>
    <row r="5" spans="1:19">
      <c r="A5" t="s">
        <v>850</v>
      </c>
      <c r="B5" t="s">
        <v>762</v>
      </c>
      <c r="C5">
        <v>3.7999999999999999E-2</v>
      </c>
      <c r="D5" t="s">
        <v>754</v>
      </c>
      <c r="E5" t="s">
        <v>854</v>
      </c>
      <c r="F5" t="s">
        <v>855</v>
      </c>
      <c r="H5">
        <v>999.99900000000002</v>
      </c>
      <c r="J5">
        <v>108393847</v>
      </c>
      <c r="K5" s="2">
        <v>46027</v>
      </c>
      <c r="L5">
        <v>13</v>
      </c>
      <c r="M5">
        <v>1</v>
      </c>
      <c r="N5">
        <v>0</v>
      </c>
      <c r="O5">
        <v>4</v>
      </c>
      <c r="P5" t="s">
        <v>7</v>
      </c>
    </row>
    <row r="6" spans="1:19">
      <c r="A6" t="s">
        <v>850</v>
      </c>
      <c r="B6" t="s">
        <v>762</v>
      </c>
      <c r="C6">
        <v>0</v>
      </c>
      <c r="E6" t="s">
        <v>856</v>
      </c>
      <c r="F6" t="s">
        <v>857</v>
      </c>
      <c r="H6">
        <v>999.99900000000002</v>
      </c>
      <c r="J6">
        <v>105908438</v>
      </c>
      <c r="K6" s="2">
        <v>43642</v>
      </c>
      <c r="L6">
        <v>22</v>
      </c>
      <c r="M6">
        <v>1</v>
      </c>
      <c r="N6">
        <v>0</v>
      </c>
      <c r="O6">
        <v>1</v>
      </c>
      <c r="P6" t="s">
        <v>3</v>
      </c>
      <c r="Q6">
        <v>36.111494</v>
      </c>
      <c r="R6">
        <v>-78.687768000000005</v>
      </c>
      <c r="S6" t="s">
        <v>757</v>
      </c>
    </row>
    <row r="7" spans="1:19">
      <c r="A7" t="s">
        <v>850</v>
      </c>
      <c r="B7" t="s">
        <v>855</v>
      </c>
      <c r="C7">
        <v>1.9E-2</v>
      </c>
      <c r="D7" t="s">
        <v>755</v>
      </c>
      <c r="E7" t="s">
        <v>762</v>
      </c>
      <c r="F7" t="s">
        <v>858</v>
      </c>
      <c r="H7">
        <v>999.99900000000002</v>
      </c>
      <c r="J7">
        <v>105601553</v>
      </c>
      <c r="K7" s="2">
        <v>43353</v>
      </c>
      <c r="L7">
        <v>31</v>
      </c>
      <c r="M7">
        <v>1</v>
      </c>
      <c r="N7">
        <v>0</v>
      </c>
      <c r="O7">
        <v>1</v>
      </c>
      <c r="P7" t="s">
        <v>7</v>
      </c>
    </row>
    <row r="8" spans="1:19">
      <c r="A8" t="s">
        <v>850</v>
      </c>
      <c r="B8" t="s">
        <v>859</v>
      </c>
      <c r="C8">
        <v>2.8000000000000001E-2</v>
      </c>
      <c r="D8" t="s">
        <v>753</v>
      </c>
      <c r="E8" t="s">
        <v>762</v>
      </c>
      <c r="F8" t="s">
        <v>860</v>
      </c>
      <c r="H8">
        <v>999.99900000000002</v>
      </c>
      <c r="J8">
        <v>106415098</v>
      </c>
      <c r="K8" s="2">
        <v>44158</v>
      </c>
      <c r="L8">
        <v>21</v>
      </c>
      <c r="M8">
        <v>1</v>
      </c>
      <c r="N8">
        <v>0</v>
      </c>
      <c r="O8">
        <v>1</v>
      </c>
      <c r="P8" t="s">
        <v>7</v>
      </c>
    </row>
    <row r="9" spans="1:19">
      <c r="A9" t="s">
        <v>850</v>
      </c>
      <c r="B9" t="s">
        <v>861</v>
      </c>
      <c r="C9">
        <v>6.0000000000000001E-3</v>
      </c>
      <c r="D9" t="s">
        <v>755</v>
      </c>
      <c r="E9" t="s">
        <v>762</v>
      </c>
      <c r="F9" t="s">
        <v>862</v>
      </c>
      <c r="H9">
        <v>999.99900000000002</v>
      </c>
      <c r="J9">
        <v>105984303</v>
      </c>
      <c r="K9" s="2">
        <v>43018</v>
      </c>
      <c r="L9">
        <v>31</v>
      </c>
      <c r="M9">
        <v>1</v>
      </c>
      <c r="N9">
        <v>0</v>
      </c>
      <c r="O9">
        <v>1</v>
      </c>
      <c r="P9" t="s">
        <v>7</v>
      </c>
    </row>
    <row r="10" spans="1:19">
      <c r="A10" t="s">
        <v>850</v>
      </c>
      <c r="B10" t="s">
        <v>863</v>
      </c>
      <c r="C10">
        <v>1.9E-2</v>
      </c>
      <c r="D10" t="s">
        <v>755</v>
      </c>
      <c r="E10" t="s">
        <v>762</v>
      </c>
      <c r="H10">
        <v>999.99900000000002</v>
      </c>
      <c r="J10">
        <v>106802910</v>
      </c>
      <c r="K10" s="2">
        <v>44523</v>
      </c>
      <c r="L10">
        <v>31</v>
      </c>
      <c r="M10">
        <v>1</v>
      </c>
      <c r="N10">
        <v>4</v>
      </c>
      <c r="O10">
        <v>1</v>
      </c>
      <c r="P10" t="s">
        <v>7</v>
      </c>
    </row>
    <row r="11" spans="1:19">
      <c r="A11" t="s">
        <v>850</v>
      </c>
      <c r="B11" t="s">
        <v>864</v>
      </c>
      <c r="C11">
        <v>0</v>
      </c>
      <c r="E11" t="s">
        <v>762</v>
      </c>
      <c r="F11" t="s">
        <v>865</v>
      </c>
      <c r="H11">
        <v>999.99900000000002</v>
      </c>
      <c r="J11">
        <v>105053293</v>
      </c>
      <c r="K11" s="2">
        <v>42812</v>
      </c>
      <c r="L11">
        <v>30</v>
      </c>
      <c r="M11">
        <v>1</v>
      </c>
      <c r="N11">
        <v>0</v>
      </c>
      <c r="O11">
        <v>4</v>
      </c>
      <c r="P11" t="s">
        <v>7</v>
      </c>
    </row>
    <row r="12" spans="1:19">
      <c r="A12" t="s">
        <v>850</v>
      </c>
      <c r="B12" t="s">
        <v>864</v>
      </c>
      <c r="C12">
        <v>0</v>
      </c>
      <c r="E12" t="s">
        <v>762</v>
      </c>
      <c r="F12" t="s">
        <v>865</v>
      </c>
      <c r="H12">
        <v>999.99900000000002</v>
      </c>
      <c r="J12">
        <v>105250200</v>
      </c>
      <c r="K12" s="2">
        <v>43014</v>
      </c>
      <c r="L12">
        <v>31</v>
      </c>
      <c r="M12">
        <v>1</v>
      </c>
      <c r="N12">
        <v>0</v>
      </c>
      <c r="O12">
        <v>1</v>
      </c>
      <c r="P12" t="s">
        <v>7</v>
      </c>
    </row>
    <row r="13" spans="1:19">
      <c r="A13" t="s">
        <v>850</v>
      </c>
      <c r="B13" t="s">
        <v>866</v>
      </c>
      <c r="C13">
        <v>0</v>
      </c>
      <c r="E13" t="s">
        <v>762</v>
      </c>
      <c r="F13" t="s">
        <v>762</v>
      </c>
      <c r="H13">
        <v>999.99900000000002</v>
      </c>
      <c r="J13">
        <v>108457950</v>
      </c>
      <c r="K13" s="2">
        <v>46087</v>
      </c>
      <c r="L13">
        <v>31</v>
      </c>
      <c r="M13">
        <v>1</v>
      </c>
      <c r="N13">
        <v>0</v>
      </c>
      <c r="O13">
        <v>1</v>
      </c>
      <c r="P13" t="s">
        <v>7</v>
      </c>
    </row>
    <row r="14" spans="1:19">
      <c r="A14" t="s">
        <v>867</v>
      </c>
      <c r="B14" t="s">
        <v>868</v>
      </c>
      <c r="C14">
        <v>0</v>
      </c>
      <c r="E14" t="s">
        <v>869</v>
      </c>
      <c r="F14" t="s">
        <v>870</v>
      </c>
      <c r="H14">
        <v>999.99900000000002</v>
      </c>
      <c r="J14">
        <v>107268202</v>
      </c>
      <c r="K14" s="2">
        <v>44997</v>
      </c>
      <c r="L14">
        <v>32</v>
      </c>
      <c r="M14">
        <v>1</v>
      </c>
      <c r="N14">
        <v>0</v>
      </c>
      <c r="O14">
        <v>1</v>
      </c>
      <c r="P14" t="s">
        <v>7</v>
      </c>
    </row>
    <row r="15" spans="1:19">
      <c r="A15" t="s">
        <v>867</v>
      </c>
      <c r="B15" t="s">
        <v>871</v>
      </c>
      <c r="C15">
        <v>0</v>
      </c>
      <c r="E15" t="s">
        <v>869</v>
      </c>
      <c r="F15" t="s">
        <v>869</v>
      </c>
      <c r="H15">
        <v>999.99900000000002</v>
      </c>
      <c r="J15">
        <v>105310344</v>
      </c>
      <c r="K15" s="2">
        <v>43068</v>
      </c>
      <c r="L15">
        <v>18</v>
      </c>
      <c r="M15">
        <v>1</v>
      </c>
      <c r="N15">
        <v>0</v>
      </c>
      <c r="O15">
        <v>1</v>
      </c>
      <c r="P15" t="s">
        <v>7</v>
      </c>
    </row>
    <row r="16" spans="1:19">
      <c r="A16" t="s">
        <v>850</v>
      </c>
      <c r="B16" t="s">
        <v>872</v>
      </c>
      <c r="C16">
        <v>0</v>
      </c>
      <c r="E16" t="s">
        <v>873</v>
      </c>
      <c r="F16" t="s">
        <v>860</v>
      </c>
      <c r="H16">
        <v>999.99900000000002</v>
      </c>
      <c r="J16">
        <v>107090844</v>
      </c>
      <c r="K16" s="2">
        <v>44820</v>
      </c>
      <c r="L16">
        <v>31</v>
      </c>
      <c r="M16">
        <v>1</v>
      </c>
      <c r="N16">
        <v>0</v>
      </c>
      <c r="O16">
        <v>4</v>
      </c>
      <c r="P16" t="s">
        <v>7</v>
      </c>
    </row>
    <row r="17" spans="1:19">
      <c r="A17" t="s">
        <v>850</v>
      </c>
      <c r="B17" t="s">
        <v>872</v>
      </c>
      <c r="C17">
        <v>0</v>
      </c>
      <c r="E17" t="s">
        <v>874</v>
      </c>
      <c r="H17">
        <v>999.99900000000002</v>
      </c>
      <c r="J17">
        <v>105230066</v>
      </c>
      <c r="K17" s="2">
        <v>42998</v>
      </c>
      <c r="L17">
        <v>20</v>
      </c>
      <c r="M17">
        <v>1</v>
      </c>
      <c r="N17">
        <v>0</v>
      </c>
      <c r="O17">
        <v>1</v>
      </c>
      <c r="P17" t="s">
        <v>7</v>
      </c>
    </row>
    <row r="18" spans="1:19">
      <c r="A18" t="s">
        <v>867</v>
      </c>
      <c r="B18" t="s">
        <v>875</v>
      </c>
      <c r="C18">
        <v>0</v>
      </c>
      <c r="E18" t="s">
        <v>869</v>
      </c>
      <c r="F18" t="s">
        <v>869</v>
      </c>
      <c r="H18">
        <v>999.99900000000002</v>
      </c>
      <c r="J18">
        <v>105402812</v>
      </c>
      <c r="K18" s="2">
        <v>43166</v>
      </c>
      <c r="L18">
        <v>21</v>
      </c>
      <c r="M18">
        <v>1</v>
      </c>
      <c r="N18">
        <v>0</v>
      </c>
      <c r="O18">
        <v>1</v>
      </c>
      <c r="P18" t="s">
        <v>7</v>
      </c>
    </row>
    <row r="19" spans="1:19">
      <c r="A19" t="s">
        <v>850</v>
      </c>
      <c r="B19" t="s">
        <v>876</v>
      </c>
      <c r="C19">
        <v>8.9999999999999993E-3</v>
      </c>
      <c r="D19" t="s">
        <v>753</v>
      </c>
      <c r="E19" t="s">
        <v>762</v>
      </c>
      <c r="F19" t="s">
        <v>877</v>
      </c>
      <c r="H19">
        <v>999.99900000000002</v>
      </c>
      <c r="J19">
        <v>105984302</v>
      </c>
      <c r="K19" s="2">
        <v>43175</v>
      </c>
      <c r="L19">
        <v>31</v>
      </c>
      <c r="M19">
        <v>1</v>
      </c>
      <c r="N19">
        <v>0</v>
      </c>
      <c r="O19">
        <v>4</v>
      </c>
      <c r="P19" t="s">
        <v>7</v>
      </c>
    </row>
    <row r="20" spans="1:19">
      <c r="A20" t="s">
        <v>867</v>
      </c>
      <c r="B20" t="s">
        <v>878</v>
      </c>
      <c r="C20">
        <v>0</v>
      </c>
      <c r="E20" t="s">
        <v>869</v>
      </c>
      <c r="F20" t="s">
        <v>879</v>
      </c>
      <c r="H20">
        <v>999.99900000000002</v>
      </c>
      <c r="J20">
        <v>105808057</v>
      </c>
      <c r="K20" s="2">
        <v>43526</v>
      </c>
      <c r="L20">
        <v>5</v>
      </c>
      <c r="M20">
        <v>1</v>
      </c>
      <c r="N20">
        <v>0</v>
      </c>
      <c r="O20">
        <v>1</v>
      </c>
    </row>
    <row r="21" spans="1:19">
      <c r="A21" t="s">
        <v>867</v>
      </c>
      <c r="B21" t="s">
        <v>880</v>
      </c>
      <c r="C21">
        <v>0</v>
      </c>
      <c r="E21" t="s">
        <v>869</v>
      </c>
      <c r="F21" t="s">
        <v>881</v>
      </c>
      <c r="H21">
        <v>999.99900000000002</v>
      </c>
      <c r="J21">
        <v>105465888</v>
      </c>
      <c r="K21" s="2">
        <v>43222</v>
      </c>
      <c r="L21">
        <v>20</v>
      </c>
      <c r="M21">
        <v>1</v>
      </c>
      <c r="N21">
        <v>0</v>
      </c>
      <c r="O21">
        <v>1</v>
      </c>
      <c r="P21" t="s">
        <v>7</v>
      </c>
    </row>
    <row r="22" spans="1:19">
      <c r="A22" t="s">
        <v>850</v>
      </c>
      <c r="B22" t="s">
        <v>882</v>
      </c>
      <c r="C22">
        <v>0</v>
      </c>
      <c r="E22" t="s">
        <v>762</v>
      </c>
      <c r="F22" t="s">
        <v>883</v>
      </c>
      <c r="H22">
        <v>999.99900000000002</v>
      </c>
      <c r="J22">
        <v>107993196</v>
      </c>
      <c r="K22" s="2">
        <v>45661</v>
      </c>
      <c r="L22">
        <v>20</v>
      </c>
      <c r="M22">
        <v>1</v>
      </c>
      <c r="N22">
        <v>0</v>
      </c>
      <c r="O22">
        <v>1</v>
      </c>
      <c r="P22" t="s">
        <v>7</v>
      </c>
    </row>
    <row r="23" spans="1:19">
      <c r="A23" t="s">
        <v>867</v>
      </c>
      <c r="B23" t="s">
        <v>884</v>
      </c>
      <c r="C23">
        <v>0</v>
      </c>
      <c r="E23" t="s">
        <v>762</v>
      </c>
      <c r="F23" t="s">
        <v>869</v>
      </c>
      <c r="H23">
        <v>999.99900000000002</v>
      </c>
      <c r="J23">
        <v>106017912</v>
      </c>
      <c r="K23" s="2">
        <v>43739</v>
      </c>
      <c r="L23">
        <v>31</v>
      </c>
      <c r="M23">
        <v>1</v>
      </c>
      <c r="N23">
        <v>0</v>
      </c>
      <c r="O23">
        <v>1</v>
      </c>
      <c r="P23" t="s">
        <v>7</v>
      </c>
    </row>
    <row r="24" spans="1:19">
      <c r="A24" t="s">
        <v>867</v>
      </c>
      <c r="B24" t="s">
        <v>885</v>
      </c>
      <c r="C24">
        <v>4.0000000000000001E-3</v>
      </c>
      <c r="D24" t="s">
        <v>753</v>
      </c>
      <c r="E24" t="s">
        <v>762</v>
      </c>
      <c r="F24" t="s">
        <v>762</v>
      </c>
      <c r="H24">
        <v>999.99900000000002</v>
      </c>
      <c r="J24">
        <v>106711659</v>
      </c>
      <c r="K24" s="2">
        <v>44450</v>
      </c>
      <c r="L24">
        <v>31</v>
      </c>
      <c r="M24">
        <v>1</v>
      </c>
      <c r="N24">
        <v>0</v>
      </c>
      <c r="O24">
        <v>1</v>
      </c>
      <c r="P24" t="s">
        <v>7</v>
      </c>
    </row>
    <row r="25" spans="1:19">
      <c r="A25" t="s">
        <v>867</v>
      </c>
      <c r="B25" t="s">
        <v>886</v>
      </c>
      <c r="C25">
        <v>0</v>
      </c>
      <c r="E25" t="s">
        <v>869</v>
      </c>
      <c r="F25" t="s">
        <v>869</v>
      </c>
      <c r="H25">
        <v>999.99900000000002</v>
      </c>
      <c r="J25">
        <v>108090408</v>
      </c>
      <c r="K25" s="2">
        <v>45772</v>
      </c>
      <c r="L25">
        <v>31</v>
      </c>
      <c r="M25">
        <v>1</v>
      </c>
      <c r="N25">
        <v>0</v>
      </c>
      <c r="O25">
        <v>2</v>
      </c>
      <c r="P25" t="s">
        <v>7</v>
      </c>
    </row>
    <row r="26" spans="1:19">
      <c r="A26" t="s">
        <v>867</v>
      </c>
      <c r="B26" t="s">
        <v>886</v>
      </c>
      <c r="C26">
        <v>6.0000000000000001E-3</v>
      </c>
      <c r="D26" t="s">
        <v>754</v>
      </c>
      <c r="E26" t="s">
        <v>869</v>
      </c>
      <c r="F26" t="s">
        <v>887</v>
      </c>
      <c r="H26">
        <v>999.99900000000002</v>
      </c>
      <c r="J26">
        <v>105975736</v>
      </c>
      <c r="K26" s="2">
        <v>43701</v>
      </c>
      <c r="L26">
        <v>31</v>
      </c>
      <c r="M26">
        <v>1</v>
      </c>
      <c r="N26">
        <v>0</v>
      </c>
      <c r="O26">
        <v>1</v>
      </c>
      <c r="P26" t="s">
        <v>7</v>
      </c>
    </row>
    <row r="27" spans="1:19">
      <c r="A27" t="s">
        <v>867</v>
      </c>
      <c r="B27" t="s">
        <v>888</v>
      </c>
      <c r="C27">
        <v>0</v>
      </c>
      <c r="E27" t="s">
        <v>889</v>
      </c>
      <c r="F27" t="s">
        <v>888</v>
      </c>
      <c r="H27">
        <v>999.99900000000002</v>
      </c>
      <c r="J27">
        <v>108246336</v>
      </c>
      <c r="K27" s="2">
        <v>45929</v>
      </c>
      <c r="L27">
        <v>31</v>
      </c>
      <c r="M27">
        <v>2</v>
      </c>
      <c r="N27">
        <v>0</v>
      </c>
      <c r="O27">
        <v>1</v>
      </c>
    </row>
    <row r="28" spans="1:19">
      <c r="A28" t="s">
        <v>867</v>
      </c>
      <c r="B28" t="s">
        <v>888</v>
      </c>
      <c r="C28">
        <v>0.25</v>
      </c>
      <c r="D28" t="s">
        <v>6</v>
      </c>
      <c r="E28" t="s">
        <v>890</v>
      </c>
      <c r="F28" t="s">
        <v>891</v>
      </c>
      <c r="H28">
        <v>999.99900000000002</v>
      </c>
      <c r="J28">
        <v>106802901</v>
      </c>
      <c r="K28" s="2">
        <v>44525</v>
      </c>
      <c r="L28">
        <v>17</v>
      </c>
      <c r="M28">
        <v>1</v>
      </c>
      <c r="N28">
        <v>0</v>
      </c>
      <c r="O28">
        <v>5</v>
      </c>
      <c r="P28" t="s">
        <v>7</v>
      </c>
    </row>
    <row r="29" spans="1:19">
      <c r="A29" t="s">
        <v>751</v>
      </c>
      <c r="B29" t="s">
        <v>888</v>
      </c>
      <c r="C29">
        <v>0</v>
      </c>
      <c r="D29" t="s">
        <v>6</v>
      </c>
      <c r="E29" t="s">
        <v>892</v>
      </c>
      <c r="F29" t="s">
        <v>893</v>
      </c>
      <c r="H29">
        <v>999.99900000000002</v>
      </c>
      <c r="J29">
        <v>107818720</v>
      </c>
      <c r="K29" s="2">
        <v>45511</v>
      </c>
      <c r="L29">
        <v>24</v>
      </c>
      <c r="M29">
        <v>1</v>
      </c>
      <c r="N29">
        <v>0</v>
      </c>
      <c r="O29">
        <v>1</v>
      </c>
      <c r="P29" t="s">
        <v>7</v>
      </c>
    </row>
    <row r="30" spans="1:19">
      <c r="A30" t="s">
        <v>867</v>
      </c>
      <c r="B30" t="s">
        <v>888</v>
      </c>
      <c r="C30">
        <v>0.2</v>
      </c>
      <c r="D30" t="s">
        <v>760</v>
      </c>
      <c r="E30" t="s">
        <v>891</v>
      </c>
      <c r="F30" t="s">
        <v>867</v>
      </c>
      <c r="H30">
        <v>999.99900000000002</v>
      </c>
      <c r="J30">
        <v>107762881</v>
      </c>
      <c r="K30" s="2">
        <v>45459</v>
      </c>
      <c r="L30">
        <v>1</v>
      </c>
      <c r="M30">
        <v>1</v>
      </c>
      <c r="N30">
        <v>0</v>
      </c>
      <c r="O30">
        <v>1</v>
      </c>
      <c r="P30" t="s">
        <v>7</v>
      </c>
    </row>
    <row r="31" spans="1:19">
      <c r="A31" t="s">
        <v>850</v>
      </c>
      <c r="B31" t="s">
        <v>853</v>
      </c>
      <c r="C31">
        <v>5.0000000000000001E-3</v>
      </c>
      <c r="D31" t="s">
        <v>753</v>
      </c>
      <c r="E31" t="s">
        <v>762</v>
      </c>
      <c r="F31" t="s">
        <v>762</v>
      </c>
      <c r="H31">
        <v>999.99900000000002</v>
      </c>
      <c r="J31">
        <v>106206844</v>
      </c>
      <c r="K31" s="2">
        <v>43937</v>
      </c>
      <c r="L31">
        <v>21</v>
      </c>
      <c r="M31">
        <v>1</v>
      </c>
      <c r="N31">
        <v>0</v>
      </c>
      <c r="O31">
        <v>1</v>
      </c>
      <c r="P31" t="s">
        <v>7</v>
      </c>
    </row>
    <row r="32" spans="1:19">
      <c r="A32" t="s">
        <v>867</v>
      </c>
      <c r="B32" t="s">
        <v>869</v>
      </c>
      <c r="C32">
        <v>0</v>
      </c>
      <c r="E32" t="s">
        <v>894</v>
      </c>
      <c r="F32" t="s">
        <v>887</v>
      </c>
      <c r="H32">
        <v>999.99900000000002</v>
      </c>
      <c r="J32">
        <v>108167054</v>
      </c>
      <c r="K32" s="2">
        <v>45848</v>
      </c>
      <c r="L32">
        <v>14</v>
      </c>
      <c r="M32">
        <v>1</v>
      </c>
      <c r="N32">
        <v>0</v>
      </c>
      <c r="O32">
        <v>1</v>
      </c>
      <c r="P32" t="s">
        <v>3</v>
      </c>
      <c r="Q32">
        <v>36.309283000000001</v>
      </c>
      <c r="R32">
        <v>-78.589851999999993</v>
      </c>
      <c r="S32" t="s">
        <v>895</v>
      </c>
    </row>
    <row r="33" spans="1:19">
      <c r="A33" t="s">
        <v>867</v>
      </c>
      <c r="B33" t="s">
        <v>869</v>
      </c>
      <c r="C33">
        <v>0</v>
      </c>
      <c r="E33" t="s">
        <v>896</v>
      </c>
      <c r="F33" t="s">
        <v>869</v>
      </c>
      <c r="H33">
        <v>999.99900000000002</v>
      </c>
      <c r="J33">
        <v>108256216</v>
      </c>
      <c r="K33" s="2">
        <v>45929</v>
      </c>
      <c r="L33">
        <v>32</v>
      </c>
      <c r="M33">
        <v>2</v>
      </c>
      <c r="N33">
        <v>0</v>
      </c>
      <c r="O33">
        <v>1</v>
      </c>
      <c r="P33" t="s">
        <v>7</v>
      </c>
    </row>
    <row r="34" spans="1:19">
      <c r="A34" t="s">
        <v>751</v>
      </c>
      <c r="B34" t="s">
        <v>897</v>
      </c>
      <c r="C34">
        <v>0</v>
      </c>
      <c r="E34" t="s">
        <v>898</v>
      </c>
      <c r="F34" t="s">
        <v>899</v>
      </c>
      <c r="H34">
        <v>999.99900000000002</v>
      </c>
      <c r="J34">
        <v>106696985</v>
      </c>
      <c r="K34" s="2">
        <v>44454</v>
      </c>
      <c r="L34">
        <v>24</v>
      </c>
      <c r="M34">
        <v>1</v>
      </c>
      <c r="N34">
        <v>4</v>
      </c>
      <c r="O34">
        <v>1</v>
      </c>
      <c r="P34" t="s">
        <v>7</v>
      </c>
    </row>
    <row r="35" spans="1:19">
      <c r="A35" t="s">
        <v>751</v>
      </c>
      <c r="B35" t="s">
        <v>897</v>
      </c>
      <c r="C35">
        <v>0</v>
      </c>
      <c r="E35" t="s">
        <v>900</v>
      </c>
      <c r="F35" t="s">
        <v>901</v>
      </c>
      <c r="H35">
        <v>999.99900000000002</v>
      </c>
      <c r="J35">
        <v>108556564</v>
      </c>
      <c r="K35" s="2">
        <v>46210</v>
      </c>
      <c r="L35">
        <v>19</v>
      </c>
      <c r="M35">
        <v>2</v>
      </c>
      <c r="N35">
        <v>4</v>
      </c>
      <c r="O35">
        <v>5</v>
      </c>
      <c r="P35" t="s">
        <v>3</v>
      </c>
    </row>
    <row r="36" spans="1:19">
      <c r="A36" t="s">
        <v>867</v>
      </c>
      <c r="B36" t="s">
        <v>902</v>
      </c>
      <c r="C36">
        <v>0</v>
      </c>
      <c r="E36" t="s">
        <v>869</v>
      </c>
      <c r="F36" t="s">
        <v>891</v>
      </c>
      <c r="G36" t="s">
        <v>902</v>
      </c>
      <c r="H36">
        <v>0.21</v>
      </c>
      <c r="J36">
        <v>108202264</v>
      </c>
      <c r="K36" s="2">
        <v>45884</v>
      </c>
      <c r="L36">
        <v>30</v>
      </c>
      <c r="M36">
        <v>1</v>
      </c>
      <c r="N36">
        <v>7</v>
      </c>
      <c r="O36">
        <v>1</v>
      </c>
      <c r="P36" t="s">
        <v>7</v>
      </c>
    </row>
    <row r="37" spans="1:19">
      <c r="A37" t="s">
        <v>867</v>
      </c>
      <c r="B37" t="s">
        <v>762</v>
      </c>
      <c r="C37">
        <v>0</v>
      </c>
      <c r="E37" t="s">
        <v>881</v>
      </c>
      <c r="F37" t="s">
        <v>869</v>
      </c>
      <c r="G37" t="s">
        <v>762</v>
      </c>
      <c r="H37">
        <v>999.99900000000002</v>
      </c>
      <c r="J37">
        <v>108099425</v>
      </c>
      <c r="K37" s="2">
        <v>45782</v>
      </c>
      <c r="L37">
        <v>31</v>
      </c>
      <c r="M37">
        <v>1</v>
      </c>
      <c r="N37">
        <v>0</v>
      </c>
      <c r="O37">
        <v>1</v>
      </c>
      <c r="P37" t="s">
        <v>7</v>
      </c>
    </row>
    <row r="38" spans="1:19">
      <c r="A38" t="s">
        <v>867</v>
      </c>
      <c r="B38" t="s">
        <v>762</v>
      </c>
      <c r="C38">
        <v>0</v>
      </c>
      <c r="D38" t="s">
        <v>6</v>
      </c>
      <c r="E38" t="s">
        <v>881</v>
      </c>
      <c r="F38" t="s">
        <v>903</v>
      </c>
      <c r="G38" t="s">
        <v>762</v>
      </c>
      <c r="H38">
        <v>999.99900000000002</v>
      </c>
      <c r="J38">
        <v>106558296</v>
      </c>
      <c r="K38" s="2">
        <v>44309</v>
      </c>
      <c r="L38">
        <v>30</v>
      </c>
      <c r="M38">
        <v>1</v>
      </c>
      <c r="N38">
        <v>0</v>
      </c>
      <c r="O38">
        <v>1</v>
      </c>
      <c r="P38" t="s">
        <v>7</v>
      </c>
    </row>
    <row r="39" spans="1:19">
      <c r="A39" t="s">
        <v>867</v>
      </c>
      <c r="B39" t="s">
        <v>762</v>
      </c>
      <c r="C39">
        <v>1.0999999999999999E-2</v>
      </c>
      <c r="D39" t="s">
        <v>754</v>
      </c>
      <c r="E39" t="s">
        <v>904</v>
      </c>
      <c r="F39" t="s">
        <v>881</v>
      </c>
      <c r="G39" t="s">
        <v>762</v>
      </c>
      <c r="H39">
        <v>999.99900000000002</v>
      </c>
      <c r="J39">
        <v>105928354</v>
      </c>
      <c r="K39" s="2">
        <v>43663</v>
      </c>
      <c r="L39">
        <v>20</v>
      </c>
      <c r="M39">
        <v>1</v>
      </c>
      <c r="N39">
        <v>0</v>
      </c>
      <c r="O39">
        <v>1</v>
      </c>
      <c r="P39" t="s">
        <v>7</v>
      </c>
    </row>
    <row r="40" spans="1:19">
      <c r="A40" t="s">
        <v>867</v>
      </c>
      <c r="B40" t="s">
        <v>905</v>
      </c>
      <c r="C40">
        <v>0</v>
      </c>
      <c r="E40" t="s">
        <v>872</v>
      </c>
      <c r="F40" t="s">
        <v>906</v>
      </c>
      <c r="G40" t="s">
        <v>762</v>
      </c>
      <c r="H40">
        <v>999.99900000000002</v>
      </c>
      <c r="J40">
        <v>106818280</v>
      </c>
      <c r="K40" s="2">
        <v>44456</v>
      </c>
      <c r="L40">
        <v>30</v>
      </c>
      <c r="M40">
        <v>1</v>
      </c>
      <c r="N40">
        <v>0</v>
      </c>
      <c r="O40">
        <v>1</v>
      </c>
    </row>
    <row r="41" spans="1:19">
      <c r="A41" t="s">
        <v>850</v>
      </c>
      <c r="B41" t="s">
        <v>762</v>
      </c>
      <c r="C41">
        <v>0</v>
      </c>
      <c r="D41" t="s">
        <v>755</v>
      </c>
      <c r="E41" t="s">
        <v>907</v>
      </c>
      <c r="F41" t="s">
        <v>908</v>
      </c>
      <c r="G41" t="s">
        <v>909</v>
      </c>
      <c r="H41">
        <v>2.6</v>
      </c>
      <c r="J41">
        <v>105251331</v>
      </c>
      <c r="K41" s="2">
        <v>43020</v>
      </c>
      <c r="L41">
        <v>21</v>
      </c>
      <c r="M41">
        <v>1</v>
      </c>
      <c r="N41">
        <v>0</v>
      </c>
      <c r="O41">
        <v>4</v>
      </c>
      <c r="P41" t="s">
        <v>7</v>
      </c>
    </row>
    <row r="42" spans="1:19">
      <c r="A42" t="s">
        <v>850</v>
      </c>
      <c r="B42" t="s">
        <v>872</v>
      </c>
      <c r="C42">
        <v>0.25</v>
      </c>
      <c r="D42" t="s">
        <v>6</v>
      </c>
      <c r="E42" t="s">
        <v>862</v>
      </c>
      <c r="F42" t="s">
        <v>910</v>
      </c>
      <c r="G42" t="s">
        <v>909</v>
      </c>
      <c r="H42">
        <v>2.6179999999999999</v>
      </c>
      <c r="J42">
        <v>107769572</v>
      </c>
      <c r="K42" s="2">
        <v>45444</v>
      </c>
      <c r="L42">
        <v>21</v>
      </c>
      <c r="M42">
        <v>1</v>
      </c>
      <c r="N42">
        <v>25</v>
      </c>
      <c r="O42">
        <v>1</v>
      </c>
      <c r="P42" t="s">
        <v>7</v>
      </c>
    </row>
    <row r="43" spans="1:19">
      <c r="A43" t="s">
        <v>850</v>
      </c>
      <c r="B43" t="s">
        <v>762</v>
      </c>
      <c r="C43">
        <v>3.7999999999999999E-2</v>
      </c>
      <c r="D43" t="s">
        <v>6</v>
      </c>
      <c r="E43" t="s">
        <v>911</v>
      </c>
      <c r="F43" t="s">
        <v>907</v>
      </c>
      <c r="G43" t="s">
        <v>909</v>
      </c>
      <c r="H43">
        <v>2.7010000000000001</v>
      </c>
      <c r="J43">
        <v>105898070</v>
      </c>
      <c r="K43" s="2">
        <v>43633</v>
      </c>
      <c r="L43">
        <v>29</v>
      </c>
      <c r="M43">
        <v>1</v>
      </c>
      <c r="N43">
        <v>0</v>
      </c>
      <c r="O43">
        <v>1</v>
      </c>
      <c r="P43" t="s">
        <v>7</v>
      </c>
    </row>
    <row r="44" spans="1:19">
      <c r="A44" t="s">
        <v>850</v>
      </c>
      <c r="B44" t="s">
        <v>762</v>
      </c>
      <c r="C44">
        <v>0</v>
      </c>
      <c r="E44" t="s">
        <v>911</v>
      </c>
      <c r="F44" t="s">
        <v>862</v>
      </c>
      <c r="G44" t="s">
        <v>909</v>
      </c>
      <c r="H44">
        <v>2.7389999999999999</v>
      </c>
      <c r="J44">
        <v>106312212</v>
      </c>
      <c r="K44" s="2">
        <v>44056</v>
      </c>
      <c r="L44">
        <v>25</v>
      </c>
      <c r="M44">
        <v>1</v>
      </c>
      <c r="N44">
        <v>0</v>
      </c>
      <c r="O44">
        <v>1</v>
      </c>
      <c r="P44" t="s">
        <v>7</v>
      </c>
    </row>
    <row r="45" spans="1:19">
      <c r="A45" t="s">
        <v>850</v>
      </c>
      <c r="B45" t="s">
        <v>762</v>
      </c>
      <c r="C45">
        <v>2.5000000000000001E-2</v>
      </c>
      <c r="D45" t="s">
        <v>6</v>
      </c>
      <c r="E45" t="s">
        <v>862</v>
      </c>
      <c r="F45" t="s">
        <v>911</v>
      </c>
      <c r="G45" t="s">
        <v>909</v>
      </c>
      <c r="H45">
        <v>2.843</v>
      </c>
      <c r="J45">
        <v>108143298</v>
      </c>
      <c r="K45" s="2">
        <v>45799</v>
      </c>
      <c r="L45">
        <v>14</v>
      </c>
      <c r="M45">
        <v>1</v>
      </c>
      <c r="N45">
        <v>0</v>
      </c>
      <c r="O45">
        <v>1</v>
      </c>
      <c r="P45" t="s">
        <v>3</v>
      </c>
      <c r="Q45">
        <v>36.116216999999999</v>
      </c>
      <c r="R45">
        <v>-78.687032000000002</v>
      </c>
      <c r="S45" t="s">
        <v>895</v>
      </c>
    </row>
    <row r="46" spans="1:19">
      <c r="A46" t="s">
        <v>850</v>
      </c>
      <c r="B46" t="s">
        <v>872</v>
      </c>
      <c r="C46">
        <v>8.9999999999999993E-3</v>
      </c>
      <c r="D46" t="s">
        <v>6</v>
      </c>
      <c r="E46" t="s">
        <v>862</v>
      </c>
      <c r="F46" t="s">
        <v>911</v>
      </c>
      <c r="G46" t="s">
        <v>909</v>
      </c>
      <c r="H46">
        <v>2.859</v>
      </c>
      <c r="J46">
        <v>105433975</v>
      </c>
      <c r="K46" s="2">
        <v>43192</v>
      </c>
      <c r="L46">
        <v>20</v>
      </c>
      <c r="M46">
        <v>1</v>
      </c>
      <c r="O46">
        <v>1</v>
      </c>
      <c r="P46" t="s">
        <v>7</v>
      </c>
    </row>
    <row r="47" spans="1:19">
      <c r="A47" t="s">
        <v>850</v>
      </c>
      <c r="B47" t="s">
        <v>762</v>
      </c>
      <c r="C47">
        <v>4.0000000000000001E-3</v>
      </c>
      <c r="D47" t="s">
        <v>6</v>
      </c>
      <c r="E47" t="s">
        <v>862</v>
      </c>
      <c r="F47" t="s">
        <v>907</v>
      </c>
      <c r="G47" t="s">
        <v>909</v>
      </c>
      <c r="H47">
        <v>2.8639999999999999</v>
      </c>
      <c r="J47">
        <v>105943302</v>
      </c>
      <c r="K47" s="2">
        <v>43676</v>
      </c>
      <c r="L47">
        <v>30</v>
      </c>
      <c r="M47">
        <v>1</v>
      </c>
      <c r="N47">
        <v>4</v>
      </c>
      <c r="O47">
        <v>1</v>
      </c>
      <c r="P47" t="s">
        <v>3</v>
      </c>
    </row>
    <row r="48" spans="1:19">
      <c r="A48" t="s">
        <v>850</v>
      </c>
      <c r="B48" t="s">
        <v>762</v>
      </c>
      <c r="C48">
        <v>0</v>
      </c>
      <c r="E48" t="s">
        <v>862</v>
      </c>
      <c r="F48" t="s">
        <v>911</v>
      </c>
      <c r="G48" t="s">
        <v>909</v>
      </c>
      <c r="H48">
        <v>2.8679999999999999</v>
      </c>
      <c r="J48">
        <v>108458258</v>
      </c>
      <c r="K48" s="2">
        <v>46113</v>
      </c>
      <c r="L48">
        <v>30</v>
      </c>
      <c r="M48">
        <v>1</v>
      </c>
      <c r="N48">
        <v>7</v>
      </c>
      <c r="O48">
        <v>1</v>
      </c>
      <c r="P48" t="s">
        <v>7</v>
      </c>
    </row>
    <row r="49" spans="1:16">
      <c r="A49" t="s">
        <v>850</v>
      </c>
      <c r="B49" t="s">
        <v>762</v>
      </c>
      <c r="C49">
        <v>0</v>
      </c>
      <c r="E49" t="s">
        <v>862</v>
      </c>
      <c r="G49" t="s">
        <v>909</v>
      </c>
      <c r="H49">
        <v>2.8679999999999999</v>
      </c>
      <c r="J49">
        <v>108048415</v>
      </c>
      <c r="K49" s="2">
        <v>45727</v>
      </c>
      <c r="L49">
        <v>30</v>
      </c>
      <c r="M49">
        <v>1</v>
      </c>
      <c r="N49">
        <v>0</v>
      </c>
      <c r="O49">
        <v>1</v>
      </c>
      <c r="P49" t="s">
        <v>7</v>
      </c>
    </row>
    <row r="50" spans="1:16">
      <c r="A50" t="s">
        <v>850</v>
      </c>
      <c r="B50" t="s">
        <v>762</v>
      </c>
      <c r="C50">
        <v>0</v>
      </c>
      <c r="E50" t="s">
        <v>862</v>
      </c>
      <c r="F50" t="s">
        <v>911</v>
      </c>
      <c r="G50" t="s">
        <v>909</v>
      </c>
      <c r="H50">
        <v>2.8679999999999999</v>
      </c>
      <c r="J50">
        <v>106125842</v>
      </c>
      <c r="K50" s="2">
        <v>43845</v>
      </c>
      <c r="L50">
        <v>30</v>
      </c>
      <c r="M50">
        <v>1</v>
      </c>
      <c r="N50">
        <v>7</v>
      </c>
      <c r="O50">
        <v>1</v>
      </c>
      <c r="P50" t="s">
        <v>3</v>
      </c>
    </row>
    <row r="51" spans="1:16">
      <c r="A51" t="s">
        <v>850</v>
      </c>
      <c r="B51" t="s">
        <v>762</v>
      </c>
      <c r="C51">
        <v>0</v>
      </c>
      <c r="E51" t="s">
        <v>862</v>
      </c>
      <c r="F51" t="s">
        <v>911</v>
      </c>
      <c r="G51" t="s">
        <v>909</v>
      </c>
      <c r="H51">
        <v>2.8679999999999999</v>
      </c>
      <c r="J51">
        <v>105801665</v>
      </c>
      <c r="K51" s="2">
        <v>43536</v>
      </c>
      <c r="L51">
        <v>21</v>
      </c>
      <c r="M51">
        <v>1</v>
      </c>
      <c r="N51">
        <v>7</v>
      </c>
      <c r="O51">
        <v>1</v>
      </c>
      <c r="P51" t="s">
        <v>7</v>
      </c>
    </row>
    <row r="52" spans="1:16">
      <c r="A52" t="s">
        <v>850</v>
      </c>
      <c r="B52" t="s">
        <v>762</v>
      </c>
      <c r="C52">
        <v>0</v>
      </c>
      <c r="E52" t="s">
        <v>862</v>
      </c>
      <c r="G52" t="s">
        <v>909</v>
      </c>
      <c r="H52">
        <v>2.8679999999999999</v>
      </c>
      <c r="J52">
        <v>105449819</v>
      </c>
      <c r="K52" s="2">
        <v>43203</v>
      </c>
      <c r="L52">
        <v>30</v>
      </c>
      <c r="M52">
        <v>1</v>
      </c>
      <c r="N52">
        <v>7</v>
      </c>
      <c r="O52">
        <v>1</v>
      </c>
      <c r="P52" t="s">
        <v>3</v>
      </c>
    </row>
    <row r="53" spans="1:16">
      <c r="A53" t="s">
        <v>850</v>
      </c>
      <c r="B53" t="s">
        <v>762</v>
      </c>
      <c r="C53">
        <v>0</v>
      </c>
      <c r="E53" t="s">
        <v>862</v>
      </c>
      <c r="F53" t="s">
        <v>911</v>
      </c>
      <c r="G53" t="s">
        <v>909</v>
      </c>
      <c r="H53">
        <v>2.8679999999999999</v>
      </c>
      <c r="J53">
        <v>105507729</v>
      </c>
      <c r="K53" s="2">
        <v>42965</v>
      </c>
      <c r="L53">
        <v>30</v>
      </c>
      <c r="M53">
        <v>1</v>
      </c>
      <c r="N53">
        <v>7</v>
      </c>
      <c r="O53">
        <v>1</v>
      </c>
      <c r="P53" t="s">
        <v>7</v>
      </c>
    </row>
    <row r="54" spans="1:16">
      <c r="A54" t="s">
        <v>850</v>
      </c>
      <c r="B54" t="s">
        <v>872</v>
      </c>
      <c r="C54">
        <v>0</v>
      </c>
      <c r="D54" t="s">
        <v>6</v>
      </c>
      <c r="E54" t="s">
        <v>862</v>
      </c>
      <c r="F54" t="s">
        <v>865</v>
      </c>
      <c r="G54" t="s">
        <v>909</v>
      </c>
      <c r="H54">
        <v>2.8679999999999999</v>
      </c>
      <c r="J54">
        <v>105071495</v>
      </c>
      <c r="K54" s="2">
        <v>42843</v>
      </c>
      <c r="L54">
        <v>31</v>
      </c>
      <c r="M54">
        <v>1</v>
      </c>
      <c r="N54">
        <v>4</v>
      </c>
      <c r="O54">
        <v>1</v>
      </c>
      <c r="P54" t="s">
        <v>7</v>
      </c>
    </row>
    <row r="55" spans="1:16">
      <c r="A55" t="s">
        <v>850</v>
      </c>
      <c r="B55" t="s">
        <v>762</v>
      </c>
      <c r="C55">
        <v>2.1000000000000001E-2</v>
      </c>
      <c r="D55" t="s">
        <v>754</v>
      </c>
      <c r="E55" t="s">
        <v>862</v>
      </c>
      <c r="F55" t="s">
        <v>911</v>
      </c>
      <c r="G55" t="s">
        <v>909</v>
      </c>
      <c r="H55">
        <v>2.8889999999999998</v>
      </c>
      <c r="J55">
        <v>106205408</v>
      </c>
      <c r="K55" s="2">
        <v>43930</v>
      </c>
      <c r="L55">
        <v>21</v>
      </c>
      <c r="M55">
        <v>2</v>
      </c>
      <c r="N55">
        <v>0</v>
      </c>
      <c r="O55">
        <v>1</v>
      </c>
      <c r="P55" t="s">
        <v>7</v>
      </c>
    </row>
    <row r="56" spans="1:16">
      <c r="A56" t="s">
        <v>850</v>
      </c>
      <c r="B56" t="s">
        <v>762</v>
      </c>
      <c r="C56">
        <v>3.1E-2</v>
      </c>
      <c r="D56" t="s">
        <v>6</v>
      </c>
      <c r="E56" t="s">
        <v>865</v>
      </c>
      <c r="F56" t="s">
        <v>862</v>
      </c>
      <c r="G56" t="s">
        <v>909</v>
      </c>
      <c r="H56">
        <v>2.9060000000000001</v>
      </c>
      <c r="J56">
        <v>105551538</v>
      </c>
      <c r="K56" s="2">
        <v>43307</v>
      </c>
      <c r="L56">
        <v>30</v>
      </c>
      <c r="M56">
        <v>1</v>
      </c>
      <c r="N56">
        <v>4</v>
      </c>
      <c r="O56">
        <v>1</v>
      </c>
      <c r="P56" t="s">
        <v>7</v>
      </c>
    </row>
    <row r="57" spans="1:16">
      <c r="A57" t="s">
        <v>850</v>
      </c>
      <c r="B57" t="s">
        <v>762</v>
      </c>
      <c r="C57">
        <v>3.2000000000000001E-2</v>
      </c>
      <c r="D57" t="s">
        <v>755</v>
      </c>
      <c r="E57" t="s">
        <v>853</v>
      </c>
      <c r="F57" t="s">
        <v>912</v>
      </c>
      <c r="G57" t="s">
        <v>909</v>
      </c>
      <c r="H57">
        <v>2.9340000000000002</v>
      </c>
      <c r="J57">
        <v>106032449</v>
      </c>
      <c r="K57" s="2">
        <v>43635</v>
      </c>
      <c r="L57">
        <v>30</v>
      </c>
      <c r="M57">
        <v>1</v>
      </c>
      <c r="N57">
        <v>0</v>
      </c>
      <c r="O57">
        <v>1</v>
      </c>
      <c r="P57" t="s">
        <v>7</v>
      </c>
    </row>
    <row r="58" spans="1:16">
      <c r="A58" t="s">
        <v>850</v>
      </c>
      <c r="B58" t="s">
        <v>762</v>
      </c>
      <c r="C58">
        <v>0</v>
      </c>
      <c r="E58" t="s">
        <v>865</v>
      </c>
      <c r="F58" t="s">
        <v>865</v>
      </c>
      <c r="G58" t="s">
        <v>909</v>
      </c>
      <c r="H58">
        <v>2.9369999999999998</v>
      </c>
      <c r="J58">
        <v>108506608</v>
      </c>
      <c r="K58" s="2">
        <v>46164</v>
      </c>
      <c r="L58">
        <v>24</v>
      </c>
      <c r="M58">
        <v>2</v>
      </c>
      <c r="N58">
        <v>7</v>
      </c>
      <c r="O58">
        <v>1</v>
      </c>
      <c r="P58" t="s">
        <v>7</v>
      </c>
    </row>
    <row r="59" spans="1:16">
      <c r="A59" t="s">
        <v>850</v>
      </c>
      <c r="B59" t="s">
        <v>762</v>
      </c>
      <c r="C59">
        <v>0</v>
      </c>
      <c r="E59" t="s">
        <v>865</v>
      </c>
      <c r="F59" t="s">
        <v>913</v>
      </c>
      <c r="G59" t="s">
        <v>909</v>
      </c>
      <c r="H59">
        <v>2.9369999999999998</v>
      </c>
      <c r="J59">
        <v>108402133</v>
      </c>
      <c r="K59" s="2">
        <v>46063</v>
      </c>
      <c r="L59">
        <v>28</v>
      </c>
      <c r="M59">
        <v>1</v>
      </c>
      <c r="N59">
        <v>0</v>
      </c>
      <c r="O59">
        <v>1</v>
      </c>
      <c r="P59" t="s">
        <v>7</v>
      </c>
    </row>
    <row r="60" spans="1:16">
      <c r="A60" t="s">
        <v>850</v>
      </c>
      <c r="B60" t="s">
        <v>762</v>
      </c>
      <c r="C60">
        <v>0</v>
      </c>
      <c r="E60" t="s">
        <v>865</v>
      </c>
      <c r="F60" t="s">
        <v>762</v>
      </c>
      <c r="G60" t="s">
        <v>909</v>
      </c>
      <c r="H60">
        <v>2.9369999999999998</v>
      </c>
      <c r="J60">
        <v>107170707</v>
      </c>
      <c r="K60" s="2">
        <v>44876</v>
      </c>
      <c r="L60">
        <v>30</v>
      </c>
      <c r="M60">
        <v>1</v>
      </c>
      <c r="N60">
        <v>0</v>
      </c>
      <c r="O60">
        <v>1</v>
      </c>
      <c r="P60" t="s">
        <v>3</v>
      </c>
    </row>
    <row r="61" spans="1:16">
      <c r="A61" t="s">
        <v>850</v>
      </c>
      <c r="B61" t="s">
        <v>762</v>
      </c>
      <c r="C61">
        <v>0</v>
      </c>
      <c r="E61" t="s">
        <v>865</v>
      </c>
      <c r="F61" t="s">
        <v>862</v>
      </c>
      <c r="G61" t="s">
        <v>909</v>
      </c>
      <c r="H61">
        <v>2.9369999999999998</v>
      </c>
      <c r="J61">
        <v>105449820</v>
      </c>
      <c r="K61" s="2">
        <v>43206</v>
      </c>
      <c r="L61">
        <v>24</v>
      </c>
      <c r="M61">
        <v>1</v>
      </c>
      <c r="N61">
        <v>12</v>
      </c>
      <c r="O61">
        <v>1</v>
      </c>
      <c r="P61" t="s">
        <v>7</v>
      </c>
    </row>
    <row r="62" spans="1:16">
      <c r="A62" t="s">
        <v>850</v>
      </c>
      <c r="B62" t="s">
        <v>762</v>
      </c>
      <c r="C62">
        <v>8.9999999999999993E-3</v>
      </c>
      <c r="D62" t="s">
        <v>754</v>
      </c>
      <c r="E62" t="s">
        <v>865</v>
      </c>
      <c r="F62" t="s">
        <v>853</v>
      </c>
      <c r="G62" t="s">
        <v>909</v>
      </c>
      <c r="H62">
        <v>2.9460000000000002</v>
      </c>
      <c r="J62">
        <v>105860727</v>
      </c>
      <c r="K62" s="2">
        <v>43595</v>
      </c>
      <c r="L62">
        <v>28</v>
      </c>
      <c r="M62">
        <v>1</v>
      </c>
      <c r="O62">
        <v>1</v>
      </c>
      <c r="P62" t="s">
        <v>7</v>
      </c>
    </row>
    <row r="63" spans="1:16">
      <c r="A63" t="s">
        <v>850</v>
      </c>
      <c r="B63" t="s">
        <v>762</v>
      </c>
      <c r="C63">
        <v>1.4E-2</v>
      </c>
      <c r="D63" t="s">
        <v>754</v>
      </c>
      <c r="E63" t="s">
        <v>865</v>
      </c>
      <c r="F63" t="s">
        <v>855</v>
      </c>
      <c r="G63" t="s">
        <v>909</v>
      </c>
      <c r="H63">
        <v>2.9510000000000001</v>
      </c>
      <c r="J63">
        <v>105822297</v>
      </c>
      <c r="K63" s="2">
        <v>43551</v>
      </c>
      <c r="L63">
        <v>28</v>
      </c>
      <c r="M63">
        <v>1</v>
      </c>
      <c r="N63">
        <v>0</v>
      </c>
      <c r="O63">
        <v>1</v>
      </c>
    </row>
    <row r="64" spans="1:16">
      <c r="A64" t="s">
        <v>850</v>
      </c>
      <c r="B64" t="s">
        <v>762</v>
      </c>
      <c r="C64">
        <v>2.3E-2</v>
      </c>
      <c r="D64" t="s">
        <v>754</v>
      </c>
      <c r="E64" t="s">
        <v>865</v>
      </c>
      <c r="F64" t="s">
        <v>854</v>
      </c>
      <c r="G64" t="s">
        <v>909</v>
      </c>
      <c r="H64">
        <v>2.96</v>
      </c>
      <c r="J64">
        <v>105317302</v>
      </c>
      <c r="K64" s="2">
        <v>43074</v>
      </c>
      <c r="L64">
        <v>28</v>
      </c>
      <c r="M64">
        <v>1</v>
      </c>
      <c r="N64">
        <v>0</v>
      </c>
      <c r="O64">
        <v>1</v>
      </c>
    </row>
    <row r="65" spans="1:16">
      <c r="A65" t="s">
        <v>850</v>
      </c>
      <c r="B65" t="s">
        <v>762</v>
      </c>
      <c r="C65">
        <v>8.9999999999999993E-3</v>
      </c>
      <c r="D65" t="s">
        <v>754</v>
      </c>
      <c r="E65" t="s">
        <v>853</v>
      </c>
      <c r="F65" t="s">
        <v>865</v>
      </c>
      <c r="G65" t="s">
        <v>909</v>
      </c>
      <c r="H65">
        <v>2.9750000000000001</v>
      </c>
      <c r="J65">
        <v>106258584</v>
      </c>
      <c r="K65" s="2">
        <v>44004</v>
      </c>
      <c r="L65">
        <v>28</v>
      </c>
      <c r="M65">
        <v>1</v>
      </c>
      <c r="N65">
        <v>0</v>
      </c>
      <c r="O65">
        <v>1</v>
      </c>
      <c r="P65" t="s">
        <v>7</v>
      </c>
    </row>
    <row r="66" spans="1:16">
      <c r="A66" t="s">
        <v>850</v>
      </c>
      <c r="B66" t="s">
        <v>762</v>
      </c>
      <c r="C66">
        <v>0.01</v>
      </c>
      <c r="D66" t="s">
        <v>6</v>
      </c>
      <c r="E66" t="s">
        <v>855</v>
      </c>
      <c r="F66" t="s">
        <v>853</v>
      </c>
      <c r="G66" t="s">
        <v>909</v>
      </c>
      <c r="H66">
        <v>2.9860000000000002</v>
      </c>
      <c r="J66">
        <v>105601554</v>
      </c>
      <c r="K66" s="2">
        <v>43350</v>
      </c>
      <c r="L66">
        <v>28</v>
      </c>
      <c r="M66">
        <v>1</v>
      </c>
      <c r="N66">
        <v>0</v>
      </c>
      <c r="O66">
        <v>1</v>
      </c>
      <c r="P66" t="s">
        <v>7</v>
      </c>
    </row>
    <row r="67" spans="1:16">
      <c r="A67" t="s">
        <v>850</v>
      </c>
      <c r="B67" t="s">
        <v>762</v>
      </c>
      <c r="C67">
        <v>8.9999999999999993E-3</v>
      </c>
      <c r="D67" t="s">
        <v>6</v>
      </c>
      <c r="E67" t="s">
        <v>855</v>
      </c>
      <c r="F67" t="s">
        <v>853</v>
      </c>
      <c r="G67" t="s">
        <v>909</v>
      </c>
      <c r="H67">
        <v>2.9870000000000001</v>
      </c>
      <c r="J67">
        <v>108398245</v>
      </c>
      <c r="K67" s="2">
        <v>46064</v>
      </c>
      <c r="L67">
        <v>29</v>
      </c>
      <c r="M67">
        <v>1</v>
      </c>
      <c r="N67">
        <v>0</v>
      </c>
      <c r="O67">
        <v>1</v>
      </c>
      <c r="P67" t="s">
        <v>7</v>
      </c>
    </row>
    <row r="68" spans="1:16">
      <c r="A68" t="s">
        <v>850</v>
      </c>
      <c r="B68" t="s">
        <v>762</v>
      </c>
      <c r="C68">
        <v>8.9999999999999993E-3</v>
      </c>
      <c r="D68" t="s">
        <v>6</v>
      </c>
      <c r="E68" t="s">
        <v>855</v>
      </c>
      <c r="F68" t="s">
        <v>854</v>
      </c>
      <c r="G68" t="s">
        <v>909</v>
      </c>
      <c r="H68">
        <v>2.9870000000000001</v>
      </c>
      <c r="J68">
        <v>108192337</v>
      </c>
      <c r="K68" s="2">
        <v>45874</v>
      </c>
      <c r="L68">
        <v>1</v>
      </c>
      <c r="M68">
        <v>1</v>
      </c>
      <c r="N68">
        <v>0</v>
      </c>
      <c r="O68">
        <v>4</v>
      </c>
      <c r="P68" t="s">
        <v>7</v>
      </c>
    </row>
    <row r="69" spans="1:16">
      <c r="A69" t="s">
        <v>850</v>
      </c>
      <c r="B69" t="s">
        <v>762</v>
      </c>
      <c r="C69">
        <v>2.1000000000000001E-2</v>
      </c>
      <c r="D69" t="s">
        <v>754</v>
      </c>
      <c r="E69" t="s">
        <v>853</v>
      </c>
      <c r="F69" t="s">
        <v>855</v>
      </c>
      <c r="G69" t="s">
        <v>909</v>
      </c>
      <c r="H69">
        <v>2.9870000000000001</v>
      </c>
      <c r="J69">
        <v>108516973</v>
      </c>
      <c r="K69" s="2">
        <v>46168</v>
      </c>
      <c r="L69">
        <v>28</v>
      </c>
      <c r="M69">
        <v>2</v>
      </c>
      <c r="N69">
        <v>0</v>
      </c>
      <c r="O69">
        <v>1</v>
      </c>
    </row>
    <row r="70" spans="1:16">
      <c r="A70" t="s">
        <v>850</v>
      </c>
      <c r="B70" t="s">
        <v>762</v>
      </c>
      <c r="C70">
        <v>0</v>
      </c>
      <c r="E70" t="s">
        <v>855</v>
      </c>
      <c r="F70" t="s">
        <v>853</v>
      </c>
      <c r="G70" t="s">
        <v>909</v>
      </c>
      <c r="H70">
        <v>2.996</v>
      </c>
      <c r="J70">
        <v>108553169</v>
      </c>
      <c r="K70" s="2">
        <v>46211</v>
      </c>
      <c r="L70">
        <v>28</v>
      </c>
      <c r="M70">
        <v>1</v>
      </c>
      <c r="N70">
        <v>0</v>
      </c>
      <c r="O70">
        <v>1</v>
      </c>
      <c r="P70" t="s">
        <v>7</v>
      </c>
    </row>
    <row r="71" spans="1:16">
      <c r="A71" t="s">
        <v>850</v>
      </c>
      <c r="B71" t="s">
        <v>762</v>
      </c>
      <c r="C71">
        <v>0</v>
      </c>
      <c r="D71" t="s">
        <v>6</v>
      </c>
      <c r="E71" t="s">
        <v>855</v>
      </c>
      <c r="F71" t="s">
        <v>911</v>
      </c>
      <c r="G71" t="s">
        <v>909</v>
      </c>
      <c r="H71">
        <v>2.996</v>
      </c>
      <c r="J71">
        <v>105156577</v>
      </c>
      <c r="K71" s="2">
        <v>42926</v>
      </c>
      <c r="L71">
        <v>30</v>
      </c>
      <c r="M71">
        <v>1</v>
      </c>
      <c r="N71">
        <v>0</v>
      </c>
      <c r="O71">
        <v>1</v>
      </c>
      <c r="P71" t="s">
        <v>3</v>
      </c>
    </row>
    <row r="72" spans="1:16">
      <c r="A72" t="s">
        <v>850</v>
      </c>
      <c r="B72" t="s">
        <v>762</v>
      </c>
      <c r="C72">
        <v>1.9E-2</v>
      </c>
      <c r="D72" t="s">
        <v>6</v>
      </c>
      <c r="E72" t="s">
        <v>860</v>
      </c>
      <c r="F72" t="s">
        <v>914</v>
      </c>
      <c r="G72" t="s">
        <v>909</v>
      </c>
      <c r="H72">
        <v>2.9969999999999999</v>
      </c>
      <c r="J72">
        <v>105185581</v>
      </c>
      <c r="K72" s="2">
        <v>42953</v>
      </c>
      <c r="L72">
        <v>28</v>
      </c>
      <c r="M72">
        <v>1</v>
      </c>
      <c r="N72">
        <v>0</v>
      </c>
      <c r="O72">
        <v>4</v>
      </c>
      <c r="P72" t="s">
        <v>7</v>
      </c>
    </row>
    <row r="73" spans="1:16">
      <c r="A73" t="s">
        <v>850</v>
      </c>
      <c r="B73" t="s">
        <v>762</v>
      </c>
      <c r="C73">
        <v>0</v>
      </c>
      <c r="E73" t="s">
        <v>860</v>
      </c>
      <c r="F73" t="s">
        <v>915</v>
      </c>
      <c r="G73" t="s">
        <v>909</v>
      </c>
      <c r="H73">
        <v>3.016</v>
      </c>
      <c r="J73">
        <v>106157107</v>
      </c>
      <c r="K73" s="2">
        <v>43875</v>
      </c>
      <c r="L73">
        <v>30</v>
      </c>
      <c r="M73">
        <v>1</v>
      </c>
      <c r="N73">
        <v>8</v>
      </c>
      <c r="O73">
        <v>1</v>
      </c>
      <c r="P73" t="s">
        <v>7</v>
      </c>
    </row>
    <row r="74" spans="1:16">
      <c r="A74" t="s">
        <v>850</v>
      </c>
      <c r="B74" t="s">
        <v>762</v>
      </c>
      <c r="C74">
        <v>0</v>
      </c>
      <c r="E74" t="s">
        <v>860</v>
      </c>
      <c r="F74" t="s">
        <v>915</v>
      </c>
      <c r="G74" t="s">
        <v>909</v>
      </c>
      <c r="H74">
        <v>3.016</v>
      </c>
      <c r="J74">
        <v>105399346</v>
      </c>
      <c r="K74" s="2">
        <v>43142</v>
      </c>
      <c r="L74">
        <v>27</v>
      </c>
      <c r="M74">
        <v>2</v>
      </c>
      <c r="N74">
        <v>0</v>
      </c>
      <c r="O74">
        <v>3</v>
      </c>
      <c r="P74" t="s">
        <v>3</v>
      </c>
    </row>
    <row r="75" spans="1:16">
      <c r="A75" t="s">
        <v>850</v>
      </c>
      <c r="B75" t="s">
        <v>762</v>
      </c>
      <c r="C75">
        <v>0</v>
      </c>
      <c r="E75" t="s">
        <v>860</v>
      </c>
      <c r="G75" t="s">
        <v>909</v>
      </c>
      <c r="H75">
        <v>3.016</v>
      </c>
      <c r="J75">
        <v>105285187</v>
      </c>
      <c r="K75" s="2">
        <v>43049</v>
      </c>
      <c r="L75">
        <v>28</v>
      </c>
      <c r="M75">
        <v>1</v>
      </c>
      <c r="N75">
        <v>0</v>
      </c>
      <c r="O75">
        <v>2</v>
      </c>
      <c r="P75" t="s">
        <v>7</v>
      </c>
    </row>
    <row r="76" spans="1:16">
      <c r="A76" t="s">
        <v>850</v>
      </c>
      <c r="B76" t="s">
        <v>762</v>
      </c>
      <c r="C76">
        <v>7.0000000000000001E-3</v>
      </c>
      <c r="D76" t="s">
        <v>754</v>
      </c>
      <c r="E76" t="s">
        <v>860</v>
      </c>
      <c r="F76" t="s">
        <v>855</v>
      </c>
      <c r="G76" t="s">
        <v>909</v>
      </c>
      <c r="H76">
        <v>3.0230000000000001</v>
      </c>
      <c r="J76">
        <v>105199106</v>
      </c>
      <c r="K76" s="2">
        <v>42969</v>
      </c>
      <c r="L76">
        <v>32</v>
      </c>
      <c r="M76">
        <v>1</v>
      </c>
      <c r="N76">
        <v>0</v>
      </c>
      <c r="O76">
        <v>1</v>
      </c>
      <c r="P76" t="s">
        <v>7</v>
      </c>
    </row>
    <row r="77" spans="1:16">
      <c r="A77" t="s">
        <v>850</v>
      </c>
      <c r="B77" t="s">
        <v>762</v>
      </c>
      <c r="C77">
        <v>1.7999999999999999E-2</v>
      </c>
      <c r="D77" t="s">
        <v>754</v>
      </c>
      <c r="E77" t="s">
        <v>860</v>
      </c>
      <c r="F77" t="s">
        <v>915</v>
      </c>
      <c r="G77" t="s">
        <v>909</v>
      </c>
      <c r="H77">
        <v>3.0339999999999998</v>
      </c>
      <c r="J77">
        <v>106398136</v>
      </c>
      <c r="K77" s="2">
        <v>44069</v>
      </c>
      <c r="L77">
        <v>0</v>
      </c>
      <c r="M77">
        <v>1</v>
      </c>
      <c r="N77">
        <v>0</v>
      </c>
      <c r="O77">
        <v>1</v>
      </c>
      <c r="P77" t="s">
        <v>7</v>
      </c>
    </row>
    <row r="78" spans="1:16">
      <c r="A78" t="s">
        <v>850</v>
      </c>
      <c r="B78" t="s">
        <v>762</v>
      </c>
      <c r="C78">
        <v>2.4E-2</v>
      </c>
      <c r="D78" t="s">
        <v>754</v>
      </c>
      <c r="E78" t="s">
        <v>860</v>
      </c>
      <c r="F78" t="s">
        <v>915</v>
      </c>
      <c r="G78" t="s">
        <v>909</v>
      </c>
      <c r="H78">
        <v>3.04</v>
      </c>
      <c r="J78">
        <v>106398133</v>
      </c>
      <c r="K78" s="2">
        <v>44071</v>
      </c>
      <c r="L78">
        <v>20</v>
      </c>
      <c r="M78">
        <v>1</v>
      </c>
      <c r="N78">
        <v>0</v>
      </c>
      <c r="O78">
        <v>4</v>
      </c>
      <c r="P78" t="s">
        <v>7</v>
      </c>
    </row>
    <row r="79" spans="1:16">
      <c r="A79" t="s">
        <v>850</v>
      </c>
      <c r="B79" t="s">
        <v>762</v>
      </c>
      <c r="C79">
        <v>0.15</v>
      </c>
      <c r="D79" t="s">
        <v>754</v>
      </c>
      <c r="E79" t="s">
        <v>865</v>
      </c>
      <c r="F79" t="s">
        <v>860</v>
      </c>
      <c r="G79" t="s">
        <v>909</v>
      </c>
      <c r="H79">
        <v>3.0870000000000002</v>
      </c>
      <c r="J79">
        <v>105680090</v>
      </c>
      <c r="K79" s="2">
        <v>43412</v>
      </c>
      <c r="L79">
        <v>23</v>
      </c>
      <c r="M79">
        <v>1</v>
      </c>
      <c r="N79">
        <v>0</v>
      </c>
      <c r="O79">
        <v>1</v>
      </c>
      <c r="P79" t="s">
        <v>7</v>
      </c>
    </row>
    <row r="80" spans="1:16">
      <c r="A80" t="s">
        <v>850</v>
      </c>
      <c r="B80" t="s">
        <v>762</v>
      </c>
      <c r="C80">
        <v>3.7999999999999999E-2</v>
      </c>
      <c r="D80" t="s">
        <v>6</v>
      </c>
      <c r="E80" t="s">
        <v>915</v>
      </c>
      <c r="F80" t="s">
        <v>860</v>
      </c>
      <c r="G80" t="s">
        <v>909</v>
      </c>
      <c r="H80">
        <v>3.0880000000000001</v>
      </c>
      <c r="J80">
        <v>105334610</v>
      </c>
      <c r="K80" s="2">
        <v>43090</v>
      </c>
      <c r="L80">
        <v>28</v>
      </c>
      <c r="M80">
        <v>1</v>
      </c>
      <c r="N80">
        <v>0</v>
      </c>
      <c r="O80">
        <v>1</v>
      </c>
      <c r="P80" t="s">
        <v>7</v>
      </c>
    </row>
    <row r="81" spans="1:16">
      <c r="A81" t="s">
        <v>850</v>
      </c>
      <c r="B81" t="s">
        <v>762</v>
      </c>
      <c r="C81">
        <v>1.9E-2</v>
      </c>
      <c r="D81" t="s">
        <v>6</v>
      </c>
      <c r="E81" t="s">
        <v>915</v>
      </c>
      <c r="F81" t="s">
        <v>860</v>
      </c>
      <c r="G81" t="s">
        <v>909</v>
      </c>
      <c r="H81">
        <v>3.1070000000000002</v>
      </c>
      <c r="J81">
        <v>105924215</v>
      </c>
      <c r="K81" s="2">
        <v>43660</v>
      </c>
      <c r="L81">
        <v>19</v>
      </c>
      <c r="M81">
        <v>1</v>
      </c>
      <c r="N81">
        <v>0</v>
      </c>
      <c r="O81">
        <v>4</v>
      </c>
      <c r="P81" t="s">
        <v>7</v>
      </c>
    </row>
    <row r="82" spans="1:16">
      <c r="A82" t="s">
        <v>850</v>
      </c>
      <c r="B82" t="s">
        <v>762</v>
      </c>
      <c r="C82">
        <v>1.4999999999999999E-2</v>
      </c>
      <c r="D82" t="s">
        <v>6</v>
      </c>
      <c r="E82" t="s">
        <v>915</v>
      </c>
      <c r="G82" t="s">
        <v>909</v>
      </c>
      <c r="H82">
        <v>3.1110000000000002</v>
      </c>
      <c r="J82">
        <v>108287261</v>
      </c>
      <c r="K82" s="2">
        <v>45953</v>
      </c>
      <c r="L82">
        <v>21</v>
      </c>
      <c r="M82">
        <v>1</v>
      </c>
      <c r="N82">
        <v>0</v>
      </c>
      <c r="O82">
        <v>1</v>
      </c>
      <c r="P82" t="s">
        <v>3</v>
      </c>
    </row>
    <row r="83" spans="1:16">
      <c r="A83" t="s">
        <v>850</v>
      </c>
      <c r="B83" t="s">
        <v>762</v>
      </c>
      <c r="C83">
        <v>1.4999999999999999E-2</v>
      </c>
      <c r="D83" t="s">
        <v>6</v>
      </c>
      <c r="E83" t="s">
        <v>915</v>
      </c>
      <c r="F83" t="s">
        <v>914</v>
      </c>
      <c r="G83" t="s">
        <v>909</v>
      </c>
      <c r="H83">
        <v>3.1110000000000002</v>
      </c>
      <c r="J83">
        <v>105433973</v>
      </c>
      <c r="K83" s="2">
        <v>43187</v>
      </c>
      <c r="L83">
        <v>21</v>
      </c>
      <c r="M83">
        <v>1</v>
      </c>
      <c r="N83">
        <v>0</v>
      </c>
      <c r="O83">
        <v>1</v>
      </c>
      <c r="P83" t="s">
        <v>7</v>
      </c>
    </row>
    <row r="84" spans="1:16">
      <c r="A84" t="s">
        <v>850</v>
      </c>
      <c r="B84" t="s">
        <v>762</v>
      </c>
      <c r="C84">
        <v>8.9999999999999993E-3</v>
      </c>
      <c r="D84" t="s">
        <v>6</v>
      </c>
      <c r="E84" t="s">
        <v>914</v>
      </c>
      <c r="F84" t="s">
        <v>916</v>
      </c>
      <c r="G84" t="s">
        <v>909</v>
      </c>
      <c r="H84">
        <v>3.1469999999999998</v>
      </c>
      <c r="J84">
        <v>105417620</v>
      </c>
      <c r="K84" s="2">
        <v>43174</v>
      </c>
      <c r="L84">
        <v>1</v>
      </c>
      <c r="M84">
        <v>1</v>
      </c>
      <c r="N84">
        <v>0</v>
      </c>
      <c r="O84">
        <v>1</v>
      </c>
      <c r="P84" t="s">
        <v>7</v>
      </c>
    </row>
    <row r="85" spans="1:16">
      <c r="A85" t="s">
        <v>850</v>
      </c>
      <c r="B85" t="s">
        <v>762</v>
      </c>
      <c r="C85">
        <v>0</v>
      </c>
      <c r="E85" t="s">
        <v>916</v>
      </c>
      <c r="F85" t="s">
        <v>762</v>
      </c>
      <c r="G85" t="s">
        <v>909</v>
      </c>
      <c r="H85">
        <v>3.206</v>
      </c>
      <c r="J85">
        <v>107938369</v>
      </c>
      <c r="K85" s="2">
        <v>45611</v>
      </c>
      <c r="L85">
        <v>1</v>
      </c>
      <c r="M85">
        <v>2</v>
      </c>
      <c r="N85">
        <v>25</v>
      </c>
      <c r="O85">
        <v>4</v>
      </c>
      <c r="P85" t="s">
        <v>7</v>
      </c>
    </row>
    <row r="86" spans="1:16">
      <c r="A86" t="s">
        <v>850</v>
      </c>
      <c r="B86" t="s">
        <v>762</v>
      </c>
      <c r="C86">
        <v>0</v>
      </c>
      <c r="E86" t="s">
        <v>916</v>
      </c>
      <c r="G86" t="s">
        <v>909</v>
      </c>
      <c r="H86">
        <v>3.206</v>
      </c>
      <c r="J86">
        <v>105526147</v>
      </c>
      <c r="K86" s="2">
        <v>43280</v>
      </c>
      <c r="L86">
        <v>30</v>
      </c>
      <c r="M86">
        <v>1</v>
      </c>
      <c r="N86">
        <v>8</v>
      </c>
      <c r="O86">
        <v>1</v>
      </c>
      <c r="P86" t="s">
        <v>7</v>
      </c>
    </row>
    <row r="87" spans="1:16">
      <c r="A87" t="s">
        <v>850</v>
      </c>
      <c r="B87" t="s">
        <v>917</v>
      </c>
      <c r="C87">
        <v>0</v>
      </c>
      <c r="D87" t="s">
        <v>755</v>
      </c>
      <c r="E87" t="s">
        <v>916</v>
      </c>
      <c r="F87" t="s">
        <v>915</v>
      </c>
      <c r="G87" t="s">
        <v>909</v>
      </c>
      <c r="H87">
        <v>3.206</v>
      </c>
      <c r="J87">
        <v>105251330</v>
      </c>
      <c r="K87" s="2">
        <v>43020</v>
      </c>
      <c r="L87">
        <v>31</v>
      </c>
      <c r="M87">
        <v>1</v>
      </c>
      <c r="N87">
        <v>4</v>
      </c>
      <c r="O87">
        <v>1</v>
      </c>
      <c r="P87" t="s">
        <v>7</v>
      </c>
    </row>
    <row r="88" spans="1:16">
      <c r="A88" t="s">
        <v>850</v>
      </c>
      <c r="B88" t="s">
        <v>762</v>
      </c>
      <c r="C88">
        <v>6.0000000000000001E-3</v>
      </c>
      <c r="D88" t="s">
        <v>755</v>
      </c>
      <c r="E88" t="s">
        <v>918</v>
      </c>
      <c r="F88" t="s">
        <v>916</v>
      </c>
      <c r="G88" t="s">
        <v>909</v>
      </c>
      <c r="H88">
        <v>3.22</v>
      </c>
      <c r="J88">
        <v>107809377</v>
      </c>
      <c r="K88" s="2">
        <v>45496</v>
      </c>
      <c r="L88">
        <v>21</v>
      </c>
      <c r="M88">
        <v>1</v>
      </c>
      <c r="N88">
        <v>0</v>
      </c>
      <c r="O88">
        <v>1</v>
      </c>
      <c r="P88" t="s">
        <v>3</v>
      </c>
    </row>
    <row r="89" spans="1:16">
      <c r="A89" t="s">
        <v>850</v>
      </c>
      <c r="B89" t="s">
        <v>918</v>
      </c>
      <c r="C89">
        <v>0</v>
      </c>
      <c r="E89" t="s">
        <v>762</v>
      </c>
      <c r="F89" t="s">
        <v>762</v>
      </c>
      <c r="G89" t="s">
        <v>909</v>
      </c>
      <c r="H89">
        <v>3.226</v>
      </c>
      <c r="J89">
        <v>108332317</v>
      </c>
      <c r="K89" s="2">
        <v>45961</v>
      </c>
      <c r="L89">
        <v>24</v>
      </c>
      <c r="M89">
        <v>1</v>
      </c>
      <c r="N89">
        <v>0</v>
      </c>
      <c r="O89">
        <v>1</v>
      </c>
      <c r="P89" t="s">
        <v>7</v>
      </c>
    </row>
    <row r="90" spans="1:16">
      <c r="A90" t="s">
        <v>850</v>
      </c>
      <c r="B90" t="s">
        <v>762</v>
      </c>
      <c r="C90">
        <v>0</v>
      </c>
      <c r="E90" t="s">
        <v>918</v>
      </c>
      <c r="F90" t="s">
        <v>913</v>
      </c>
      <c r="G90" t="s">
        <v>909</v>
      </c>
      <c r="H90">
        <v>3.226</v>
      </c>
      <c r="J90">
        <v>108532983</v>
      </c>
      <c r="K90" s="2">
        <v>46178</v>
      </c>
      <c r="L90">
        <v>30</v>
      </c>
      <c r="M90">
        <v>1</v>
      </c>
      <c r="N90">
        <v>0</v>
      </c>
      <c r="O90">
        <v>1</v>
      </c>
      <c r="P90" t="s">
        <v>7</v>
      </c>
    </row>
    <row r="91" spans="1:16">
      <c r="A91" t="s">
        <v>850</v>
      </c>
      <c r="B91" t="s">
        <v>762</v>
      </c>
      <c r="C91">
        <v>0</v>
      </c>
      <c r="E91" t="s">
        <v>918</v>
      </c>
      <c r="F91" t="s">
        <v>916</v>
      </c>
      <c r="G91" t="s">
        <v>909</v>
      </c>
      <c r="H91">
        <v>3.226</v>
      </c>
      <c r="J91">
        <v>105658855</v>
      </c>
      <c r="K91" s="2">
        <v>43396</v>
      </c>
      <c r="L91">
        <v>24</v>
      </c>
      <c r="M91">
        <v>1</v>
      </c>
      <c r="N91">
        <v>12</v>
      </c>
      <c r="O91">
        <v>1</v>
      </c>
      <c r="P91" t="s">
        <v>7</v>
      </c>
    </row>
    <row r="92" spans="1:16">
      <c r="A92" t="s">
        <v>850</v>
      </c>
      <c r="B92" t="s">
        <v>762</v>
      </c>
      <c r="C92">
        <v>3.7999999999999999E-2</v>
      </c>
      <c r="D92" t="s">
        <v>6</v>
      </c>
      <c r="E92" t="s">
        <v>919</v>
      </c>
      <c r="F92" t="s">
        <v>918</v>
      </c>
      <c r="G92" t="s">
        <v>909</v>
      </c>
      <c r="H92">
        <v>3.2469999999999999</v>
      </c>
      <c r="J92">
        <v>107834102</v>
      </c>
      <c r="K92" s="2">
        <v>45527</v>
      </c>
      <c r="L92">
        <v>28</v>
      </c>
      <c r="M92">
        <v>1</v>
      </c>
      <c r="N92">
        <v>0</v>
      </c>
      <c r="O92">
        <v>1</v>
      </c>
      <c r="P92" t="s">
        <v>7</v>
      </c>
    </row>
    <row r="93" spans="1:16">
      <c r="A93" t="s">
        <v>850</v>
      </c>
      <c r="B93" t="s">
        <v>762</v>
      </c>
      <c r="C93">
        <v>6.0000000000000001E-3</v>
      </c>
      <c r="D93" t="s">
        <v>6</v>
      </c>
      <c r="E93" t="s">
        <v>913</v>
      </c>
      <c r="F93" t="s">
        <v>918</v>
      </c>
      <c r="G93" t="s">
        <v>909</v>
      </c>
      <c r="H93">
        <v>3.278</v>
      </c>
      <c r="J93">
        <v>108484990</v>
      </c>
      <c r="K93" s="2">
        <v>46140</v>
      </c>
      <c r="L93">
        <v>21</v>
      </c>
      <c r="M93">
        <v>1</v>
      </c>
      <c r="N93">
        <v>0</v>
      </c>
      <c r="O93">
        <v>1</v>
      </c>
      <c r="P93" t="s">
        <v>7</v>
      </c>
    </row>
    <row r="94" spans="1:16">
      <c r="A94" t="s">
        <v>850</v>
      </c>
      <c r="B94" t="s">
        <v>762</v>
      </c>
      <c r="C94">
        <v>0</v>
      </c>
      <c r="E94" t="s">
        <v>913</v>
      </c>
      <c r="F94" t="s">
        <v>883</v>
      </c>
      <c r="G94" t="s">
        <v>909</v>
      </c>
      <c r="H94">
        <v>3.2839999999999998</v>
      </c>
      <c r="J94">
        <v>105417622</v>
      </c>
      <c r="K94" s="2">
        <v>43174</v>
      </c>
      <c r="L94">
        <v>23</v>
      </c>
      <c r="M94">
        <v>1</v>
      </c>
      <c r="N94">
        <v>7</v>
      </c>
      <c r="O94">
        <v>1</v>
      </c>
      <c r="P94" t="s">
        <v>7</v>
      </c>
    </row>
    <row r="95" spans="1:16">
      <c r="A95" t="s">
        <v>850</v>
      </c>
      <c r="B95" t="s">
        <v>762</v>
      </c>
      <c r="C95">
        <v>0</v>
      </c>
      <c r="E95" t="s">
        <v>913</v>
      </c>
      <c r="F95" t="s">
        <v>918</v>
      </c>
      <c r="G95" t="s">
        <v>909</v>
      </c>
      <c r="H95">
        <v>3.2839999999999998</v>
      </c>
      <c r="J95">
        <v>105601555</v>
      </c>
      <c r="K95" s="2">
        <v>43353</v>
      </c>
      <c r="L95">
        <v>26</v>
      </c>
      <c r="M95">
        <v>1</v>
      </c>
      <c r="N95">
        <v>7</v>
      </c>
      <c r="O95">
        <v>1</v>
      </c>
      <c r="P95" t="s">
        <v>7</v>
      </c>
    </row>
    <row r="96" spans="1:16">
      <c r="A96" t="s">
        <v>850</v>
      </c>
      <c r="B96" t="s">
        <v>913</v>
      </c>
      <c r="C96">
        <v>0</v>
      </c>
      <c r="E96" t="s">
        <v>762</v>
      </c>
      <c r="F96" t="s">
        <v>851</v>
      </c>
      <c r="G96" t="s">
        <v>909</v>
      </c>
      <c r="H96">
        <v>3.2839999999999998</v>
      </c>
      <c r="J96">
        <v>108062653</v>
      </c>
      <c r="K96" s="2">
        <v>45740</v>
      </c>
      <c r="L96">
        <v>30</v>
      </c>
      <c r="M96">
        <v>2</v>
      </c>
      <c r="N96">
        <v>0</v>
      </c>
      <c r="O96">
        <v>1</v>
      </c>
      <c r="P96" t="s">
        <v>7</v>
      </c>
    </row>
    <row r="97" spans="1:16">
      <c r="A97" t="s">
        <v>850</v>
      </c>
      <c r="B97" t="s">
        <v>913</v>
      </c>
      <c r="C97">
        <v>0</v>
      </c>
      <c r="E97" t="s">
        <v>762</v>
      </c>
      <c r="F97" t="s">
        <v>918</v>
      </c>
      <c r="G97" t="s">
        <v>909</v>
      </c>
      <c r="H97">
        <v>3.2839999999999998</v>
      </c>
      <c r="J97">
        <v>108321102</v>
      </c>
      <c r="K97" s="2">
        <v>45981</v>
      </c>
      <c r="L97">
        <v>30</v>
      </c>
      <c r="M97">
        <v>1</v>
      </c>
      <c r="N97">
        <v>7</v>
      </c>
      <c r="O97">
        <v>2</v>
      </c>
      <c r="P97" t="s">
        <v>3</v>
      </c>
    </row>
    <row r="98" spans="1:16">
      <c r="A98" t="s">
        <v>850</v>
      </c>
      <c r="B98" t="s">
        <v>913</v>
      </c>
      <c r="C98">
        <v>0</v>
      </c>
      <c r="E98" t="s">
        <v>762</v>
      </c>
      <c r="F98" t="s">
        <v>920</v>
      </c>
      <c r="G98" t="s">
        <v>909</v>
      </c>
      <c r="H98">
        <v>3.2839999999999998</v>
      </c>
      <c r="J98">
        <v>107265352</v>
      </c>
      <c r="K98" s="2">
        <v>44979</v>
      </c>
      <c r="L98">
        <v>21</v>
      </c>
      <c r="M98">
        <v>1</v>
      </c>
      <c r="N98">
        <v>0</v>
      </c>
      <c r="O98">
        <v>1</v>
      </c>
      <c r="P98" t="s">
        <v>7</v>
      </c>
    </row>
    <row r="99" spans="1:16">
      <c r="A99" t="s">
        <v>850</v>
      </c>
      <c r="B99" t="s">
        <v>913</v>
      </c>
      <c r="C99">
        <v>0</v>
      </c>
      <c r="E99" t="s">
        <v>762</v>
      </c>
      <c r="F99" t="s">
        <v>883</v>
      </c>
      <c r="G99" t="s">
        <v>909</v>
      </c>
      <c r="H99">
        <v>3.2839999999999998</v>
      </c>
      <c r="J99">
        <v>106186679</v>
      </c>
      <c r="K99" s="2">
        <v>43907</v>
      </c>
      <c r="L99">
        <v>30</v>
      </c>
      <c r="M99">
        <v>1</v>
      </c>
      <c r="N99">
        <v>7</v>
      </c>
      <c r="O99">
        <v>1</v>
      </c>
      <c r="P99" t="s">
        <v>7</v>
      </c>
    </row>
    <row r="100" spans="1:16">
      <c r="A100" t="s">
        <v>850</v>
      </c>
      <c r="B100" t="s">
        <v>913</v>
      </c>
      <c r="C100">
        <v>0</v>
      </c>
      <c r="E100" t="s">
        <v>762</v>
      </c>
      <c r="F100" t="s">
        <v>913</v>
      </c>
      <c r="G100" t="s">
        <v>909</v>
      </c>
      <c r="H100">
        <v>3.2839999999999998</v>
      </c>
      <c r="J100">
        <v>105508622</v>
      </c>
      <c r="K100" s="2">
        <v>43238</v>
      </c>
      <c r="L100">
        <v>23</v>
      </c>
      <c r="M100">
        <v>1</v>
      </c>
      <c r="N100">
        <v>7</v>
      </c>
      <c r="O100">
        <v>1</v>
      </c>
      <c r="P100" t="s">
        <v>7</v>
      </c>
    </row>
    <row r="101" spans="1:16">
      <c r="A101" t="s">
        <v>850</v>
      </c>
      <c r="B101" t="s">
        <v>913</v>
      </c>
      <c r="C101">
        <v>0</v>
      </c>
      <c r="E101" t="s">
        <v>762</v>
      </c>
      <c r="F101" t="s">
        <v>921</v>
      </c>
      <c r="G101" t="s">
        <v>909</v>
      </c>
      <c r="H101">
        <v>3.2839999999999998</v>
      </c>
      <c r="J101">
        <v>108088763</v>
      </c>
      <c r="K101" s="2">
        <v>45752</v>
      </c>
      <c r="L101">
        <v>20</v>
      </c>
      <c r="M101">
        <v>1</v>
      </c>
      <c r="N101">
        <v>0</v>
      </c>
      <c r="O101">
        <v>2</v>
      </c>
      <c r="P101" t="s">
        <v>7</v>
      </c>
    </row>
    <row r="102" spans="1:16">
      <c r="A102" t="s">
        <v>850</v>
      </c>
      <c r="B102" t="s">
        <v>913</v>
      </c>
      <c r="C102">
        <v>0</v>
      </c>
      <c r="E102" t="s">
        <v>762</v>
      </c>
      <c r="F102" t="s">
        <v>913</v>
      </c>
      <c r="G102" t="s">
        <v>909</v>
      </c>
      <c r="H102">
        <v>3.2839999999999998</v>
      </c>
      <c r="J102">
        <v>107809381</v>
      </c>
      <c r="K102" s="2">
        <v>45496</v>
      </c>
      <c r="L102">
        <v>22</v>
      </c>
      <c r="M102">
        <v>1</v>
      </c>
      <c r="N102">
        <v>7</v>
      </c>
      <c r="O102">
        <v>1</v>
      </c>
      <c r="P102" t="s">
        <v>7</v>
      </c>
    </row>
    <row r="103" spans="1:16">
      <c r="A103" t="s">
        <v>850</v>
      </c>
      <c r="B103" t="s">
        <v>917</v>
      </c>
      <c r="C103">
        <v>0</v>
      </c>
      <c r="E103" t="s">
        <v>913</v>
      </c>
      <c r="F103" t="s">
        <v>913</v>
      </c>
      <c r="G103" t="s">
        <v>909</v>
      </c>
      <c r="H103">
        <v>3.2839999999999998</v>
      </c>
      <c r="J103">
        <v>105762325</v>
      </c>
      <c r="K103" s="2">
        <v>43497</v>
      </c>
      <c r="L103">
        <v>19</v>
      </c>
      <c r="M103">
        <v>1</v>
      </c>
      <c r="N103">
        <v>0</v>
      </c>
      <c r="O103">
        <v>1</v>
      </c>
      <c r="P103" t="s">
        <v>7</v>
      </c>
    </row>
    <row r="104" spans="1:16">
      <c r="A104" t="s">
        <v>850</v>
      </c>
      <c r="B104" t="s">
        <v>762</v>
      </c>
      <c r="C104">
        <v>0</v>
      </c>
      <c r="E104" t="s">
        <v>909</v>
      </c>
      <c r="F104" t="s">
        <v>909</v>
      </c>
      <c r="G104" t="s">
        <v>909</v>
      </c>
      <c r="H104">
        <v>3.2850000000000001</v>
      </c>
      <c r="J104">
        <v>108357308</v>
      </c>
      <c r="K104" s="2">
        <v>46021</v>
      </c>
      <c r="L104">
        <v>21</v>
      </c>
      <c r="M104">
        <v>1</v>
      </c>
      <c r="N104">
        <v>0</v>
      </c>
      <c r="O104">
        <v>1</v>
      </c>
      <c r="P104" t="s">
        <v>7</v>
      </c>
    </row>
    <row r="105" spans="1:16">
      <c r="A105" t="s">
        <v>850</v>
      </c>
      <c r="B105" t="s">
        <v>762</v>
      </c>
      <c r="C105">
        <v>0</v>
      </c>
      <c r="E105" t="s">
        <v>919</v>
      </c>
      <c r="F105" t="s">
        <v>914</v>
      </c>
      <c r="G105" t="s">
        <v>909</v>
      </c>
      <c r="H105">
        <v>3.2850000000000001</v>
      </c>
      <c r="J105">
        <v>105230312</v>
      </c>
      <c r="K105" s="2">
        <v>43003</v>
      </c>
      <c r="L105">
        <v>21</v>
      </c>
      <c r="M105">
        <v>1</v>
      </c>
      <c r="N105">
        <v>0</v>
      </c>
      <c r="O105">
        <v>1</v>
      </c>
      <c r="P105" t="s">
        <v>7</v>
      </c>
    </row>
    <row r="106" spans="1:16">
      <c r="A106" t="s">
        <v>850</v>
      </c>
      <c r="B106" t="s">
        <v>919</v>
      </c>
      <c r="C106">
        <v>0</v>
      </c>
      <c r="E106" t="s">
        <v>762</v>
      </c>
      <c r="F106" t="s">
        <v>918</v>
      </c>
      <c r="G106" t="s">
        <v>909</v>
      </c>
      <c r="H106">
        <v>3.2850000000000001</v>
      </c>
      <c r="J106">
        <v>106108451</v>
      </c>
      <c r="K106" s="2">
        <v>43823</v>
      </c>
      <c r="L106">
        <v>21</v>
      </c>
      <c r="M106">
        <v>1</v>
      </c>
      <c r="N106">
        <v>0</v>
      </c>
      <c r="O106">
        <v>1</v>
      </c>
      <c r="P106" t="s">
        <v>3</v>
      </c>
    </row>
    <row r="107" spans="1:16">
      <c r="A107" t="s">
        <v>850</v>
      </c>
      <c r="B107" t="s">
        <v>919</v>
      </c>
      <c r="C107">
        <v>0</v>
      </c>
      <c r="E107" t="s">
        <v>762</v>
      </c>
      <c r="F107" t="s">
        <v>922</v>
      </c>
      <c r="G107" t="s">
        <v>909</v>
      </c>
      <c r="H107">
        <v>3.2850000000000001</v>
      </c>
      <c r="J107">
        <v>105750544</v>
      </c>
      <c r="K107" s="2">
        <v>43479</v>
      </c>
      <c r="L107">
        <v>28</v>
      </c>
      <c r="M107">
        <v>1</v>
      </c>
      <c r="N107">
        <v>7</v>
      </c>
      <c r="O107">
        <v>3</v>
      </c>
      <c r="P107" t="s">
        <v>7</v>
      </c>
    </row>
    <row r="108" spans="1:16">
      <c r="A108" t="s">
        <v>850</v>
      </c>
      <c r="B108" t="s">
        <v>919</v>
      </c>
      <c r="C108">
        <v>0</v>
      </c>
      <c r="D108" t="s">
        <v>755</v>
      </c>
      <c r="E108" t="s">
        <v>762</v>
      </c>
      <c r="F108" t="s">
        <v>923</v>
      </c>
      <c r="G108" t="s">
        <v>909</v>
      </c>
      <c r="H108">
        <v>3.2850000000000001</v>
      </c>
      <c r="J108">
        <v>105071492</v>
      </c>
      <c r="K108" s="2">
        <v>42843</v>
      </c>
      <c r="L108">
        <v>21</v>
      </c>
      <c r="M108">
        <v>1</v>
      </c>
      <c r="N108">
        <v>0</v>
      </c>
      <c r="O108">
        <v>1</v>
      </c>
      <c r="P108" t="s">
        <v>7</v>
      </c>
    </row>
    <row r="109" spans="1:16">
      <c r="A109" t="s">
        <v>850</v>
      </c>
      <c r="B109" t="s">
        <v>919</v>
      </c>
      <c r="C109">
        <v>8.0000000000000002E-3</v>
      </c>
      <c r="D109" t="s">
        <v>755</v>
      </c>
      <c r="E109" t="s">
        <v>762</v>
      </c>
      <c r="F109" t="s">
        <v>883</v>
      </c>
      <c r="G109" t="s">
        <v>909</v>
      </c>
      <c r="H109">
        <v>3.2930000000000001</v>
      </c>
      <c r="J109">
        <v>105924216</v>
      </c>
      <c r="K109" s="2">
        <v>43526</v>
      </c>
      <c r="L109">
        <v>2</v>
      </c>
      <c r="M109">
        <v>1</v>
      </c>
      <c r="N109">
        <v>7</v>
      </c>
      <c r="O109">
        <v>4</v>
      </c>
      <c r="P109" t="s">
        <v>7</v>
      </c>
    </row>
    <row r="110" spans="1:16">
      <c r="A110" t="s">
        <v>850</v>
      </c>
      <c r="B110" t="s">
        <v>919</v>
      </c>
      <c r="C110">
        <v>1.4E-2</v>
      </c>
      <c r="D110" t="s">
        <v>755</v>
      </c>
      <c r="E110" t="s">
        <v>762</v>
      </c>
      <c r="F110" t="s">
        <v>922</v>
      </c>
      <c r="G110" t="s">
        <v>909</v>
      </c>
      <c r="H110">
        <v>3.2989999999999999</v>
      </c>
      <c r="J110">
        <v>106335625</v>
      </c>
      <c r="K110" s="2">
        <v>44078</v>
      </c>
      <c r="L110">
        <v>21</v>
      </c>
      <c r="M110">
        <v>1</v>
      </c>
      <c r="N110">
        <v>0</v>
      </c>
      <c r="O110">
        <v>1</v>
      </c>
      <c r="P110" t="s">
        <v>7</v>
      </c>
    </row>
    <row r="111" spans="1:16">
      <c r="A111" t="s">
        <v>867</v>
      </c>
      <c r="B111" t="s">
        <v>924</v>
      </c>
      <c r="C111">
        <v>0</v>
      </c>
      <c r="E111" t="s">
        <v>869</v>
      </c>
      <c r="F111" t="s">
        <v>924</v>
      </c>
      <c r="G111" t="s">
        <v>925</v>
      </c>
      <c r="H111">
        <v>17.59</v>
      </c>
      <c r="J111">
        <v>108410554</v>
      </c>
      <c r="K111" s="2">
        <v>46077</v>
      </c>
      <c r="L111">
        <v>30</v>
      </c>
      <c r="M111">
        <v>1</v>
      </c>
      <c r="N111">
        <v>7</v>
      </c>
      <c r="O111">
        <v>1</v>
      </c>
      <c r="P111" t="s">
        <v>7</v>
      </c>
    </row>
    <row r="112" spans="1:16">
      <c r="A112" t="s">
        <v>867</v>
      </c>
      <c r="B112" t="s">
        <v>924</v>
      </c>
      <c r="C112">
        <v>0</v>
      </c>
      <c r="E112" t="s">
        <v>869</v>
      </c>
      <c r="F112" t="s">
        <v>926</v>
      </c>
      <c r="G112" t="s">
        <v>925</v>
      </c>
      <c r="H112">
        <v>17.59</v>
      </c>
      <c r="J112">
        <v>107781271</v>
      </c>
      <c r="K112" s="2">
        <v>45473</v>
      </c>
      <c r="L112">
        <v>30</v>
      </c>
      <c r="M112">
        <v>2</v>
      </c>
      <c r="N112">
        <v>7</v>
      </c>
      <c r="O112">
        <v>1</v>
      </c>
      <c r="P112" t="s">
        <v>7</v>
      </c>
    </row>
    <row r="113" spans="1:16">
      <c r="A113" t="s">
        <v>867</v>
      </c>
      <c r="B113" t="s">
        <v>924</v>
      </c>
      <c r="C113">
        <v>0</v>
      </c>
      <c r="E113" t="s">
        <v>869</v>
      </c>
      <c r="F113" t="s">
        <v>881</v>
      </c>
      <c r="G113" t="s">
        <v>925</v>
      </c>
      <c r="H113">
        <v>17.59</v>
      </c>
      <c r="J113">
        <v>107917628</v>
      </c>
      <c r="K113" s="2">
        <v>45608</v>
      </c>
      <c r="L113">
        <v>21</v>
      </c>
      <c r="M113">
        <v>1</v>
      </c>
      <c r="N113">
        <v>0</v>
      </c>
      <c r="O113">
        <v>1</v>
      </c>
      <c r="P113" t="s">
        <v>7</v>
      </c>
    </row>
    <row r="114" spans="1:16">
      <c r="A114" t="s">
        <v>867</v>
      </c>
      <c r="B114" t="s">
        <v>924</v>
      </c>
      <c r="C114">
        <v>0</v>
      </c>
      <c r="E114" t="s">
        <v>869</v>
      </c>
      <c r="F114" t="s">
        <v>881</v>
      </c>
      <c r="G114" t="s">
        <v>925</v>
      </c>
      <c r="H114">
        <v>17.59</v>
      </c>
      <c r="J114">
        <v>107751515</v>
      </c>
      <c r="K114" s="2">
        <v>45457</v>
      </c>
      <c r="L114">
        <v>30</v>
      </c>
      <c r="M114">
        <v>1</v>
      </c>
      <c r="N114">
        <v>0</v>
      </c>
      <c r="O114">
        <v>1</v>
      </c>
      <c r="P114" t="s">
        <v>7</v>
      </c>
    </row>
    <row r="115" spans="1:16">
      <c r="A115" t="s">
        <v>867</v>
      </c>
      <c r="B115" t="s">
        <v>924</v>
      </c>
      <c r="C115">
        <v>0</v>
      </c>
      <c r="E115" t="s">
        <v>869</v>
      </c>
      <c r="F115" t="s">
        <v>881</v>
      </c>
      <c r="G115" t="s">
        <v>925</v>
      </c>
      <c r="H115">
        <v>17.59</v>
      </c>
      <c r="J115">
        <v>107580773</v>
      </c>
      <c r="K115" s="2">
        <v>45195</v>
      </c>
      <c r="L115">
        <v>21</v>
      </c>
      <c r="M115">
        <v>1</v>
      </c>
      <c r="N115">
        <v>0</v>
      </c>
      <c r="O115">
        <v>1</v>
      </c>
      <c r="P115" t="s">
        <v>7</v>
      </c>
    </row>
    <row r="116" spans="1:16">
      <c r="A116" t="s">
        <v>867</v>
      </c>
      <c r="B116" t="s">
        <v>924</v>
      </c>
      <c r="C116">
        <v>0</v>
      </c>
      <c r="E116" t="s">
        <v>869</v>
      </c>
      <c r="F116" t="s">
        <v>924</v>
      </c>
      <c r="G116" t="s">
        <v>925</v>
      </c>
      <c r="H116">
        <v>17.59</v>
      </c>
      <c r="J116">
        <v>107136874</v>
      </c>
      <c r="K116" s="2">
        <v>44863</v>
      </c>
      <c r="L116">
        <v>22</v>
      </c>
      <c r="M116">
        <v>1</v>
      </c>
      <c r="N116">
        <v>0</v>
      </c>
      <c r="O116">
        <v>1</v>
      </c>
    </row>
    <row r="117" spans="1:16">
      <c r="A117" t="s">
        <v>867</v>
      </c>
      <c r="B117" t="s">
        <v>924</v>
      </c>
      <c r="C117">
        <v>0</v>
      </c>
      <c r="E117" t="s">
        <v>869</v>
      </c>
      <c r="F117" t="s">
        <v>869</v>
      </c>
      <c r="G117" t="s">
        <v>925</v>
      </c>
      <c r="H117">
        <v>17.59</v>
      </c>
      <c r="J117">
        <v>107074299</v>
      </c>
      <c r="K117" s="2">
        <v>44815</v>
      </c>
      <c r="L117">
        <v>30</v>
      </c>
      <c r="M117">
        <v>1</v>
      </c>
      <c r="N117">
        <v>0</v>
      </c>
      <c r="O117">
        <v>1</v>
      </c>
      <c r="P117" t="s">
        <v>3</v>
      </c>
    </row>
    <row r="118" spans="1:16">
      <c r="A118" t="s">
        <v>867</v>
      </c>
      <c r="B118" t="s">
        <v>924</v>
      </c>
      <c r="C118">
        <v>0</v>
      </c>
      <c r="E118" t="s">
        <v>869</v>
      </c>
      <c r="F118" t="s">
        <v>881</v>
      </c>
      <c r="G118" t="s">
        <v>925</v>
      </c>
      <c r="H118">
        <v>17.59</v>
      </c>
      <c r="J118">
        <v>106996484</v>
      </c>
      <c r="K118" s="2">
        <v>44723</v>
      </c>
      <c r="L118">
        <v>21</v>
      </c>
      <c r="M118">
        <v>1</v>
      </c>
      <c r="N118">
        <v>0</v>
      </c>
      <c r="O118">
        <v>2</v>
      </c>
      <c r="P118" t="s">
        <v>7</v>
      </c>
    </row>
    <row r="119" spans="1:16">
      <c r="A119" t="s">
        <v>867</v>
      </c>
      <c r="B119" t="s">
        <v>924</v>
      </c>
      <c r="C119">
        <v>0</v>
      </c>
      <c r="E119" t="s">
        <v>869</v>
      </c>
      <c r="F119" t="s">
        <v>881</v>
      </c>
      <c r="G119" t="s">
        <v>925</v>
      </c>
      <c r="H119">
        <v>17.59</v>
      </c>
      <c r="J119">
        <v>107036677</v>
      </c>
      <c r="K119" s="2">
        <v>44728</v>
      </c>
      <c r="L119">
        <v>31</v>
      </c>
      <c r="M119">
        <v>1</v>
      </c>
      <c r="N119">
        <v>0</v>
      </c>
      <c r="O119">
        <v>1</v>
      </c>
      <c r="P119" t="s">
        <v>7</v>
      </c>
    </row>
    <row r="120" spans="1:16">
      <c r="A120" t="s">
        <v>867</v>
      </c>
      <c r="B120" t="s">
        <v>924</v>
      </c>
      <c r="C120">
        <v>0</v>
      </c>
      <c r="E120" t="s">
        <v>869</v>
      </c>
      <c r="F120" t="s">
        <v>924</v>
      </c>
      <c r="G120" t="s">
        <v>925</v>
      </c>
      <c r="H120">
        <v>17.59</v>
      </c>
      <c r="J120">
        <v>106915253</v>
      </c>
      <c r="K120" s="2">
        <v>44646</v>
      </c>
      <c r="L120">
        <v>21</v>
      </c>
      <c r="M120">
        <v>1</v>
      </c>
      <c r="N120">
        <v>7</v>
      </c>
      <c r="O120">
        <v>1</v>
      </c>
      <c r="P120" t="s">
        <v>10</v>
      </c>
    </row>
    <row r="121" spans="1:16">
      <c r="A121" t="s">
        <v>867</v>
      </c>
      <c r="B121" t="s">
        <v>924</v>
      </c>
      <c r="C121">
        <v>0</v>
      </c>
      <c r="E121" t="s">
        <v>869</v>
      </c>
      <c r="F121" t="s">
        <v>869</v>
      </c>
      <c r="G121" t="s">
        <v>925</v>
      </c>
      <c r="H121">
        <v>17.59</v>
      </c>
      <c r="J121">
        <v>106464535</v>
      </c>
      <c r="K121" s="2">
        <v>44203</v>
      </c>
      <c r="L121">
        <v>30</v>
      </c>
      <c r="M121">
        <v>1</v>
      </c>
      <c r="N121">
        <v>0</v>
      </c>
      <c r="O121">
        <v>1</v>
      </c>
      <c r="P121" t="s">
        <v>8</v>
      </c>
    </row>
    <row r="122" spans="1:16">
      <c r="A122" t="s">
        <v>867</v>
      </c>
      <c r="B122" t="s">
        <v>924</v>
      </c>
      <c r="C122">
        <v>0</v>
      </c>
      <c r="E122" t="s">
        <v>869</v>
      </c>
      <c r="F122" t="s">
        <v>869</v>
      </c>
      <c r="G122" t="s">
        <v>925</v>
      </c>
      <c r="H122">
        <v>17.59</v>
      </c>
      <c r="J122">
        <v>106097128</v>
      </c>
      <c r="K122" s="2">
        <v>43801</v>
      </c>
      <c r="L122">
        <v>21</v>
      </c>
      <c r="M122">
        <v>1</v>
      </c>
      <c r="N122">
        <v>0</v>
      </c>
      <c r="O122">
        <v>1</v>
      </c>
      <c r="P122" t="s">
        <v>7</v>
      </c>
    </row>
    <row r="123" spans="1:16">
      <c r="A123" t="s">
        <v>867</v>
      </c>
      <c r="B123" t="s">
        <v>924</v>
      </c>
      <c r="C123">
        <v>0</v>
      </c>
      <c r="E123" t="s">
        <v>869</v>
      </c>
      <c r="F123" t="s">
        <v>924</v>
      </c>
      <c r="G123" t="s">
        <v>925</v>
      </c>
      <c r="H123">
        <v>17.59</v>
      </c>
      <c r="J123">
        <v>107036300</v>
      </c>
      <c r="K123" s="2">
        <v>44605</v>
      </c>
      <c r="L123">
        <v>21</v>
      </c>
      <c r="M123">
        <v>1</v>
      </c>
      <c r="N123">
        <v>7</v>
      </c>
      <c r="O123">
        <v>2</v>
      </c>
      <c r="P123" t="s">
        <v>7</v>
      </c>
    </row>
    <row r="124" spans="1:16">
      <c r="A124" t="s">
        <v>867</v>
      </c>
      <c r="B124" t="s">
        <v>924</v>
      </c>
      <c r="C124">
        <v>0</v>
      </c>
      <c r="E124" t="s">
        <v>869</v>
      </c>
      <c r="F124" t="s">
        <v>881</v>
      </c>
      <c r="G124" t="s">
        <v>925</v>
      </c>
      <c r="H124">
        <v>17.59</v>
      </c>
      <c r="J124">
        <v>106238022</v>
      </c>
      <c r="K124" s="2">
        <v>43980</v>
      </c>
      <c r="L124">
        <v>30</v>
      </c>
      <c r="M124">
        <v>1</v>
      </c>
      <c r="N124">
        <v>7</v>
      </c>
      <c r="O124">
        <v>1</v>
      </c>
      <c r="P124" t="s">
        <v>3</v>
      </c>
    </row>
    <row r="125" spans="1:16">
      <c r="A125" t="s">
        <v>867</v>
      </c>
      <c r="B125" t="s">
        <v>924</v>
      </c>
      <c r="C125">
        <v>0</v>
      </c>
      <c r="E125" t="s">
        <v>869</v>
      </c>
      <c r="F125" t="s">
        <v>924</v>
      </c>
      <c r="G125" t="s">
        <v>925</v>
      </c>
      <c r="H125">
        <v>17.59</v>
      </c>
      <c r="J125">
        <v>106061382</v>
      </c>
      <c r="K125" s="2">
        <v>43783</v>
      </c>
      <c r="L125">
        <v>28</v>
      </c>
      <c r="M125">
        <v>1</v>
      </c>
      <c r="N125">
        <v>0</v>
      </c>
      <c r="O125">
        <v>1</v>
      </c>
      <c r="P125" t="s">
        <v>7</v>
      </c>
    </row>
    <row r="126" spans="1:16">
      <c r="A126" t="s">
        <v>867</v>
      </c>
      <c r="B126" t="s">
        <v>924</v>
      </c>
      <c r="C126">
        <v>0</v>
      </c>
      <c r="E126" t="s">
        <v>869</v>
      </c>
      <c r="F126" t="s">
        <v>927</v>
      </c>
      <c r="G126" t="s">
        <v>925</v>
      </c>
      <c r="H126">
        <v>17.59</v>
      </c>
      <c r="J126">
        <v>105397737</v>
      </c>
      <c r="K126" s="2">
        <v>43161</v>
      </c>
      <c r="L126">
        <v>30</v>
      </c>
      <c r="M126">
        <v>1</v>
      </c>
      <c r="N126">
        <v>0</v>
      </c>
      <c r="O126">
        <v>4</v>
      </c>
    </row>
    <row r="127" spans="1:16">
      <c r="A127" t="s">
        <v>867</v>
      </c>
      <c r="B127" t="s">
        <v>924</v>
      </c>
      <c r="C127">
        <v>0</v>
      </c>
      <c r="E127" t="s">
        <v>869</v>
      </c>
      <c r="F127" t="s">
        <v>881</v>
      </c>
      <c r="G127" t="s">
        <v>925</v>
      </c>
      <c r="H127">
        <v>17.59</v>
      </c>
      <c r="J127">
        <v>105421874</v>
      </c>
      <c r="K127" s="2">
        <v>43183</v>
      </c>
      <c r="L127">
        <v>30</v>
      </c>
      <c r="M127">
        <v>6</v>
      </c>
      <c r="N127">
        <v>7</v>
      </c>
      <c r="O127">
        <v>4</v>
      </c>
      <c r="P127" t="s">
        <v>3</v>
      </c>
    </row>
    <row r="128" spans="1:16">
      <c r="A128" t="s">
        <v>867</v>
      </c>
      <c r="B128" t="s">
        <v>924</v>
      </c>
      <c r="C128">
        <v>0</v>
      </c>
      <c r="E128" t="s">
        <v>869</v>
      </c>
      <c r="F128" t="s">
        <v>881</v>
      </c>
      <c r="G128" t="s">
        <v>925</v>
      </c>
      <c r="H128">
        <v>17.59</v>
      </c>
      <c r="J128">
        <v>105115262</v>
      </c>
      <c r="K128" s="2">
        <v>42880</v>
      </c>
      <c r="L128">
        <v>24</v>
      </c>
      <c r="M128">
        <v>2</v>
      </c>
      <c r="N128">
        <v>0</v>
      </c>
      <c r="O128">
        <v>1</v>
      </c>
      <c r="P128" t="s">
        <v>7</v>
      </c>
    </row>
    <row r="129" spans="1:19">
      <c r="A129" t="s">
        <v>867</v>
      </c>
      <c r="B129" t="s">
        <v>924</v>
      </c>
      <c r="C129">
        <v>0</v>
      </c>
      <c r="E129" t="s">
        <v>869</v>
      </c>
      <c r="F129" t="s">
        <v>869</v>
      </c>
      <c r="G129" t="s">
        <v>925</v>
      </c>
      <c r="H129">
        <v>17.59</v>
      </c>
      <c r="J129">
        <v>105030848</v>
      </c>
      <c r="K129" s="2">
        <v>42802</v>
      </c>
      <c r="L129">
        <v>32</v>
      </c>
      <c r="M129">
        <v>1</v>
      </c>
      <c r="N129">
        <v>7</v>
      </c>
      <c r="O129">
        <v>1</v>
      </c>
      <c r="P129" t="s">
        <v>3</v>
      </c>
    </row>
    <row r="130" spans="1:19">
      <c r="A130" t="s">
        <v>867</v>
      </c>
      <c r="B130" t="s">
        <v>924</v>
      </c>
      <c r="C130">
        <v>0</v>
      </c>
      <c r="E130" t="s">
        <v>869</v>
      </c>
      <c r="F130" t="s">
        <v>926</v>
      </c>
      <c r="G130" t="s">
        <v>925</v>
      </c>
      <c r="H130">
        <v>17.59</v>
      </c>
      <c r="J130">
        <v>105336080</v>
      </c>
      <c r="K130" s="2">
        <v>43099</v>
      </c>
      <c r="L130">
        <v>30</v>
      </c>
      <c r="M130">
        <v>1</v>
      </c>
      <c r="N130">
        <v>0</v>
      </c>
      <c r="O130">
        <v>4</v>
      </c>
      <c r="P130" t="s">
        <v>7</v>
      </c>
    </row>
    <row r="131" spans="1:19">
      <c r="A131" t="s">
        <v>867</v>
      </c>
      <c r="B131" t="s">
        <v>924</v>
      </c>
      <c r="C131">
        <v>0</v>
      </c>
      <c r="E131" t="s">
        <v>869</v>
      </c>
      <c r="F131" t="s">
        <v>928</v>
      </c>
      <c r="G131" t="s">
        <v>925</v>
      </c>
      <c r="H131">
        <v>17.59</v>
      </c>
      <c r="J131">
        <v>105076245</v>
      </c>
      <c r="K131" s="2">
        <v>42850</v>
      </c>
      <c r="L131">
        <v>30</v>
      </c>
      <c r="M131">
        <v>1</v>
      </c>
      <c r="N131">
        <v>7</v>
      </c>
      <c r="O131">
        <v>1</v>
      </c>
      <c r="P131" t="s">
        <v>7</v>
      </c>
    </row>
    <row r="132" spans="1:19">
      <c r="A132" t="s">
        <v>867</v>
      </c>
      <c r="B132" t="s">
        <v>929</v>
      </c>
      <c r="C132">
        <v>0</v>
      </c>
      <c r="D132" t="s">
        <v>6</v>
      </c>
      <c r="E132" t="s">
        <v>869</v>
      </c>
      <c r="F132" t="s">
        <v>867</v>
      </c>
      <c r="G132" t="s">
        <v>929</v>
      </c>
      <c r="H132">
        <v>999.99900000000002</v>
      </c>
      <c r="J132">
        <v>106680830</v>
      </c>
      <c r="K132" s="2">
        <v>44435</v>
      </c>
      <c r="L132">
        <v>3</v>
      </c>
      <c r="M132">
        <v>1</v>
      </c>
      <c r="N132">
        <v>0</v>
      </c>
      <c r="O132">
        <v>1</v>
      </c>
      <c r="P132" t="s">
        <v>7</v>
      </c>
    </row>
    <row r="133" spans="1:19">
      <c r="A133" t="s">
        <v>867</v>
      </c>
      <c r="B133" t="s">
        <v>926</v>
      </c>
      <c r="C133">
        <v>0</v>
      </c>
      <c r="E133" t="s">
        <v>869</v>
      </c>
      <c r="F133" t="s">
        <v>927</v>
      </c>
      <c r="G133" t="s">
        <v>869</v>
      </c>
      <c r="H133">
        <v>0.09</v>
      </c>
      <c r="J133">
        <v>108460018</v>
      </c>
      <c r="K133" s="2">
        <v>46115</v>
      </c>
      <c r="L133">
        <v>23</v>
      </c>
      <c r="M133">
        <v>1</v>
      </c>
      <c r="N133">
        <v>7</v>
      </c>
      <c r="O133">
        <v>1</v>
      </c>
      <c r="P133" t="s">
        <v>3</v>
      </c>
    </row>
    <row r="134" spans="1:19">
      <c r="A134" t="s">
        <v>867</v>
      </c>
      <c r="B134" t="s">
        <v>926</v>
      </c>
      <c r="C134">
        <v>0</v>
      </c>
      <c r="E134" t="s">
        <v>869</v>
      </c>
      <c r="F134" t="s">
        <v>927</v>
      </c>
      <c r="G134" t="s">
        <v>869</v>
      </c>
      <c r="H134">
        <v>0.09</v>
      </c>
      <c r="J134">
        <v>105573027</v>
      </c>
      <c r="K134" s="2">
        <v>43310</v>
      </c>
      <c r="L134">
        <v>30</v>
      </c>
      <c r="M134">
        <v>1</v>
      </c>
      <c r="N134">
        <v>0</v>
      </c>
      <c r="O134">
        <v>1</v>
      </c>
      <c r="P134" t="s">
        <v>8</v>
      </c>
    </row>
    <row r="135" spans="1:19">
      <c r="A135" t="s">
        <v>867</v>
      </c>
      <c r="B135" t="s">
        <v>869</v>
      </c>
      <c r="C135">
        <v>0</v>
      </c>
      <c r="E135" t="s">
        <v>926</v>
      </c>
      <c r="F135" t="s">
        <v>926</v>
      </c>
      <c r="G135" t="s">
        <v>869</v>
      </c>
      <c r="H135">
        <v>0.09</v>
      </c>
      <c r="J135">
        <v>108242628</v>
      </c>
      <c r="K135" s="2">
        <v>45916</v>
      </c>
      <c r="L135">
        <v>2</v>
      </c>
      <c r="M135">
        <v>1</v>
      </c>
      <c r="N135">
        <v>0</v>
      </c>
      <c r="O135">
        <v>1</v>
      </c>
      <c r="P135" t="s">
        <v>3</v>
      </c>
    </row>
    <row r="136" spans="1:19">
      <c r="A136" t="s">
        <v>867</v>
      </c>
      <c r="B136" t="s">
        <v>869</v>
      </c>
      <c r="C136">
        <v>0</v>
      </c>
      <c r="E136" t="s">
        <v>926</v>
      </c>
      <c r="F136" t="s">
        <v>762</v>
      </c>
      <c r="G136" t="s">
        <v>869</v>
      </c>
      <c r="H136">
        <v>0.09</v>
      </c>
      <c r="J136">
        <v>107935640</v>
      </c>
      <c r="K136" s="2">
        <v>45608</v>
      </c>
      <c r="L136">
        <v>30</v>
      </c>
      <c r="M136">
        <v>1</v>
      </c>
      <c r="N136">
        <v>0</v>
      </c>
      <c r="O136">
        <v>4</v>
      </c>
      <c r="P136" t="s">
        <v>7</v>
      </c>
    </row>
    <row r="137" spans="1:19">
      <c r="A137" t="s">
        <v>867</v>
      </c>
      <c r="B137" t="s">
        <v>869</v>
      </c>
      <c r="C137">
        <v>0</v>
      </c>
      <c r="E137" t="s">
        <v>926</v>
      </c>
      <c r="F137" t="s">
        <v>930</v>
      </c>
      <c r="G137" t="s">
        <v>869</v>
      </c>
      <c r="H137">
        <v>0.09</v>
      </c>
      <c r="J137">
        <v>107575368</v>
      </c>
      <c r="K137" s="2">
        <v>45265</v>
      </c>
      <c r="L137">
        <v>32</v>
      </c>
      <c r="M137">
        <v>1</v>
      </c>
      <c r="N137">
        <v>0</v>
      </c>
      <c r="O137">
        <v>2</v>
      </c>
      <c r="P137" t="s">
        <v>3</v>
      </c>
    </row>
    <row r="138" spans="1:19">
      <c r="A138" t="s">
        <v>867</v>
      </c>
      <c r="B138" t="s">
        <v>869</v>
      </c>
      <c r="C138">
        <v>0</v>
      </c>
      <c r="E138" t="s">
        <v>926</v>
      </c>
      <c r="F138" t="s">
        <v>924</v>
      </c>
      <c r="G138" t="s">
        <v>869</v>
      </c>
      <c r="H138">
        <v>0.09</v>
      </c>
      <c r="J138">
        <v>106996485</v>
      </c>
      <c r="K138" s="2">
        <v>44728</v>
      </c>
      <c r="L138">
        <v>28</v>
      </c>
      <c r="M138">
        <v>1</v>
      </c>
      <c r="N138">
        <v>0</v>
      </c>
      <c r="O138">
        <v>1</v>
      </c>
      <c r="P138" t="s">
        <v>7</v>
      </c>
    </row>
    <row r="139" spans="1:19">
      <c r="A139" t="s">
        <v>867</v>
      </c>
      <c r="B139" t="s">
        <v>869</v>
      </c>
      <c r="C139">
        <v>0</v>
      </c>
      <c r="E139" t="s">
        <v>926</v>
      </c>
      <c r="F139" t="s">
        <v>924</v>
      </c>
      <c r="G139" t="s">
        <v>869</v>
      </c>
      <c r="H139">
        <v>0.09</v>
      </c>
      <c r="J139">
        <v>105771423</v>
      </c>
      <c r="K139" s="2">
        <v>43501</v>
      </c>
      <c r="L139">
        <v>21</v>
      </c>
      <c r="M139">
        <v>1</v>
      </c>
      <c r="N139">
        <v>0</v>
      </c>
      <c r="O139">
        <v>1</v>
      </c>
      <c r="P139" t="s">
        <v>3</v>
      </c>
    </row>
    <row r="140" spans="1:19">
      <c r="A140" t="s">
        <v>867</v>
      </c>
      <c r="B140" t="s">
        <v>869</v>
      </c>
      <c r="C140">
        <v>0</v>
      </c>
      <c r="E140" t="s">
        <v>926</v>
      </c>
      <c r="F140" t="s">
        <v>924</v>
      </c>
      <c r="G140" t="s">
        <v>869</v>
      </c>
      <c r="H140">
        <v>0.09</v>
      </c>
      <c r="J140">
        <v>105115267</v>
      </c>
      <c r="K140" s="2">
        <v>42852</v>
      </c>
      <c r="L140">
        <v>30</v>
      </c>
      <c r="M140">
        <v>1</v>
      </c>
      <c r="N140">
        <v>0</v>
      </c>
      <c r="O140">
        <v>1</v>
      </c>
      <c r="P140" t="s">
        <v>3</v>
      </c>
    </row>
    <row r="141" spans="1:19">
      <c r="A141" t="s">
        <v>867</v>
      </c>
      <c r="B141" t="s">
        <v>869</v>
      </c>
      <c r="C141">
        <v>0</v>
      </c>
      <c r="E141" t="s">
        <v>926</v>
      </c>
      <c r="F141" t="s">
        <v>924</v>
      </c>
      <c r="G141" t="s">
        <v>869</v>
      </c>
      <c r="H141">
        <v>0.09</v>
      </c>
      <c r="J141">
        <v>107674223</v>
      </c>
      <c r="K141" s="2">
        <v>45372</v>
      </c>
      <c r="L141">
        <v>28</v>
      </c>
      <c r="M141">
        <v>1</v>
      </c>
      <c r="N141">
        <v>0</v>
      </c>
      <c r="O141">
        <v>1</v>
      </c>
      <c r="P141" t="s">
        <v>7</v>
      </c>
    </row>
    <row r="142" spans="1:19">
      <c r="A142" t="s">
        <v>867</v>
      </c>
      <c r="B142" t="s">
        <v>869</v>
      </c>
      <c r="C142">
        <v>0</v>
      </c>
      <c r="E142" t="s">
        <v>887</v>
      </c>
      <c r="F142" t="s">
        <v>924</v>
      </c>
      <c r="G142" t="s">
        <v>869</v>
      </c>
      <c r="H142">
        <v>0.22</v>
      </c>
      <c r="J142">
        <v>107101708</v>
      </c>
      <c r="K142" s="2">
        <v>44840</v>
      </c>
      <c r="L142">
        <v>26</v>
      </c>
      <c r="M142">
        <v>1</v>
      </c>
      <c r="N142">
        <v>0</v>
      </c>
      <c r="O142">
        <v>1</v>
      </c>
      <c r="P142" t="s">
        <v>7</v>
      </c>
    </row>
    <row r="143" spans="1:19">
      <c r="A143" t="s">
        <v>867</v>
      </c>
      <c r="B143" t="s">
        <v>887</v>
      </c>
      <c r="C143">
        <v>0</v>
      </c>
      <c r="E143" t="s">
        <v>869</v>
      </c>
      <c r="G143" t="s">
        <v>869</v>
      </c>
      <c r="H143">
        <v>0.22</v>
      </c>
      <c r="J143">
        <v>107164598</v>
      </c>
      <c r="K143" s="2">
        <v>44895</v>
      </c>
      <c r="L143">
        <v>31</v>
      </c>
      <c r="M143">
        <v>1</v>
      </c>
      <c r="N143">
        <v>0</v>
      </c>
      <c r="O143">
        <v>1</v>
      </c>
    </row>
    <row r="144" spans="1:19">
      <c r="A144" t="s">
        <v>867</v>
      </c>
      <c r="B144" t="s">
        <v>887</v>
      </c>
      <c r="C144">
        <v>0</v>
      </c>
      <c r="E144" t="s">
        <v>869</v>
      </c>
      <c r="F144" t="s">
        <v>881</v>
      </c>
      <c r="G144" t="s">
        <v>869</v>
      </c>
      <c r="H144">
        <v>0.22</v>
      </c>
      <c r="J144">
        <v>106577549</v>
      </c>
      <c r="K144" s="2">
        <v>44327</v>
      </c>
      <c r="L144">
        <v>30</v>
      </c>
      <c r="M144">
        <v>1</v>
      </c>
      <c r="N144">
        <v>0</v>
      </c>
      <c r="O144">
        <v>1</v>
      </c>
      <c r="P144" t="s">
        <v>7</v>
      </c>
      <c r="Q144">
        <v>36.309759</v>
      </c>
      <c r="R144">
        <v>-78.588780999999997</v>
      </c>
      <c r="S144" t="s">
        <v>757</v>
      </c>
    </row>
    <row r="145" spans="1:16">
      <c r="A145" t="s">
        <v>867</v>
      </c>
      <c r="B145" t="s">
        <v>887</v>
      </c>
      <c r="C145">
        <v>0</v>
      </c>
      <c r="E145" t="s">
        <v>869</v>
      </c>
      <c r="F145" t="s">
        <v>881</v>
      </c>
      <c r="G145" t="s">
        <v>869</v>
      </c>
      <c r="H145">
        <v>0.22</v>
      </c>
      <c r="J145">
        <v>105616476</v>
      </c>
      <c r="K145" s="2">
        <v>43370</v>
      </c>
      <c r="L145">
        <v>29</v>
      </c>
      <c r="M145">
        <v>2</v>
      </c>
      <c r="N145">
        <v>4</v>
      </c>
      <c r="O145">
        <v>1</v>
      </c>
      <c r="P145" t="s">
        <v>7</v>
      </c>
    </row>
    <row r="146" spans="1:16">
      <c r="A146" t="s">
        <v>867</v>
      </c>
      <c r="B146" t="s">
        <v>869</v>
      </c>
      <c r="C146">
        <v>0</v>
      </c>
      <c r="E146" t="s">
        <v>762</v>
      </c>
      <c r="F146" t="s">
        <v>762</v>
      </c>
      <c r="G146" t="s">
        <v>869</v>
      </c>
      <c r="H146">
        <v>0.31</v>
      </c>
      <c r="J146">
        <v>106899135</v>
      </c>
      <c r="K146" s="2">
        <v>44606</v>
      </c>
      <c r="L146">
        <v>30</v>
      </c>
      <c r="M146">
        <v>1</v>
      </c>
      <c r="N146">
        <v>0</v>
      </c>
      <c r="O146">
        <v>1</v>
      </c>
      <c r="P146" t="s">
        <v>7</v>
      </c>
    </row>
    <row r="147" spans="1:16">
      <c r="A147" t="s">
        <v>867</v>
      </c>
      <c r="B147" t="s">
        <v>869</v>
      </c>
      <c r="C147">
        <v>0</v>
      </c>
      <c r="E147" t="s">
        <v>762</v>
      </c>
      <c r="F147" t="s">
        <v>762</v>
      </c>
      <c r="G147" t="s">
        <v>869</v>
      </c>
      <c r="H147">
        <v>0.31</v>
      </c>
      <c r="J147">
        <v>106097127</v>
      </c>
      <c r="K147" s="2">
        <v>43805</v>
      </c>
      <c r="L147">
        <v>21</v>
      </c>
      <c r="M147">
        <v>1</v>
      </c>
      <c r="N147">
        <v>7</v>
      </c>
      <c r="O147">
        <v>4</v>
      </c>
      <c r="P147" t="s">
        <v>3</v>
      </c>
    </row>
    <row r="148" spans="1:16">
      <c r="A148" t="s">
        <v>867</v>
      </c>
      <c r="B148" t="s">
        <v>869</v>
      </c>
      <c r="C148">
        <v>0</v>
      </c>
      <c r="E148" t="s">
        <v>762</v>
      </c>
      <c r="F148" t="s">
        <v>887</v>
      </c>
      <c r="G148" t="s">
        <v>869</v>
      </c>
      <c r="H148">
        <v>0.31</v>
      </c>
      <c r="J148">
        <v>105273794</v>
      </c>
      <c r="K148" s="2">
        <v>43041</v>
      </c>
      <c r="L148">
        <v>31</v>
      </c>
      <c r="M148">
        <v>1</v>
      </c>
      <c r="N148">
        <v>0</v>
      </c>
      <c r="O148">
        <v>1</v>
      </c>
      <c r="P148" t="s">
        <v>7</v>
      </c>
    </row>
    <row r="149" spans="1:16">
      <c r="A149" t="s">
        <v>867</v>
      </c>
      <c r="B149" t="s">
        <v>869</v>
      </c>
      <c r="C149">
        <v>0</v>
      </c>
      <c r="E149" t="s">
        <v>762</v>
      </c>
      <c r="F149" t="s">
        <v>762</v>
      </c>
      <c r="G149" t="s">
        <v>869</v>
      </c>
      <c r="H149">
        <v>0.31</v>
      </c>
      <c r="J149">
        <v>105172416</v>
      </c>
      <c r="K149" s="2">
        <v>42935</v>
      </c>
      <c r="L149">
        <v>31</v>
      </c>
      <c r="M149">
        <v>1</v>
      </c>
      <c r="N149">
        <v>0</v>
      </c>
      <c r="O149">
        <v>1</v>
      </c>
      <c r="P149" t="s">
        <v>7</v>
      </c>
    </row>
    <row r="150" spans="1:16">
      <c r="A150" t="s">
        <v>867</v>
      </c>
      <c r="B150" t="s">
        <v>869</v>
      </c>
      <c r="C150">
        <v>0</v>
      </c>
      <c r="D150" t="s">
        <v>753</v>
      </c>
      <c r="E150" t="s">
        <v>762</v>
      </c>
      <c r="F150" t="s">
        <v>891</v>
      </c>
      <c r="G150" t="s">
        <v>869</v>
      </c>
      <c r="H150">
        <v>0.31</v>
      </c>
      <c r="J150">
        <v>105532814</v>
      </c>
      <c r="K150" s="2">
        <v>43284</v>
      </c>
      <c r="L150">
        <v>32</v>
      </c>
      <c r="M150">
        <v>1</v>
      </c>
      <c r="N150">
        <v>0</v>
      </c>
      <c r="O150">
        <v>1</v>
      </c>
      <c r="P150" t="s">
        <v>7</v>
      </c>
    </row>
    <row r="151" spans="1:16">
      <c r="A151" t="s">
        <v>867</v>
      </c>
      <c r="B151" t="s">
        <v>869</v>
      </c>
      <c r="C151">
        <v>0</v>
      </c>
      <c r="E151" t="s">
        <v>902</v>
      </c>
      <c r="F151" t="s">
        <v>891</v>
      </c>
      <c r="G151" t="s">
        <v>869</v>
      </c>
      <c r="H151">
        <v>0.4</v>
      </c>
      <c r="J151">
        <v>107902716</v>
      </c>
      <c r="K151" s="2">
        <v>45595</v>
      </c>
      <c r="L151">
        <v>30</v>
      </c>
      <c r="M151">
        <v>1</v>
      </c>
      <c r="N151">
        <v>0</v>
      </c>
      <c r="O151">
        <v>5</v>
      </c>
    </row>
    <row r="152" spans="1:16">
      <c r="A152" t="s">
        <v>867</v>
      </c>
      <c r="B152" t="s">
        <v>869</v>
      </c>
      <c r="C152">
        <v>0</v>
      </c>
      <c r="E152" t="s">
        <v>902</v>
      </c>
      <c r="F152" t="s">
        <v>931</v>
      </c>
      <c r="G152" t="s">
        <v>869</v>
      </c>
      <c r="H152">
        <v>0.4</v>
      </c>
      <c r="J152">
        <v>105988533</v>
      </c>
      <c r="K152" s="2">
        <v>43722</v>
      </c>
      <c r="L152">
        <v>0</v>
      </c>
      <c r="M152">
        <v>1</v>
      </c>
      <c r="N152">
        <v>0</v>
      </c>
      <c r="O152">
        <v>1</v>
      </c>
    </row>
    <row r="153" spans="1:16">
      <c r="A153" t="s">
        <v>867</v>
      </c>
      <c r="B153" t="s">
        <v>869</v>
      </c>
      <c r="C153">
        <v>8.9999999999999993E-3</v>
      </c>
      <c r="D153" t="s">
        <v>753</v>
      </c>
      <c r="E153" t="s">
        <v>902</v>
      </c>
      <c r="F153" t="s">
        <v>902</v>
      </c>
      <c r="G153" t="s">
        <v>869</v>
      </c>
      <c r="H153">
        <v>0.40899999999999997</v>
      </c>
      <c r="J153">
        <v>107036682</v>
      </c>
      <c r="K153" s="2">
        <v>44760</v>
      </c>
      <c r="L153">
        <v>31</v>
      </c>
      <c r="M153">
        <v>1</v>
      </c>
      <c r="N153">
        <v>0</v>
      </c>
      <c r="O153">
        <v>1</v>
      </c>
      <c r="P153" t="s">
        <v>7</v>
      </c>
    </row>
    <row r="154" spans="1:16">
      <c r="A154" t="s">
        <v>867</v>
      </c>
      <c r="B154" t="s">
        <v>931</v>
      </c>
      <c r="C154">
        <v>0</v>
      </c>
      <c r="E154" t="s">
        <v>869</v>
      </c>
      <c r="F154" t="s">
        <v>931</v>
      </c>
      <c r="G154" t="s">
        <v>869</v>
      </c>
      <c r="H154">
        <v>0.47</v>
      </c>
      <c r="J154">
        <v>107036687</v>
      </c>
      <c r="K154" s="2">
        <v>44694</v>
      </c>
      <c r="L154">
        <v>21</v>
      </c>
      <c r="M154">
        <v>1</v>
      </c>
      <c r="N154">
        <v>0</v>
      </c>
      <c r="O154">
        <v>1</v>
      </c>
      <c r="P154" t="s">
        <v>7</v>
      </c>
    </row>
    <row r="155" spans="1:16">
      <c r="A155" t="s">
        <v>867</v>
      </c>
      <c r="B155" t="s">
        <v>931</v>
      </c>
      <c r="C155">
        <v>0</v>
      </c>
      <c r="E155" t="s">
        <v>869</v>
      </c>
      <c r="F155" t="s">
        <v>932</v>
      </c>
      <c r="G155" t="s">
        <v>869</v>
      </c>
      <c r="H155">
        <v>0.47</v>
      </c>
      <c r="J155">
        <v>106209839</v>
      </c>
      <c r="K155" s="2">
        <v>43942</v>
      </c>
      <c r="L155">
        <v>21</v>
      </c>
      <c r="M155">
        <v>1</v>
      </c>
      <c r="N155">
        <v>0</v>
      </c>
      <c r="O155">
        <v>1</v>
      </c>
      <c r="P155" t="s">
        <v>3</v>
      </c>
    </row>
    <row r="156" spans="1:16">
      <c r="A156" t="s">
        <v>867</v>
      </c>
      <c r="B156" t="s">
        <v>869</v>
      </c>
      <c r="C156">
        <v>0</v>
      </c>
      <c r="E156" t="s">
        <v>931</v>
      </c>
      <c r="F156" t="s">
        <v>891</v>
      </c>
      <c r="G156" t="s">
        <v>869</v>
      </c>
      <c r="H156">
        <v>0.47</v>
      </c>
      <c r="J156">
        <v>108009651</v>
      </c>
      <c r="K156" s="2">
        <v>45692</v>
      </c>
      <c r="L156">
        <v>30</v>
      </c>
      <c r="M156">
        <v>1</v>
      </c>
      <c r="N156">
        <v>0</v>
      </c>
      <c r="O156">
        <v>1</v>
      </c>
      <c r="P156" t="s">
        <v>7</v>
      </c>
    </row>
    <row r="157" spans="1:16">
      <c r="A157" t="s">
        <v>867</v>
      </c>
      <c r="B157" t="s">
        <v>869</v>
      </c>
      <c r="C157">
        <v>0</v>
      </c>
      <c r="E157" t="s">
        <v>931</v>
      </c>
      <c r="F157" t="s">
        <v>931</v>
      </c>
      <c r="G157" t="s">
        <v>869</v>
      </c>
      <c r="H157">
        <v>0.47</v>
      </c>
      <c r="J157">
        <v>106974955</v>
      </c>
      <c r="K157" s="2">
        <v>44628</v>
      </c>
      <c r="L157">
        <v>13</v>
      </c>
      <c r="M157">
        <v>1</v>
      </c>
      <c r="N157">
        <v>0</v>
      </c>
      <c r="O157">
        <v>1</v>
      </c>
      <c r="P157" t="s">
        <v>7</v>
      </c>
    </row>
    <row r="158" spans="1:16">
      <c r="A158" t="s">
        <v>867</v>
      </c>
      <c r="B158" t="s">
        <v>869</v>
      </c>
      <c r="C158">
        <v>0</v>
      </c>
      <c r="E158" t="s">
        <v>931</v>
      </c>
      <c r="F158" t="s">
        <v>870</v>
      </c>
      <c r="G158" t="s">
        <v>869</v>
      </c>
      <c r="H158">
        <v>0.47</v>
      </c>
      <c r="J158">
        <v>105656255</v>
      </c>
      <c r="K158" s="2">
        <v>43379</v>
      </c>
      <c r="L158">
        <v>30</v>
      </c>
      <c r="M158">
        <v>1</v>
      </c>
      <c r="N158">
        <v>0</v>
      </c>
      <c r="O158">
        <v>1</v>
      </c>
      <c r="P158" t="s">
        <v>7</v>
      </c>
    </row>
    <row r="159" spans="1:16">
      <c r="A159" t="s">
        <v>867</v>
      </c>
      <c r="B159" t="s">
        <v>869</v>
      </c>
      <c r="C159">
        <v>0</v>
      </c>
      <c r="E159" t="s">
        <v>870</v>
      </c>
      <c r="F159" t="s">
        <v>931</v>
      </c>
      <c r="G159" t="s">
        <v>869</v>
      </c>
      <c r="H159">
        <v>0.62</v>
      </c>
      <c r="J159">
        <v>105618961</v>
      </c>
      <c r="K159" s="2">
        <v>43337</v>
      </c>
      <c r="L159">
        <v>1</v>
      </c>
      <c r="M159">
        <v>1</v>
      </c>
      <c r="N159">
        <v>0</v>
      </c>
      <c r="O159">
        <v>4</v>
      </c>
      <c r="P159" t="s">
        <v>3</v>
      </c>
    </row>
    <row r="160" spans="1:16">
      <c r="A160" t="s">
        <v>867</v>
      </c>
      <c r="B160" t="s">
        <v>869</v>
      </c>
      <c r="C160">
        <v>0</v>
      </c>
      <c r="E160" t="s">
        <v>870</v>
      </c>
      <c r="F160" t="s">
        <v>870</v>
      </c>
      <c r="G160" t="s">
        <v>869</v>
      </c>
      <c r="H160">
        <v>0.62</v>
      </c>
      <c r="J160">
        <v>105494799</v>
      </c>
      <c r="K160" s="2">
        <v>43241</v>
      </c>
      <c r="L160">
        <v>19</v>
      </c>
      <c r="M160">
        <v>1</v>
      </c>
      <c r="N160">
        <v>0</v>
      </c>
      <c r="O160">
        <v>1</v>
      </c>
      <c r="P160" t="s">
        <v>7</v>
      </c>
    </row>
    <row r="161" spans="1:19">
      <c r="A161" t="s">
        <v>867</v>
      </c>
      <c r="B161" t="s">
        <v>930</v>
      </c>
      <c r="C161">
        <v>0</v>
      </c>
      <c r="E161" t="s">
        <v>869</v>
      </c>
      <c r="F161" t="s">
        <v>881</v>
      </c>
      <c r="G161" t="s">
        <v>869</v>
      </c>
      <c r="H161">
        <v>999.99900000000002</v>
      </c>
      <c r="J161">
        <v>106579086</v>
      </c>
      <c r="K161" s="2">
        <v>44318</v>
      </c>
      <c r="L161">
        <v>30</v>
      </c>
      <c r="M161">
        <v>1</v>
      </c>
      <c r="N161">
        <v>0</v>
      </c>
      <c r="O161">
        <v>1</v>
      </c>
      <c r="P161" t="s">
        <v>7</v>
      </c>
    </row>
    <row r="162" spans="1:19">
      <c r="A162" t="s">
        <v>867</v>
      </c>
      <c r="B162" t="s">
        <v>930</v>
      </c>
      <c r="C162">
        <v>0</v>
      </c>
      <c r="E162" t="s">
        <v>869</v>
      </c>
      <c r="F162" t="s">
        <v>869</v>
      </c>
      <c r="G162" t="s">
        <v>869</v>
      </c>
      <c r="H162">
        <v>999.99900000000002</v>
      </c>
      <c r="J162">
        <v>106147279</v>
      </c>
      <c r="K162" s="2">
        <v>43867</v>
      </c>
      <c r="L162">
        <v>30</v>
      </c>
      <c r="M162">
        <v>2</v>
      </c>
      <c r="N162">
        <v>0</v>
      </c>
      <c r="O162">
        <v>1</v>
      </c>
      <c r="P162" t="s">
        <v>7</v>
      </c>
    </row>
    <row r="163" spans="1:19">
      <c r="A163" t="s">
        <v>867</v>
      </c>
      <c r="B163" t="s">
        <v>930</v>
      </c>
      <c r="C163">
        <v>0</v>
      </c>
      <c r="E163" t="s">
        <v>869</v>
      </c>
      <c r="F163" t="s">
        <v>930</v>
      </c>
      <c r="G163" t="s">
        <v>869</v>
      </c>
      <c r="H163">
        <v>999.99900000000002</v>
      </c>
      <c r="J163">
        <v>105663384</v>
      </c>
      <c r="K163" s="2">
        <v>43410</v>
      </c>
      <c r="L163">
        <v>1</v>
      </c>
      <c r="M163">
        <v>2</v>
      </c>
      <c r="N163">
        <v>0</v>
      </c>
      <c r="O163">
        <v>1</v>
      </c>
      <c r="P163" t="s">
        <v>7</v>
      </c>
    </row>
    <row r="164" spans="1:19">
      <c r="A164" t="s">
        <v>867</v>
      </c>
      <c r="B164" t="s">
        <v>930</v>
      </c>
      <c r="C164">
        <v>0</v>
      </c>
      <c r="E164" t="s">
        <v>869</v>
      </c>
      <c r="F164" t="s">
        <v>933</v>
      </c>
      <c r="G164" t="s">
        <v>869</v>
      </c>
      <c r="H164">
        <v>999.99900000000002</v>
      </c>
      <c r="J164">
        <v>108090115</v>
      </c>
      <c r="K164" s="2">
        <v>45766</v>
      </c>
      <c r="L164">
        <v>30</v>
      </c>
      <c r="M164">
        <v>1</v>
      </c>
      <c r="N164">
        <v>7</v>
      </c>
      <c r="O164">
        <v>4</v>
      </c>
      <c r="P164" t="s">
        <v>8</v>
      </c>
      <c r="Q164">
        <v>36.299999999999997</v>
      </c>
      <c r="R164">
        <v>-78.59</v>
      </c>
      <c r="S164" t="s">
        <v>752</v>
      </c>
    </row>
    <row r="165" spans="1:19">
      <c r="A165" t="s">
        <v>867</v>
      </c>
      <c r="B165" t="s">
        <v>934</v>
      </c>
      <c r="C165">
        <v>0</v>
      </c>
      <c r="E165" t="s">
        <v>934</v>
      </c>
      <c r="F165" t="s">
        <v>934</v>
      </c>
      <c r="G165" t="s">
        <v>869</v>
      </c>
      <c r="H165">
        <v>999.99900000000002</v>
      </c>
      <c r="J165">
        <v>108526964</v>
      </c>
      <c r="K165" s="2">
        <v>46185</v>
      </c>
      <c r="L165">
        <v>31</v>
      </c>
      <c r="M165">
        <v>1</v>
      </c>
      <c r="N165">
        <v>0</v>
      </c>
      <c r="O165">
        <v>1</v>
      </c>
    </row>
    <row r="166" spans="1:19">
      <c r="A166" t="s">
        <v>867</v>
      </c>
      <c r="B166" t="s">
        <v>935</v>
      </c>
      <c r="C166">
        <v>4.0000000000000001E-3</v>
      </c>
      <c r="D166" t="s">
        <v>754</v>
      </c>
      <c r="E166" t="s">
        <v>869</v>
      </c>
      <c r="F166" t="s">
        <v>762</v>
      </c>
      <c r="G166" t="s">
        <v>869</v>
      </c>
      <c r="H166">
        <v>999.99900000000002</v>
      </c>
      <c r="J166">
        <v>106036274</v>
      </c>
      <c r="K166" s="2">
        <v>43761</v>
      </c>
      <c r="L166">
        <v>20</v>
      </c>
      <c r="M166">
        <v>1</v>
      </c>
      <c r="N166">
        <v>4</v>
      </c>
      <c r="O166">
        <v>1</v>
      </c>
      <c r="P166" t="s">
        <v>7</v>
      </c>
    </row>
    <row r="167" spans="1:19">
      <c r="A167" t="s">
        <v>867</v>
      </c>
      <c r="B167" t="s">
        <v>869</v>
      </c>
      <c r="C167">
        <v>0</v>
      </c>
      <c r="E167" t="s">
        <v>881</v>
      </c>
      <c r="F167" t="s">
        <v>936</v>
      </c>
      <c r="G167" t="s">
        <v>869</v>
      </c>
      <c r="H167">
        <v>999.99900000000002</v>
      </c>
      <c r="J167">
        <v>105375720</v>
      </c>
      <c r="K167" s="2">
        <v>43139</v>
      </c>
      <c r="L167">
        <v>30</v>
      </c>
      <c r="M167">
        <v>1</v>
      </c>
      <c r="N167">
        <v>7</v>
      </c>
      <c r="O167">
        <v>1</v>
      </c>
      <c r="P167" t="s">
        <v>7</v>
      </c>
    </row>
    <row r="168" spans="1:19">
      <c r="A168" t="s">
        <v>867</v>
      </c>
      <c r="B168" t="s">
        <v>869</v>
      </c>
      <c r="C168">
        <v>0</v>
      </c>
      <c r="E168" t="s">
        <v>936</v>
      </c>
      <c r="F168" t="s">
        <v>937</v>
      </c>
      <c r="G168" t="s">
        <v>869</v>
      </c>
      <c r="H168">
        <v>999.99900000000002</v>
      </c>
      <c r="J168">
        <v>107358288</v>
      </c>
      <c r="K168" s="2">
        <v>45070</v>
      </c>
      <c r="L168">
        <v>32</v>
      </c>
      <c r="M168">
        <v>1</v>
      </c>
      <c r="N168">
        <v>0</v>
      </c>
      <c r="O168">
        <v>1</v>
      </c>
      <c r="P168" t="s">
        <v>3</v>
      </c>
    </row>
    <row r="169" spans="1:19">
      <c r="A169" t="s">
        <v>867</v>
      </c>
      <c r="B169" t="s">
        <v>869</v>
      </c>
      <c r="C169">
        <v>0</v>
      </c>
      <c r="E169" t="s">
        <v>936</v>
      </c>
      <c r="F169" t="s">
        <v>930</v>
      </c>
      <c r="G169" t="s">
        <v>869</v>
      </c>
      <c r="H169">
        <v>999.99900000000002</v>
      </c>
      <c r="J169">
        <v>105077632</v>
      </c>
      <c r="K169" s="2">
        <v>42851</v>
      </c>
      <c r="L169">
        <v>24</v>
      </c>
      <c r="M169">
        <v>1</v>
      </c>
      <c r="N169">
        <v>7</v>
      </c>
      <c r="O169">
        <v>1</v>
      </c>
      <c r="P169" t="s">
        <v>3</v>
      </c>
    </row>
    <row r="170" spans="1:19">
      <c r="A170" t="s">
        <v>867</v>
      </c>
      <c r="B170" t="s">
        <v>869</v>
      </c>
      <c r="C170">
        <v>0</v>
      </c>
      <c r="E170" t="s">
        <v>936</v>
      </c>
      <c r="F170" t="s">
        <v>936</v>
      </c>
      <c r="G170" t="s">
        <v>869</v>
      </c>
      <c r="H170">
        <v>999.99900000000002</v>
      </c>
      <c r="J170">
        <v>108211507</v>
      </c>
      <c r="K170" s="2">
        <v>45895</v>
      </c>
      <c r="L170">
        <v>30</v>
      </c>
      <c r="M170">
        <v>1</v>
      </c>
      <c r="N170">
        <v>7</v>
      </c>
      <c r="O170">
        <v>4</v>
      </c>
      <c r="P170" t="s">
        <v>7</v>
      </c>
    </row>
    <row r="171" spans="1:19">
      <c r="A171" t="s">
        <v>867</v>
      </c>
      <c r="B171" t="s">
        <v>869</v>
      </c>
      <c r="C171">
        <v>0</v>
      </c>
      <c r="D171" t="s">
        <v>753</v>
      </c>
      <c r="E171" t="s">
        <v>936</v>
      </c>
      <c r="F171" t="s">
        <v>862</v>
      </c>
      <c r="G171" t="s">
        <v>869</v>
      </c>
      <c r="H171">
        <v>999.99900000000002</v>
      </c>
      <c r="J171">
        <v>106104024</v>
      </c>
      <c r="K171" s="2">
        <v>43629</v>
      </c>
      <c r="L171">
        <v>19</v>
      </c>
      <c r="M171">
        <v>2</v>
      </c>
      <c r="N171">
        <v>0</v>
      </c>
      <c r="O171">
        <v>2</v>
      </c>
      <c r="P171" t="s">
        <v>7</v>
      </c>
    </row>
    <row r="172" spans="1:19">
      <c r="A172" t="s">
        <v>867</v>
      </c>
      <c r="B172" t="s">
        <v>869</v>
      </c>
      <c r="C172">
        <v>0</v>
      </c>
      <c r="E172" t="s">
        <v>924</v>
      </c>
      <c r="F172" t="s">
        <v>926</v>
      </c>
      <c r="G172" t="s">
        <v>869</v>
      </c>
      <c r="H172">
        <v>999.99900000000002</v>
      </c>
      <c r="J172">
        <v>107119312</v>
      </c>
      <c r="K172" s="2">
        <v>44851</v>
      </c>
      <c r="L172">
        <v>21</v>
      </c>
      <c r="M172">
        <v>1</v>
      </c>
      <c r="N172">
        <v>0</v>
      </c>
      <c r="O172">
        <v>1</v>
      </c>
      <c r="P172" t="s">
        <v>7</v>
      </c>
    </row>
    <row r="173" spans="1:19">
      <c r="A173" t="s">
        <v>867</v>
      </c>
      <c r="B173" t="s">
        <v>869</v>
      </c>
      <c r="C173">
        <v>0</v>
      </c>
      <c r="E173" t="s">
        <v>924</v>
      </c>
      <c r="F173" t="s">
        <v>924</v>
      </c>
      <c r="G173" t="s">
        <v>869</v>
      </c>
      <c r="H173">
        <v>999.99900000000002</v>
      </c>
      <c r="J173">
        <v>107047616</v>
      </c>
      <c r="K173" s="2">
        <v>44782</v>
      </c>
      <c r="L173">
        <v>28</v>
      </c>
      <c r="M173">
        <v>1</v>
      </c>
      <c r="N173">
        <v>0</v>
      </c>
      <c r="O173">
        <v>1</v>
      </c>
      <c r="P173" t="s">
        <v>7</v>
      </c>
    </row>
    <row r="174" spans="1:19">
      <c r="A174" t="s">
        <v>867</v>
      </c>
      <c r="B174" t="s">
        <v>869</v>
      </c>
      <c r="C174">
        <v>0</v>
      </c>
      <c r="E174" t="s">
        <v>924</v>
      </c>
      <c r="F174" t="s">
        <v>762</v>
      </c>
      <c r="G174" t="s">
        <v>869</v>
      </c>
      <c r="H174">
        <v>999.99900000000002</v>
      </c>
      <c r="J174">
        <v>106955408</v>
      </c>
      <c r="K174" s="2">
        <v>44683</v>
      </c>
      <c r="L174">
        <v>13</v>
      </c>
      <c r="M174">
        <v>1</v>
      </c>
      <c r="N174">
        <v>0</v>
      </c>
      <c r="O174">
        <v>1</v>
      </c>
      <c r="P174" t="s">
        <v>10</v>
      </c>
      <c r="Q174">
        <v>36.309199</v>
      </c>
      <c r="R174">
        <v>-78.590108999999998</v>
      </c>
      <c r="S174" t="s">
        <v>756</v>
      </c>
    </row>
    <row r="175" spans="1:19">
      <c r="A175" t="s">
        <v>867</v>
      </c>
      <c r="B175" t="s">
        <v>869</v>
      </c>
      <c r="C175">
        <v>0</v>
      </c>
      <c r="E175" t="s">
        <v>924</v>
      </c>
      <c r="F175" t="s">
        <v>887</v>
      </c>
      <c r="G175" t="s">
        <v>869</v>
      </c>
      <c r="H175">
        <v>999.99900000000002</v>
      </c>
      <c r="J175">
        <v>105801662</v>
      </c>
      <c r="K175" s="2">
        <v>43537</v>
      </c>
      <c r="L175">
        <v>31</v>
      </c>
      <c r="M175">
        <v>1</v>
      </c>
      <c r="N175">
        <v>0</v>
      </c>
      <c r="O175">
        <v>1</v>
      </c>
      <c r="P175" t="s">
        <v>7</v>
      </c>
    </row>
    <row r="176" spans="1:19">
      <c r="A176" t="s">
        <v>867</v>
      </c>
      <c r="B176" t="s">
        <v>869</v>
      </c>
      <c r="C176">
        <v>0</v>
      </c>
      <c r="E176" t="s">
        <v>924</v>
      </c>
      <c r="F176" t="s">
        <v>869</v>
      </c>
      <c r="G176" t="s">
        <v>869</v>
      </c>
      <c r="H176">
        <v>999.99900000000002</v>
      </c>
      <c r="J176">
        <v>107874844</v>
      </c>
      <c r="K176" s="2">
        <v>45572</v>
      </c>
      <c r="L176">
        <v>28</v>
      </c>
      <c r="M176">
        <v>1</v>
      </c>
      <c r="N176">
        <v>7</v>
      </c>
      <c r="O176">
        <v>1</v>
      </c>
      <c r="P176" t="s">
        <v>7</v>
      </c>
    </row>
    <row r="177" spans="1:19">
      <c r="A177" t="s">
        <v>867</v>
      </c>
      <c r="B177" t="s">
        <v>869</v>
      </c>
      <c r="C177">
        <v>0</v>
      </c>
      <c r="E177" t="s">
        <v>930</v>
      </c>
      <c r="F177" t="s">
        <v>926</v>
      </c>
      <c r="G177" t="s">
        <v>869</v>
      </c>
      <c r="H177">
        <v>999.99900000000002</v>
      </c>
      <c r="J177">
        <v>108030889</v>
      </c>
      <c r="K177" s="2">
        <v>45691</v>
      </c>
      <c r="L177">
        <v>13</v>
      </c>
      <c r="M177">
        <v>1</v>
      </c>
      <c r="N177">
        <v>0</v>
      </c>
      <c r="O177">
        <v>4</v>
      </c>
      <c r="P177" t="s">
        <v>7</v>
      </c>
    </row>
    <row r="178" spans="1:19">
      <c r="A178" t="s">
        <v>867</v>
      </c>
      <c r="B178" t="s">
        <v>869</v>
      </c>
      <c r="C178">
        <v>0</v>
      </c>
      <c r="E178" t="s">
        <v>930</v>
      </c>
      <c r="G178" t="s">
        <v>869</v>
      </c>
      <c r="H178">
        <v>999.99900000000002</v>
      </c>
      <c r="J178">
        <v>107195886</v>
      </c>
      <c r="K178" s="2">
        <v>44848</v>
      </c>
      <c r="L178">
        <v>28</v>
      </c>
      <c r="M178">
        <v>1</v>
      </c>
      <c r="N178">
        <v>0</v>
      </c>
      <c r="O178">
        <v>1</v>
      </c>
      <c r="P178" t="s">
        <v>7</v>
      </c>
    </row>
    <row r="179" spans="1:19">
      <c r="A179" t="s">
        <v>867</v>
      </c>
      <c r="B179" t="s">
        <v>869</v>
      </c>
      <c r="C179">
        <v>0</v>
      </c>
      <c r="E179" t="s">
        <v>930</v>
      </c>
      <c r="F179" t="s">
        <v>930</v>
      </c>
      <c r="G179" t="s">
        <v>869</v>
      </c>
      <c r="H179">
        <v>999.99900000000002</v>
      </c>
      <c r="J179">
        <v>105297726</v>
      </c>
      <c r="K179" s="2">
        <v>43063</v>
      </c>
      <c r="L179">
        <v>30</v>
      </c>
      <c r="M179">
        <v>1</v>
      </c>
      <c r="N179">
        <v>0</v>
      </c>
      <c r="O179">
        <v>1</v>
      </c>
      <c r="P179" t="s">
        <v>10</v>
      </c>
      <c r="Q179">
        <v>36.308058000000003</v>
      </c>
      <c r="R179">
        <v>-78.592676999999995</v>
      </c>
      <c r="S179" t="s">
        <v>756</v>
      </c>
    </row>
    <row r="180" spans="1:19">
      <c r="A180" t="s">
        <v>867</v>
      </c>
      <c r="B180" t="s">
        <v>869</v>
      </c>
      <c r="C180">
        <v>0</v>
      </c>
      <c r="E180" t="s">
        <v>914</v>
      </c>
      <c r="F180" t="s">
        <v>869</v>
      </c>
      <c r="G180" t="s">
        <v>869</v>
      </c>
      <c r="H180">
        <v>999.99900000000002</v>
      </c>
      <c r="J180">
        <v>107105886</v>
      </c>
      <c r="K180" s="2">
        <v>44835</v>
      </c>
      <c r="L180">
        <v>3</v>
      </c>
      <c r="M180">
        <v>2</v>
      </c>
      <c r="N180">
        <v>0</v>
      </c>
      <c r="O180">
        <v>6</v>
      </c>
    </row>
    <row r="181" spans="1:19">
      <c r="A181" t="s">
        <v>867</v>
      </c>
      <c r="B181" t="s">
        <v>869</v>
      </c>
      <c r="C181">
        <v>0</v>
      </c>
      <c r="E181" t="s">
        <v>869</v>
      </c>
      <c r="F181" t="s">
        <v>924</v>
      </c>
      <c r="G181" t="s">
        <v>869</v>
      </c>
      <c r="H181">
        <v>999.99900000000002</v>
      </c>
      <c r="J181">
        <v>108080999</v>
      </c>
      <c r="K181" s="2">
        <v>45763</v>
      </c>
      <c r="L181">
        <v>31</v>
      </c>
      <c r="M181">
        <v>1</v>
      </c>
      <c r="N181">
        <v>13</v>
      </c>
      <c r="O181">
        <v>1</v>
      </c>
      <c r="P181" t="s">
        <v>7</v>
      </c>
    </row>
    <row r="182" spans="1:19">
      <c r="A182" t="s">
        <v>867</v>
      </c>
      <c r="B182" t="s">
        <v>869</v>
      </c>
      <c r="C182">
        <v>0</v>
      </c>
      <c r="E182" t="s">
        <v>869</v>
      </c>
      <c r="F182" t="s">
        <v>930</v>
      </c>
      <c r="G182" t="s">
        <v>869</v>
      </c>
      <c r="H182">
        <v>999.99900000000002</v>
      </c>
      <c r="J182">
        <v>105202508</v>
      </c>
      <c r="K182" s="2">
        <v>42965</v>
      </c>
      <c r="L182">
        <v>21</v>
      </c>
      <c r="M182">
        <v>1</v>
      </c>
      <c r="N182">
        <v>0</v>
      </c>
      <c r="O182">
        <v>1</v>
      </c>
      <c r="P182" t="s">
        <v>3</v>
      </c>
    </row>
    <row r="183" spans="1:19">
      <c r="A183" t="s">
        <v>867</v>
      </c>
      <c r="B183" t="s">
        <v>869</v>
      </c>
      <c r="C183">
        <v>0</v>
      </c>
      <c r="E183" t="s">
        <v>891</v>
      </c>
      <c r="F183" t="s">
        <v>869</v>
      </c>
      <c r="G183" t="s">
        <v>869</v>
      </c>
      <c r="H183">
        <v>999.99900000000002</v>
      </c>
      <c r="J183">
        <v>106899128</v>
      </c>
      <c r="K183" s="2">
        <v>44578</v>
      </c>
      <c r="L183">
        <v>20</v>
      </c>
      <c r="M183">
        <v>1</v>
      </c>
      <c r="N183">
        <v>0</v>
      </c>
      <c r="O183">
        <v>1</v>
      </c>
    </row>
    <row r="184" spans="1:19">
      <c r="A184" t="s">
        <v>751</v>
      </c>
      <c r="B184" t="s">
        <v>938</v>
      </c>
      <c r="C184">
        <v>0</v>
      </c>
      <c r="E184" t="s">
        <v>762</v>
      </c>
      <c r="F184" t="s">
        <v>939</v>
      </c>
      <c r="G184" t="s">
        <v>938</v>
      </c>
      <c r="H184">
        <v>6.6040000000000001</v>
      </c>
      <c r="J184">
        <v>105147018</v>
      </c>
      <c r="K184" s="2">
        <v>42915</v>
      </c>
      <c r="L184">
        <v>19</v>
      </c>
      <c r="M184">
        <v>1</v>
      </c>
      <c r="N184">
        <v>8</v>
      </c>
      <c r="O184">
        <v>1</v>
      </c>
      <c r="P184" t="s">
        <v>7</v>
      </c>
    </row>
    <row r="185" spans="1:19">
      <c r="A185" t="s">
        <v>867</v>
      </c>
      <c r="B185" t="s">
        <v>881</v>
      </c>
      <c r="C185">
        <v>0</v>
      </c>
      <c r="E185" t="s">
        <v>869</v>
      </c>
      <c r="F185" t="s">
        <v>862</v>
      </c>
      <c r="G185" t="s">
        <v>938</v>
      </c>
      <c r="H185">
        <v>17.824000000000002</v>
      </c>
      <c r="J185">
        <v>107157374</v>
      </c>
      <c r="K185" s="2">
        <v>44888</v>
      </c>
      <c r="L185">
        <v>30</v>
      </c>
      <c r="M185">
        <v>1</v>
      </c>
      <c r="N185">
        <v>8</v>
      </c>
      <c r="O185">
        <v>1</v>
      </c>
      <c r="P185" t="s">
        <v>7</v>
      </c>
    </row>
    <row r="186" spans="1:19">
      <c r="A186" t="s">
        <v>867</v>
      </c>
      <c r="B186" t="s">
        <v>881</v>
      </c>
      <c r="C186">
        <v>0</v>
      </c>
      <c r="E186" t="s">
        <v>869</v>
      </c>
      <c r="F186" t="s">
        <v>862</v>
      </c>
      <c r="G186" t="s">
        <v>938</v>
      </c>
      <c r="H186">
        <v>17.824000000000002</v>
      </c>
      <c r="J186">
        <v>107611249</v>
      </c>
      <c r="K186" s="2">
        <v>45317</v>
      </c>
      <c r="L186">
        <v>21</v>
      </c>
      <c r="M186">
        <v>2</v>
      </c>
      <c r="N186">
        <v>0</v>
      </c>
      <c r="O186">
        <v>4</v>
      </c>
      <c r="P186" t="s">
        <v>7</v>
      </c>
    </row>
    <row r="187" spans="1:19">
      <c r="A187" t="s">
        <v>867</v>
      </c>
      <c r="B187" t="s">
        <v>881</v>
      </c>
      <c r="C187">
        <v>4.0000000000000001E-3</v>
      </c>
      <c r="D187" t="s">
        <v>753</v>
      </c>
      <c r="E187" t="s">
        <v>869</v>
      </c>
      <c r="F187" t="s">
        <v>936</v>
      </c>
      <c r="G187" t="s">
        <v>938</v>
      </c>
      <c r="H187">
        <v>17.827999999999999</v>
      </c>
      <c r="J187">
        <v>105070792</v>
      </c>
      <c r="K187" s="2">
        <v>42835</v>
      </c>
      <c r="L187">
        <v>1</v>
      </c>
      <c r="M187">
        <v>1</v>
      </c>
      <c r="N187">
        <v>0</v>
      </c>
      <c r="O187">
        <v>4</v>
      </c>
      <c r="P187" t="s">
        <v>7</v>
      </c>
    </row>
    <row r="188" spans="1:19">
      <c r="A188" t="s">
        <v>867</v>
      </c>
      <c r="B188" t="s">
        <v>762</v>
      </c>
      <c r="C188">
        <v>0</v>
      </c>
      <c r="E188" t="s">
        <v>762</v>
      </c>
      <c r="F188" t="s">
        <v>887</v>
      </c>
      <c r="G188" t="s">
        <v>940</v>
      </c>
      <c r="H188">
        <v>5.0730000000000004</v>
      </c>
      <c r="J188">
        <v>108030890</v>
      </c>
      <c r="K188" s="2">
        <v>45706</v>
      </c>
      <c r="L188">
        <v>19</v>
      </c>
      <c r="M188">
        <v>1</v>
      </c>
      <c r="N188">
        <v>0</v>
      </c>
      <c r="O188">
        <v>1</v>
      </c>
      <c r="P188" t="s">
        <v>7</v>
      </c>
    </row>
    <row r="189" spans="1:19">
      <c r="A189" t="s">
        <v>867</v>
      </c>
      <c r="B189" t="s">
        <v>762</v>
      </c>
      <c r="C189">
        <v>0</v>
      </c>
      <c r="E189" t="s">
        <v>762</v>
      </c>
      <c r="F189" t="s">
        <v>869</v>
      </c>
      <c r="G189" t="s">
        <v>940</v>
      </c>
      <c r="H189">
        <v>5.0730000000000004</v>
      </c>
      <c r="J189">
        <v>105088904</v>
      </c>
      <c r="K189" s="2">
        <v>42861</v>
      </c>
      <c r="L189">
        <v>30</v>
      </c>
      <c r="M189">
        <v>1</v>
      </c>
      <c r="N189">
        <v>7</v>
      </c>
      <c r="O189">
        <v>1</v>
      </c>
      <c r="P189" t="s">
        <v>7</v>
      </c>
    </row>
    <row r="190" spans="1:19">
      <c r="A190" t="s">
        <v>867</v>
      </c>
      <c r="B190" t="s">
        <v>762</v>
      </c>
      <c r="C190">
        <v>0</v>
      </c>
      <c r="E190" t="s">
        <v>762</v>
      </c>
      <c r="F190" t="s">
        <v>891</v>
      </c>
      <c r="G190" t="s">
        <v>940</v>
      </c>
      <c r="H190">
        <v>5.0730000000000004</v>
      </c>
      <c r="J190">
        <v>105135600</v>
      </c>
      <c r="K190" s="2">
        <v>42898</v>
      </c>
      <c r="L190">
        <v>22</v>
      </c>
      <c r="M190">
        <v>1</v>
      </c>
      <c r="N190">
        <v>0</v>
      </c>
      <c r="O190">
        <v>1</v>
      </c>
      <c r="P190" t="s">
        <v>7</v>
      </c>
    </row>
    <row r="191" spans="1:19">
      <c r="A191" t="s">
        <v>850</v>
      </c>
      <c r="B191" t="s">
        <v>762</v>
      </c>
      <c r="C191">
        <v>0</v>
      </c>
      <c r="E191" t="s">
        <v>762</v>
      </c>
      <c r="F191" t="s">
        <v>854</v>
      </c>
      <c r="G191" t="s">
        <v>940</v>
      </c>
      <c r="H191">
        <v>5.0730000000000004</v>
      </c>
      <c r="J191">
        <v>108492798</v>
      </c>
      <c r="K191" s="2">
        <v>46148</v>
      </c>
      <c r="L191">
        <v>28</v>
      </c>
      <c r="M191">
        <v>1</v>
      </c>
      <c r="N191">
        <v>0</v>
      </c>
      <c r="O191">
        <v>1</v>
      </c>
      <c r="P191" t="s">
        <v>7</v>
      </c>
    </row>
    <row r="192" spans="1:19">
      <c r="A192" t="s">
        <v>850</v>
      </c>
      <c r="B192" t="s">
        <v>872</v>
      </c>
      <c r="C192">
        <v>0</v>
      </c>
      <c r="E192" t="s">
        <v>872</v>
      </c>
      <c r="G192" t="s">
        <v>940</v>
      </c>
      <c r="H192">
        <v>5.0730000000000004</v>
      </c>
      <c r="J192">
        <v>105116773</v>
      </c>
      <c r="K192" s="2">
        <v>42804</v>
      </c>
      <c r="L192">
        <v>31</v>
      </c>
      <c r="M192">
        <v>1</v>
      </c>
      <c r="N192">
        <v>0</v>
      </c>
      <c r="O192">
        <v>1</v>
      </c>
      <c r="P192" t="s">
        <v>7</v>
      </c>
    </row>
    <row r="193" spans="1:16">
      <c r="A193" t="s">
        <v>850</v>
      </c>
      <c r="B193" t="s">
        <v>917</v>
      </c>
      <c r="C193">
        <v>0</v>
      </c>
      <c r="E193" t="s">
        <v>762</v>
      </c>
      <c r="F193" t="s">
        <v>865</v>
      </c>
      <c r="G193" t="s">
        <v>940</v>
      </c>
      <c r="H193">
        <v>5.0730000000000004</v>
      </c>
      <c r="J193">
        <v>107265353</v>
      </c>
      <c r="K193" s="2">
        <v>44984</v>
      </c>
      <c r="L193">
        <v>30</v>
      </c>
      <c r="M193">
        <v>1</v>
      </c>
      <c r="N193">
        <v>0</v>
      </c>
      <c r="O193">
        <v>1</v>
      </c>
      <c r="P193" t="s">
        <v>7</v>
      </c>
    </row>
    <row r="194" spans="1:16">
      <c r="A194" t="s">
        <v>850</v>
      </c>
      <c r="B194" t="s">
        <v>917</v>
      </c>
      <c r="C194">
        <v>0</v>
      </c>
      <c r="E194" t="s">
        <v>762</v>
      </c>
      <c r="F194" t="s">
        <v>860</v>
      </c>
      <c r="G194" t="s">
        <v>940</v>
      </c>
      <c r="H194">
        <v>5.0730000000000004</v>
      </c>
      <c r="J194">
        <v>105662698</v>
      </c>
      <c r="K194" s="2">
        <v>43405</v>
      </c>
      <c r="L194">
        <v>21</v>
      </c>
      <c r="M194">
        <v>1</v>
      </c>
      <c r="N194">
        <v>0</v>
      </c>
      <c r="O194">
        <v>4</v>
      </c>
      <c r="P194" t="s">
        <v>7</v>
      </c>
    </row>
    <row r="195" spans="1:16">
      <c r="A195" t="s">
        <v>850</v>
      </c>
      <c r="B195" t="s">
        <v>762</v>
      </c>
      <c r="C195">
        <v>0.01</v>
      </c>
      <c r="D195" t="s">
        <v>754</v>
      </c>
      <c r="E195" t="s">
        <v>762</v>
      </c>
      <c r="F195" t="s">
        <v>941</v>
      </c>
      <c r="G195" t="s">
        <v>940</v>
      </c>
      <c r="H195">
        <v>5.0830000000000002</v>
      </c>
      <c r="J195">
        <v>107809369</v>
      </c>
      <c r="K195" s="2">
        <v>45300</v>
      </c>
      <c r="L195">
        <v>21</v>
      </c>
      <c r="M195">
        <v>2</v>
      </c>
      <c r="O195">
        <v>1</v>
      </c>
      <c r="P195" t="s">
        <v>7</v>
      </c>
    </row>
    <row r="196" spans="1:16">
      <c r="A196" t="s">
        <v>867</v>
      </c>
      <c r="B196" t="s">
        <v>942</v>
      </c>
      <c r="C196">
        <v>0</v>
      </c>
      <c r="E196" t="s">
        <v>943</v>
      </c>
      <c r="F196" t="s">
        <v>944</v>
      </c>
      <c r="G196" t="s">
        <v>942</v>
      </c>
      <c r="H196">
        <v>999.99900000000002</v>
      </c>
      <c r="J196">
        <v>106009333</v>
      </c>
      <c r="K196" s="2">
        <v>43732</v>
      </c>
      <c r="L196">
        <v>19</v>
      </c>
      <c r="M196">
        <v>1</v>
      </c>
      <c r="N196">
        <v>8</v>
      </c>
      <c r="O196">
        <v>4</v>
      </c>
      <c r="P196" t="s">
        <v>3</v>
      </c>
    </row>
    <row r="197" spans="1:16">
      <c r="A197" t="s">
        <v>751</v>
      </c>
      <c r="B197" t="s">
        <v>945</v>
      </c>
      <c r="C197">
        <v>0</v>
      </c>
      <c r="E197" t="s">
        <v>897</v>
      </c>
      <c r="F197" t="s">
        <v>883</v>
      </c>
      <c r="G197" t="s">
        <v>945</v>
      </c>
      <c r="H197">
        <v>999.99900000000002</v>
      </c>
      <c r="J197">
        <v>106369050</v>
      </c>
      <c r="K197" s="2">
        <v>44118</v>
      </c>
      <c r="L197">
        <v>30</v>
      </c>
      <c r="M197">
        <v>1</v>
      </c>
      <c r="N197">
        <v>7</v>
      </c>
      <c r="O197">
        <v>1</v>
      </c>
      <c r="P197" t="s">
        <v>7</v>
      </c>
    </row>
    <row r="198" spans="1:16">
      <c r="A198" t="s">
        <v>751</v>
      </c>
      <c r="B198" t="s">
        <v>945</v>
      </c>
      <c r="C198">
        <v>0</v>
      </c>
      <c r="E198" t="s">
        <v>897</v>
      </c>
      <c r="F198" t="s">
        <v>883</v>
      </c>
      <c r="G198" t="s">
        <v>945</v>
      </c>
      <c r="H198">
        <v>999.99900000000002</v>
      </c>
      <c r="J198">
        <v>106320590</v>
      </c>
      <c r="K198" s="2">
        <v>44068</v>
      </c>
      <c r="L198">
        <v>23</v>
      </c>
      <c r="M198">
        <v>1</v>
      </c>
      <c r="N198">
        <v>7</v>
      </c>
      <c r="O198">
        <v>1</v>
      </c>
      <c r="P198" t="s">
        <v>7</v>
      </c>
    </row>
    <row r="199" spans="1:16">
      <c r="A199" t="s">
        <v>751</v>
      </c>
      <c r="B199" t="s">
        <v>945</v>
      </c>
      <c r="C199">
        <v>0</v>
      </c>
      <c r="E199" t="s">
        <v>897</v>
      </c>
      <c r="F199" t="s">
        <v>883</v>
      </c>
      <c r="G199" t="s">
        <v>945</v>
      </c>
      <c r="H199">
        <v>999.99900000000002</v>
      </c>
      <c r="J199">
        <v>106311206</v>
      </c>
      <c r="K199" s="2">
        <v>44061</v>
      </c>
      <c r="L199">
        <v>30</v>
      </c>
      <c r="M199">
        <v>1</v>
      </c>
      <c r="N199">
        <v>7</v>
      </c>
      <c r="O199">
        <v>1</v>
      </c>
      <c r="P199" t="s">
        <v>7</v>
      </c>
    </row>
    <row r="200" spans="1:16">
      <c r="A200" t="s">
        <v>751</v>
      </c>
      <c r="B200" t="s">
        <v>901</v>
      </c>
      <c r="C200">
        <v>4.0000000000000001E-3</v>
      </c>
      <c r="D200" t="s">
        <v>755</v>
      </c>
      <c r="E200" t="s">
        <v>897</v>
      </c>
      <c r="F200" t="s">
        <v>946</v>
      </c>
      <c r="G200" t="s">
        <v>901</v>
      </c>
      <c r="H200">
        <v>10.074</v>
      </c>
      <c r="J200">
        <v>106909550</v>
      </c>
      <c r="K200" s="2">
        <v>44652</v>
      </c>
      <c r="L200">
        <v>24</v>
      </c>
      <c r="M200">
        <v>1</v>
      </c>
      <c r="N200">
        <v>8</v>
      </c>
      <c r="O200">
        <v>1</v>
      </c>
      <c r="P200" t="s">
        <v>7</v>
      </c>
    </row>
    <row r="201" spans="1:16">
      <c r="A201" t="s">
        <v>867</v>
      </c>
      <c r="B201" t="s">
        <v>888</v>
      </c>
      <c r="C201">
        <v>0</v>
      </c>
      <c r="D201" t="s">
        <v>755</v>
      </c>
      <c r="E201" t="s">
        <v>947</v>
      </c>
      <c r="F201" t="s">
        <v>892</v>
      </c>
      <c r="G201" t="s">
        <v>901</v>
      </c>
      <c r="H201">
        <v>10.077999999999999</v>
      </c>
      <c r="J201">
        <v>105319066</v>
      </c>
      <c r="K201" s="2">
        <v>43082</v>
      </c>
      <c r="L201">
        <v>17</v>
      </c>
      <c r="M201">
        <v>1</v>
      </c>
      <c r="N201">
        <v>0</v>
      </c>
      <c r="O201">
        <v>4</v>
      </c>
      <c r="P201" t="s">
        <v>7</v>
      </c>
    </row>
    <row r="202" spans="1:16">
      <c r="A202" t="s">
        <v>751</v>
      </c>
      <c r="B202" t="s">
        <v>901</v>
      </c>
      <c r="C202">
        <v>0</v>
      </c>
      <c r="E202" t="s">
        <v>897</v>
      </c>
      <c r="G202" t="s">
        <v>901</v>
      </c>
      <c r="H202">
        <v>10.077999999999999</v>
      </c>
      <c r="J202">
        <v>108054666</v>
      </c>
      <c r="K202" s="2">
        <v>45733</v>
      </c>
      <c r="L202">
        <v>32</v>
      </c>
      <c r="M202">
        <v>1</v>
      </c>
      <c r="N202">
        <v>8</v>
      </c>
      <c r="O202">
        <v>1</v>
      </c>
      <c r="P202" t="s">
        <v>7</v>
      </c>
    </row>
    <row r="203" spans="1:16">
      <c r="A203" t="s">
        <v>751</v>
      </c>
      <c r="B203" t="s">
        <v>901</v>
      </c>
      <c r="C203">
        <v>0</v>
      </c>
      <c r="E203" t="s">
        <v>897</v>
      </c>
      <c r="F203" t="s">
        <v>899</v>
      </c>
      <c r="G203" t="s">
        <v>901</v>
      </c>
      <c r="H203">
        <v>10.077999999999999</v>
      </c>
      <c r="J203">
        <v>106860515</v>
      </c>
      <c r="K203" s="2">
        <v>44604</v>
      </c>
      <c r="L203">
        <v>24</v>
      </c>
      <c r="M203">
        <v>1</v>
      </c>
      <c r="N203">
        <v>8</v>
      </c>
      <c r="O203">
        <v>1</v>
      </c>
      <c r="P203" t="s">
        <v>7</v>
      </c>
    </row>
    <row r="204" spans="1:16">
      <c r="A204" t="s">
        <v>867</v>
      </c>
      <c r="B204" t="s">
        <v>948</v>
      </c>
      <c r="C204">
        <v>0</v>
      </c>
      <c r="E204" t="s">
        <v>897</v>
      </c>
      <c r="F204" t="s">
        <v>949</v>
      </c>
      <c r="G204" t="s">
        <v>948</v>
      </c>
      <c r="H204">
        <v>3.2890000000000001</v>
      </c>
      <c r="J204">
        <v>107210034</v>
      </c>
      <c r="K204" s="2">
        <v>44936</v>
      </c>
      <c r="L204">
        <v>17</v>
      </c>
      <c r="M204">
        <v>1</v>
      </c>
      <c r="N204">
        <v>0</v>
      </c>
      <c r="O204">
        <v>5</v>
      </c>
      <c r="P204" t="s">
        <v>7</v>
      </c>
    </row>
    <row r="205" spans="1:16">
      <c r="A205" t="s">
        <v>751</v>
      </c>
      <c r="B205" t="s">
        <v>948</v>
      </c>
      <c r="C205">
        <v>0</v>
      </c>
      <c r="E205" t="s">
        <v>897</v>
      </c>
      <c r="F205" t="s">
        <v>950</v>
      </c>
      <c r="G205" t="s">
        <v>948</v>
      </c>
      <c r="H205">
        <v>3.2890000000000001</v>
      </c>
      <c r="J205">
        <v>106752512</v>
      </c>
      <c r="K205" s="2">
        <v>44498</v>
      </c>
      <c r="L205">
        <v>28</v>
      </c>
      <c r="M205">
        <v>2</v>
      </c>
      <c r="N205">
        <v>8</v>
      </c>
      <c r="O205">
        <v>3</v>
      </c>
      <c r="P205" t="s">
        <v>7</v>
      </c>
    </row>
    <row r="206" spans="1:16">
      <c r="A206" t="s">
        <v>751</v>
      </c>
      <c r="B206" t="s">
        <v>948</v>
      </c>
      <c r="C206">
        <v>0</v>
      </c>
      <c r="D206" t="s">
        <v>754</v>
      </c>
      <c r="E206" t="s">
        <v>897</v>
      </c>
      <c r="F206" t="s">
        <v>951</v>
      </c>
      <c r="G206" t="s">
        <v>948</v>
      </c>
      <c r="H206">
        <v>3.2890000000000001</v>
      </c>
      <c r="J206">
        <v>108433634</v>
      </c>
      <c r="K206" s="2">
        <v>46096</v>
      </c>
      <c r="L206">
        <v>17</v>
      </c>
      <c r="M206">
        <v>2</v>
      </c>
      <c r="N206">
        <v>0</v>
      </c>
      <c r="O206">
        <v>5</v>
      </c>
      <c r="P206" t="s">
        <v>7</v>
      </c>
    </row>
    <row r="207" spans="1:16">
      <c r="A207" t="s">
        <v>751</v>
      </c>
      <c r="B207" t="s">
        <v>948</v>
      </c>
      <c r="C207">
        <v>8.9999999999999993E-3</v>
      </c>
      <c r="D207" t="s">
        <v>6</v>
      </c>
      <c r="E207" t="s">
        <v>897</v>
      </c>
      <c r="F207" t="s">
        <v>950</v>
      </c>
      <c r="G207" t="s">
        <v>948</v>
      </c>
      <c r="H207">
        <v>3.298</v>
      </c>
      <c r="J207">
        <v>105770209</v>
      </c>
      <c r="K207" s="2">
        <v>43505</v>
      </c>
      <c r="L207">
        <v>29</v>
      </c>
      <c r="M207">
        <v>1</v>
      </c>
      <c r="N207">
        <v>0</v>
      </c>
      <c r="O207">
        <v>1</v>
      </c>
      <c r="P207" t="s">
        <v>3</v>
      </c>
    </row>
    <row r="208" spans="1:16">
      <c r="A208" t="s">
        <v>751</v>
      </c>
      <c r="B208" t="s">
        <v>897</v>
      </c>
      <c r="C208">
        <v>0.01</v>
      </c>
      <c r="D208" t="s">
        <v>754</v>
      </c>
      <c r="E208" t="s">
        <v>952</v>
      </c>
      <c r="F208" t="s">
        <v>949</v>
      </c>
      <c r="G208" t="s">
        <v>897</v>
      </c>
      <c r="H208">
        <v>0.53300000000000003</v>
      </c>
      <c r="J208">
        <v>106727073</v>
      </c>
      <c r="K208" s="2">
        <v>44482</v>
      </c>
      <c r="L208">
        <v>17</v>
      </c>
      <c r="M208">
        <v>1</v>
      </c>
      <c r="N208">
        <v>0</v>
      </c>
      <c r="O208">
        <v>5</v>
      </c>
      <c r="P208" t="s">
        <v>7</v>
      </c>
    </row>
    <row r="209" spans="1:16">
      <c r="A209" t="s">
        <v>751</v>
      </c>
      <c r="B209" t="s">
        <v>897</v>
      </c>
      <c r="C209">
        <v>0.3</v>
      </c>
      <c r="D209" t="s">
        <v>6</v>
      </c>
      <c r="E209" t="s">
        <v>949</v>
      </c>
      <c r="F209" t="s">
        <v>953</v>
      </c>
      <c r="G209" t="s">
        <v>897</v>
      </c>
      <c r="H209">
        <v>0.58199999999999996</v>
      </c>
      <c r="J209">
        <v>106418480</v>
      </c>
      <c r="K209" s="2">
        <v>44161</v>
      </c>
      <c r="L209">
        <v>17</v>
      </c>
      <c r="M209">
        <v>2</v>
      </c>
      <c r="N209">
        <v>0</v>
      </c>
      <c r="O209">
        <v>5</v>
      </c>
      <c r="P209" t="s">
        <v>7</v>
      </c>
    </row>
    <row r="210" spans="1:16">
      <c r="A210" t="s">
        <v>751</v>
      </c>
      <c r="B210" t="s">
        <v>897</v>
      </c>
      <c r="C210">
        <v>0.1</v>
      </c>
      <c r="D210" t="s">
        <v>6</v>
      </c>
      <c r="E210" t="s">
        <v>949</v>
      </c>
      <c r="F210" t="s">
        <v>891</v>
      </c>
      <c r="G210" t="s">
        <v>897</v>
      </c>
      <c r="H210">
        <v>0.78200000000000003</v>
      </c>
      <c r="J210">
        <v>105206557</v>
      </c>
      <c r="K210" s="2">
        <v>42977</v>
      </c>
      <c r="L210">
        <v>27</v>
      </c>
      <c r="M210">
        <v>1</v>
      </c>
      <c r="N210">
        <v>0</v>
      </c>
      <c r="O210">
        <v>1</v>
      </c>
      <c r="P210" t="s">
        <v>8</v>
      </c>
    </row>
    <row r="211" spans="1:16">
      <c r="A211" t="s">
        <v>751</v>
      </c>
      <c r="B211" t="s">
        <v>897</v>
      </c>
      <c r="C211">
        <v>6.6000000000000003E-2</v>
      </c>
      <c r="D211" t="s">
        <v>6</v>
      </c>
      <c r="E211" t="s">
        <v>949</v>
      </c>
      <c r="F211" t="s">
        <v>954</v>
      </c>
      <c r="G211" t="s">
        <v>897</v>
      </c>
      <c r="H211">
        <v>0.81599999999999995</v>
      </c>
      <c r="J211">
        <v>105715890</v>
      </c>
      <c r="K211" s="2">
        <v>43450</v>
      </c>
      <c r="L211">
        <v>19</v>
      </c>
      <c r="M211">
        <v>1</v>
      </c>
      <c r="N211">
        <v>0</v>
      </c>
      <c r="O211">
        <v>1</v>
      </c>
      <c r="P211" t="s">
        <v>7</v>
      </c>
    </row>
    <row r="212" spans="1:16">
      <c r="A212" t="s">
        <v>751</v>
      </c>
      <c r="B212" t="s">
        <v>897</v>
      </c>
      <c r="C212">
        <v>3.0000000000000001E-3</v>
      </c>
      <c r="D212" t="s">
        <v>6</v>
      </c>
      <c r="E212" t="s">
        <v>949</v>
      </c>
      <c r="F212" t="s">
        <v>954</v>
      </c>
      <c r="G212" t="s">
        <v>897</v>
      </c>
      <c r="H212">
        <v>0.879</v>
      </c>
      <c r="J212">
        <v>105113138</v>
      </c>
      <c r="K212" s="2">
        <v>42873</v>
      </c>
      <c r="L212">
        <v>21</v>
      </c>
      <c r="M212">
        <v>1</v>
      </c>
      <c r="N212">
        <v>0</v>
      </c>
      <c r="O212">
        <v>1</v>
      </c>
      <c r="P212" t="s">
        <v>7</v>
      </c>
    </row>
    <row r="213" spans="1:16">
      <c r="A213" t="s">
        <v>751</v>
      </c>
      <c r="B213" t="s">
        <v>897</v>
      </c>
      <c r="C213">
        <v>0</v>
      </c>
      <c r="E213" t="s">
        <v>949</v>
      </c>
      <c r="F213" t="s">
        <v>955</v>
      </c>
      <c r="G213" t="s">
        <v>897</v>
      </c>
      <c r="H213">
        <v>0.88200000000000001</v>
      </c>
      <c r="J213">
        <v>108365462</v>
      </c>
      <c r="K213" s="2">
        <v>46029</v>
      </c>
      <c r="L213">
        <v>18</v>
      </c>
      <c r="M213">
        <v>1</v>
      </c>
      <c r="N213">
        <v>7</v>
      </c>
      <c r="O213">
        <v>1</v>
      </c>
      <c r="P213" t="s">
        <v>7</v>
      </c>
    </row>
    <row r="214" spans="1:16">
      <c r="A214" t="s">
        <v>751</v>
      </c>
      <c r="B214" t="s">
        <v>897</v>
      </c>
      <c r="C214">
        <v>0</v>
      </c>
      <c r="E214" t="s">
        <v>949</v>
      </c>
      <c r="F214" t="s">
        <v>883</v>
      </c>
      <c r="G214" t="s">
        <v>897</v>
      </c>
      <c r="H214">
        <v>0.88200000000000001</v>
      </c>
      <c r="J214">
        <v>107684903</v>
      </c>
      <c r="K214" s="2">
        <v>45393</v>
      </c>
      <c r="L214">
        <v>25</v>
      </c>
      <c r="M214">
        <v>1</v>
      </c>
      <c r="N214">
        <v>7</v>
      </c>
      <c r="O214">
        <v>1</v>
      </c>
      <c r="P214" t="s">
        <v>7</v>
      </c>
    </row>
    <row r="215" spans="1:16">
      <c r="A215" t="s">
        <v>751</v>
      </c>
      <c r="B215" t="s">
        <v>897</v>
      </c>
      <c r="C215">
        <v>0</v>
      </c>
      <c r="E215" t="s">
        <v>949</v>
      </c>
      <c r="F215" t="s">
        <v>883</v>
      </c>
      <c r="G215" t="s">
        <v>897</v>
      </c>
      <c r="H215">
        <v>0.88200000000000001</v>
      </c>
      <c r="J215">
        <v>106301368</v>
      </c>
      <c r="K215" s="2">
        <v>44047</v>
      </c>
      <c r="L215">
        <v>30</v>
      </c>
      <c r="M215">
        <v>1</v>
      </c>
      <c r="N215">
        <v>7</v>
      </c>
      <c r="O215">
        <v>1</v>
      </c>
      <c r="P215" t="s">
        <v>3</v>
      </c>
    </row>
    <row r="216" spans="1:16">
      <c r="A216" t="s">
        <v>751</v>
      </c>
      <c r="B216" t="s">
        <v>897</v>
      </c>
      <c r="C216">
        <v>0</v>
      </c>
      <c r="E216" t="s">
        <v>949</v>
      </c>
      <c r="F216" t="s">
        <v>901</v>
      </c>
      <c r="G216" t="s">
        <v>897</v>
      </c>
      <c r="H216">
        <v>0.88200000000000001</v>
      </c>
      <c r="J216">
        <v>106039704</v>
      </c>
      <c r="K216" s="2">
        <v>43762</v>
      </c>
      <c r="L216">
        <v>25</v>
      </c>
      <c r="M216">
        <v>1</v>
      </c>
      <c r="N216">
        <v>7</v>
      </c>
      <c r="O216">
        <v>1</v>
      </c>
      <c r="P216" t="s">
        <v>7</v>
      </c>
    </row>
    <row r="217" spans="1:16">
      <c r="A217" t="s">
        <v>751</v>
      </c>
      <c r="B217" t="s">
        <v>897</v>
      </c>
      <c r="C217">
        <v>0</v>
      </c>
      <c r="E217" t="s">
        <v>949</v>
      </c>
      <c r="F217" t="s">
        <v>901</v>
      </c>
      <c r="G217" t="s">
        <v>897</v>
      </c>
      <c r="H217">
        <v>0.88200000000000001</v>
      </c>
      <c r="J217">
        <v>105921384</v>
      </c>
      <c r="K217" s="2">
        <v>43655</v>
      </c>
      <c r="L217">
        <v>30</v>
      </c>
      <c r="M217">
        <v>1</v>
      </c>
      <c r="N217">
        <v>7</v>
      </c>
      <c r="O217">
        <v>1</v>
      </c>
      <c r="P217" t="s">
        <v>8</v>
      </c>
    </row>
    <row r="218" spans="1:16">
      <c r="A218" t="s">
        <v>751</v>
      </c>
      <c r="B218" t="s">
        <v>897</v>
      </c>
      <c r="C218">
        <v>0</v>
      </c>
      <c r="E218" t="s">
        <v>949</v>
      </c>
      <c r="F218" t="s">
        <v>901</v>
      </c>
      <c r="G218" t="s">
        <v>897</v>
      </c>
      <c r="H218">
        <v>0.88200000000000001</v>
      </c>
      <c r="J218">
        <v>108184203</v>
      </c>
      <c r="K218" s="2">
        <v>45864</v>
      </c>
      <c r="L218">
        <v>30</v>
      </c>
      <c r="M218">
        <v>1</v>
      </c>
      <c r="N218">
        <v>7</v>
      </c>
      <c r="O218">
        <v>2</v>
      </c>
      <c r="P218" t="s">
        <v>3</v>
      </c>
    </row>
    <row r="219" spans="1:16">
      <c r="A219" t="s">
        <v>751</v>
      </c>
      <c r="B219" t="s">
        <v>897</v>
      </c>
      <c r="C219">
        <v>0</v>
      </c>
      <c r="E219" t="s">
        <v>949</v>
      </c>
      <c r="F219" t="s">
        <v>901</v>
      </c>
      <c r="G219" t="s">
        <v>897</v>
      </c>
      <c r="H219">
        <v>0.88200000000000001</v>
      </c>
      <c r="J219">
        <v>105227631</v>
      </c>
      <c r="K219" s="2">
        <v>42995</v>
      </c>
      <c r="L219">
        <v>30</v>
      </c>
      <c r="M219">
        <v>1</v>
      </c>
      <c r="N219">
        <v>7</v>
      </c>
      <c r="O219">
        <v>1</v>
      </c>
      <c r="P219" t="s">
        <v>7</v>
      </c>
    </row>
    <row r="220" spans="1:16">
      <c r="A220" t="s">
        <v>751</v>
      </c>
      <c r="B220" t="s">
        <v>897</v>
      </c>
      <c r="C220">
        <v>0</v>
      </c>
      <c r="E220" t="s">
        <v>949</v>
      </c>
      <c r="F220" t="s">
        <v>890</v>
      </c>
      <c r="G220" t="s">
        <v>897</v>
      </c>
      <c r="H220">
        <v>0.88200000000000001</v>
      </c>
      <c r="J220">
        <v>108090119</v>
      </c>
      <c r="K220" s="2">
        <v>45769</v>
      </c>
      <c r="L220">
        <v>30</v>
      </c>
      <c r="M220">
        <v>1</v>
      </c>
      <c r="N220">
        <v>7</v>
      </c>
      <c r="O220">
        <v>1</v>
      </c>
      <c r="P220" t="s">
        <v>3</v>
      </c>
    </row>
    <row r="221" spans="1:16">
      <c r="A221" t="s">
        <v>867</v>
      </c>
      <c r="B221" t="s">
        <v>897</v>
      </c>
      <c r="C221">
        <v>0</v>
      </c>
      <c r="D221" t="s">
        <v>6</v>
      </c>
      <c r="E221" t="s">
        <v>949</v>
      </c>
      <c r="F221" t="s">
        <v>925</v>
      </c>
      <c r="G221" t="s">
        <v>897</v>
      </c>
      <c r="H221">
        <v>0.88200000000000001</v>
      </c>
      <c r="J221">
        <v>107148989</v>
      </c>
      <c r="K221" s="2">
        <v>44873</v>
      </c>
      <c r="L221">
        <v>28</v>
      </c>
      <c r="M221">
        <v>1</v>
      </c>
      <c r="N221">
        <v>7</v>
      </c>
      <c r="O221">
        <v>1</v>
      </c>
      <c r="P221" t="s">
        <v>7</v>
      </c>
    </row>
    <row r="222" spans="1:16">
      <c r="A222" t="s">
        <v>751</v>
      </c>
      <c r="B222" t="s">
        <v>897</v>
      </c>
      <c r="C222">
        <v>4.0000000000000001E-3</v>
      </c>
      <c r="D222" t="s">
        <v>754</v>
      </c>
      <c r="E222" t="s">
        <v>949</v>
      </c>
      <c r="F222" t="s">
        <v>901</v>
      </c>
      <c r="G222" t="s">
        <v>897</v>
      </c>
      <c r="H222">
        <v>0.88600000000000001</v>
      </c>
      <c r="J222">
        <v>107156144</v>
      </c>
      <c r="K222" s="2">
        <v>44882</v>
      </c>
      <c r="L222">
        <v>21</v>
      </c>
      <c r="M222">
        <v>1</v>
      </c>
      <c r="N222">
        <v>7</v>
      </c>
      <c r="O222">
        <v>1</v>
      </c>
      <c r="P222" t="s">
        <v>7</v>
      </c>
    </row>
    <row r="223" spans="1:16">
      <c r="A223" t="s">
        <v>751</v>
      </c>
      <c r="B223" t="s">
        <v>897</v>
      </c>
      <c r="C223">
        <v>4.0000000000000001E-3</v>
      </c>
      <c r="D223" t="s">
        <v>754</v>
      </c>
      <c r="E223" t="s">
        <v>949</v>
      </c>
      <c r="F223" t="s">
        <v>901</v>
      </c>
      <c r="G223" t="s">
        <v>897</v>
      </c>
      <c r="H223">
        <v>0.88600000000000001</v>
      </c>
      <c r="J223">
        <v>106540370</v>
      </c>
      <c r="K223" s="2">
        <v>44295</v>
      </c>
      <c r="L223">
        <v>21</v>
      </c>
      <c r="M223">
        <v>1</v>
      </c>
      <c r="N223">
        <v>0</v>
      </c>
      <c r="O223">
        <v>1</v>
      </c>
      <c r="P223" t="s">
        <v>7</v>
      </c>
    </row>
    <row r="224" spans="1:16">
      <c r="A224" t="s">
        <v>751</v>
      </c>
      <c r="B224" t="s">
        <v>897</v>
      </c>
      <c r="C224">
        <v>1.4E-2</v>
      </c>
      <c r="D224" t="s">
        <v>754</v>
      </c>
      <c r="E224" t="s">
        <v>949</v>
      </c>
      <c r="F224" t="s">
        <v>901</v>
      </c>
      <c r="G224" t="s">
        <v>897</v>
      </c>
      <c r="H224">
        <v>0.89600000000000002</v>
      </c>
      <c r="J224">
        <v>105142894</v>
      </c>
      <c r="K224" s="2">
        <v>42910</v>
      </c>
      <c r="L224">
        <v>21</v>
      </c>
      <c r="M224">
        <v>1</v>
      </c>
      <c r="N224">
        <v>0</v>
      </c>
      <c r="O224">
        <v>1</v>
      </c>
      <c r="P224" t="s">
        <v>7</v>
      </c>
    </row>
    <row r="225" spans="1:16">
      <c r="A225" t="s">
        <v>751</v>
      </c>
      <c r="B225" t="s">
        <v>897</v>
      </c>
      <c r="C225">
        <v>0.2</v>
      </c>
      <c r="D225" t="s">
        <v>6</v>
      </c>
      <c r="E225" t="s">
        <v>901</v>
      </c>
      <c r="F225" t="s">
        <v>949</v>
      </c>
      <c r="G225" t="s">
        <v>897</v>
      </c>
      <c r="H225">
        <v>1.008</v>
      </c>
      <c r="J225">
        <v>107555740</v>
      </c>
      <c r="K225" s="2">
        <v>45258</v>
      </c>
      <c r="L225">
        <v>21</v>
      </c>
      <c r="M225">
        <v>1</v>
      </c>
      <c r="N225">
        <v>0</v>
      </c>
      <c r="O225">
        <v>1</v>
      </c>
      <c r="P225" t="s">
        <v>7</v>
      </c>
    </row>
    <row r="226" spans="1:16">
      <c r="A226" t="s">
        <v>751</v>
      </c>
      <c r="B226" t="s">
        <v>897</v>
      </c>
      <c r="C226">
        <v>0.2</v>
      </c>
      <c r="D226" t="s">
        <v>754</v>
      </c>
      <c r="E226" t="s">
        <v>949</v>
      </c>
      <c r="F226" t="s">
        <v>901</v>
      </c>
      <c r="G226" t="s">
        <v>897</v>
      </c>
      <c r="H226">
        <v>1.0820000000000001</v>
      </c>
      <c r="J226">
        <v>106636747</v>
      </c>
      <c r="K226" s="2">
        <v>44392</v>
      </c>
      <c r="L226">
        <v>28</v>
      </c>
      <c r="M226">
        <v>1</v>
      </c>
      <c r="N226">
        <v>0</v>
      </c>
      <c r="O226">
        <v>1</v>
      </c>
      <c r="P226" t="s">
        <v>7</v>
      </c>
    </row>
    <row r="227" spans="1:16">
      <c r="A227" t="s">
        <v>751</v>
      </c>
      <c r="B227" t="s">
        <v>897</v>
      </c>
      <c r="C227">
        <v>0.2</v>
      </c>
      <c r="D227" t="s">
        <v>754</v>
      </c>
      <c r="E227" t="s">
        <v>901</v>
      </c>
      <c r="F227" t="s">
        <v>899</v>
      </c>
      <c r="G227" t="s">
        <v>897</v>
      </c>
      <c r="H227">
        <v>1.4079999999999999</v>
      </c>
      <c r="J227">
        <v>108307988</v>
      </c>
      <c r="K227" s="2">
        <v>45976</v>
      </c>
      <c r="L227">
        <v>5</v>
      </c>
      <c r="M227">
        <v>1</v>
      </c>
      <c r="N227">
        <v>0</v>
      </c>
      <c r="O227">
        <v>1</v>
      </c>
      <c r="P227" t="s">
        <v>7</v>
      </c>
    </row>
    <row r="228" spans="1:16">
      <c r="A228" t="s">
        <v>751</v>
      </c>
      <c r="B228" t="s">
        <v>897</v>
      </c>
      <c r="C228">
        <v>0.2</v>
      </c>
      <c r="D228" t="s">
        <v>754</v>
      </c>
      <c r="E228" t="s">
        <v>901</v>
      </c>
      <c r="F228" t="s">
        <v>899</v>
      </c>
      <c r="G228" t="s">
        <v>897</v>
      </c>
      <c r="H228">
        <v>1.4079999999999999</v>
      </c>
      <c r="J228">
        <v>107906579</v>
      </c>
      <c r="K228" s="2">
        <v>45590</v>
      </c>
      <c r="L228">
        <v>21</v>
      </c>
      <c r="M228">
        <v>1</v>
      </c>
      <c r="N228">
        <v>4</v>
      </c>
      <c r="O228">
        <v>1</v>
      </c>
      <c r="P228" t="s">
        <v>8</v>
      </c>
    </row>
    <row r="229" spans="1:16">
      <c r="A229" t="s">
        <v>751</v>
      </c>
      <c r="B229" t="s">
        <v>897</v>
      </c>
      <c r="C229">
        <v>0.2</v>
      </c>
      <c r="D229" t="s">
        <v>754</v>
      </c>
      <c r="E229" t="s">
        <v>901</v>
      </c>
      <c r="F229" t="s">
        <v>948</v>
      </c>
      <c r="G229" t="s">
        <v>897</v>
      </c>
      <c r="H229">
        <v>1.4079999999999999</v>
      </c>
      <c r="J229">
        <v>106910589</v>
      </c>
      <c r="K229" s="2">
        <v>44651</v>
      </c>
      <c r="L229">
        <v>5</v>
      </c>
      <c r="M229">
        <v>2</v>
      </c>
      <c r="N229">
        <v>0</v>
      </c>
      <c r="O229">
        <v>5</v>
      </c>
      <c r="P229" t="s">
        <v>8</v>
      </c>
    </row>
    <row r="230" spans="1:16">
      <c r="A230" t="s">
        <v>751</v>
      </c>
      <c r="B230" t="s">
        <v>897</v>
      </c>
      <c r="C230">
        <v>0.3</v>
      </c>
      <c r="D230" t="s">
        <v>754</v>
      </c>
      <c r="E230" t="s">
        <v>901</v>
      </c>
      <c r="F230" t="s">
        <v>948</v>
      </c>
      <c r="G230" t="s">
        <v>897</v>
      </c>
      <c r="H230">
        <v>1.508</v>
      </c>
      <c r="J230">
        <v>107035517</v>
      </c>
      <c r="K230" s="2">
        <v>44776</v>
      </c>
      <c r="L230">
        <v>29</v>
      </c>
      <c r="M230">
        <v>1</v>
      </c>
      <c r="N230">
        <v>0</v>
      </c>
      <c r="O230">
        <v>1</v>
      </c>
      <c r="P230" t="s">
        <v>7</v>
      </c>
    </row>
    <row r="231" spans="1:16">
      <c r="A231" t="s">
        <v>751</v>
      </c>
      <c r="B231" t="s">
        <v>897</v>
      </c>
      <c r="C231">
        <v>1.5</v>
      </c>
      <c r="D231" t="s">
        <v>6</v>
      </c>
      <c r="E231" t="s">
        <v>948</v>
      </c>
      <c r="F231" t="s">
        <v>956</v>
      </c>
      <c r="G231" t="s">
        <v>897</v>
      </c>
      <c r="H231">
        <v>1.6040000000000001</v>
      </c>
      <c r="J231">
        <v>108414530</v>
      </c>
      <c r="K231" s="2">
        <v>46072</v>
      </c>
      <c r="L231">
        <v>19</v>
      </c>
      <c r="M231">
        <v>2</v>
      </c>
      <c r="N231">
        <v>0</v>
      </c>
      <c r="O231">
        <v>5</v>
      </c>
      <c r="P231" t="s">
        <v>7</v>
      </c>
    </row>
    <row r="232" spans="1:16">
      <c r="A232" t="s">
        <v>751</v>
      </c>
      <c r="B232" t="s">
        <v>897</v>
      </c>
      <c r="C232">
        <v>1</v>
      </c>
      <c r="D232" t="s">
        <v>753</v>
      </c>
      <c r="E232" t="s">
        <v>949</v>
      </c>
      <c r="F232" t="s">
        <v>945</v>
      </c>
      <c r="G232" t="s">
        <v>897</v>
      </c>
      <c r="H232">
        <v>1.8819999999999999</v>
      </c>
      <c r="J232">
        <v>105994366</v>
      </c>
      <c r="K232" s="2">
        <v>43725</v>
      </c>
      <c r="L232">
        <v>17</v>
      </c>
      <c r="M232">
        <v>1</v>
      </c>
      <c r="N232">
        <v>0</v>
      </c>
      <c r="O232">
        <v>5</v>
      </c>
      <c r="P232" t="s">
        <v>7</v>
      </c>
    </row>
    <row r="233" spans="1:16">
      <c r="A233" t="s">
        <v>751</v>
      </c>
      <c r="B233" t="s">
        <v>897</v>
      </c>
      <c r="C233">
        <v>0</v>
      </c>
      <c r="E233" t="s">
        <v>899</v>
      </c>
      <c r="F233" t="s">
        <v>948</v>
      </c>
      <c r="G233" t="s">
        <v>897</v>
      </c>
      <c r="H233">
        <v>1.913</v>
      </c>
      <c r="J233">
        <v>105807326</v>
      </c>
      <c r="K233" s="2">
        <v>43543</v>
      </c>
      <c r="L233">
        <v>21</v>
      </c>
      <c r="M233">
        <v>1</v>
      </c>
      <c r="N233">
        <v>8</v>
      </c>
      <c r="O233">
        <v>1</v>
      </c>
      <c r="P233" t="s">
        <v>7</v>
      </c>
    </row>
    <row r="234" spans="1:16">
      <c r="A234" t="s">
        <v>751</v>
      </c>
      <c r="B234" t="s">
        <v>897</v>
      </c>
      <c r="C234">
        <v>0.5</v>
      </c>
      <c r="D234" t="s">
        <v>6</v>
      </c>
      <c r="E234" t="s">
        <v>957</v>
      </c>
      <c r="F234" t="s">
        <v>901</v>
      </c>
      <c r="G234" t="s">
        <v>897</v>
      </c>
      <c r="H234">
        <v>1.984</v>
      </c>
      <c r="J234">
        <v>107434441</v>
      </c>
      <c r="K234" s="2">
        <v>45146</v>
      </c>
      <c r="L234">
        <v>24</v>
      </c>
      <c r="M234">
        <v>1</v>
      </c>
      <c r="N234">
        <v>8</v>
      </c>
      <c r="O234">
        <v>1</v>
      </c>
      <c r="P234" t="s">
        <v>3</v>
      </c>
    </row>
    <row r="235" spans="1:16">
      <c r="A235" t="s">
        <v>751</v>
      </c>
      <c r="B235" t="s">
        <v>897</v>
      </c>
      <c r="C235">
        <v>0.8</v>
      </c>
      <c r="D235" t="s">
        <v>753</v>
      </c>
      <c r="E235" t="s">
        <v>901</v>
      </c>
      <c r="F235" t="s">
        <v>899</v>
      </c>
      <c r="G235" t="s">
        <v>897</v>
      </c>
      <c r="H235">
        <v>2.008</v>
      </c>
      <c r="J235">
        <v>106313586</v>
      </c>
      <c r="K235" s="2">
        <v>44058</v>
      </c>
      <c r="L235">
        <v>19</v>
      </c>
      <c r="M235">
        <v>2</v>
      </c>
      <c r="N235">
        <v>0</v>
      </c>
      <c r="O235">
        <v>5</v>
      </c>
      <c r="P235" t="s">
        <v>8</v>
      </c>
    </row>
    <row r="236" spans="1:16">
      <c r="A236" t="s">
        <v>751</v>
      </c>
      <c r="B236" t="s">
        <v>897</v>
      </c>
      <c r="C236">
        <v>0.2</v>
      </c>
      <c r="D236" t="s">
        <v>6</v>
      </c>
      <c r="E236" t="s">
        <v>957</v>
      </c>
      <c r="F236" t="s">
        <v>945</v>
      </c>
      <c r="G236" t="s">
        <v>897</v>
      </c>
      <c r="H236">
        <v>2.2839999999999998</v>
      </c>
      <c r="J236">
        <v>106993246</v>
      </c>
      <c r="K236" s="2">
        <v>44732</v>
      </c>
      <c r="L236">
        <v>17</v>
      </c>
      <c r="M236">
        <v>1</v>
      </c>
      <c r="N236">
        <v>0</v>
      </c>
      <c r="O236">
        <v>1</v>
      </c>
      <c r="P236" t="s">
        <v>7</v>
      </c>
    </row>
    <row r="237" spans="1:16">
      <c r="A237" t="s">
        <v>751</v>
      </c>
      <c r="B237" t="s">
        <v>897</v>
      </c>
      <c r="C237">
        <v>0.5</v>
      </c>
      <c r="D237" t="s">
        <v>760</v>
      </c>
      <c r="E237" t="s">
        <v>899</v>
      </c>
      <c r="F237" t="s">
        <v>948</v>
      </c>
      <c r="G237" t="s">
        <v>897</v>
      </c>
      <c r="H237">
        <v>2.4129999999999998</v>
      </c>
      <c r="J237">
        <v>105210501</v>
      </c>
      <c r="K237" s="2">
        <v>42979</v>
      </c>
      <c r="L237">
        <v>19</v>
      </c>
      <c r="M237">
        <v>2</v>
      </c>
      <c r="N237">
        <v>5</v>
      </c>
      <c r="O237">
        <v>2</v>
      </c>
      <c r="P237" t="s">
        <v>3</v>
      </c>
    </row>
    <row r="238" spans="1:16">
      <c r="A238" t="s">
        <v>751</v>
      </c>
      <c r="B238" t="s">
        <v>897</v>
      </c>
      <c r="C238">
        <v>8.5000000000000006E-2</v>
      </c>
      <c r="D238" t="s">
        <v>754</v>
      </c>
      <c r="E238" t="s">
        <v>957</v>
      </c>
      <c r="F238" t="s">
        <v>955</v>
      </c>
      <c r="G238" t="s">
        <v>897</v>
      </c>
      <c r="H238">
        <v>2.569</v>
      </c>
      <c r="J238">
        <v>107211217</v>
      </c>
      <c r="K238" s="2">
        <v>44929</v>
      </c>
      <c r="L238">
        <v>19</v>
      </c>
      <c r="M238">
        <v>1</v>
      </c>
      <c r="N238">
        <v>0</v>
      </c>
      <c r="O238">
        <v>1</v>
      </c>
      <c r="P238" t="s">
        <v>7</v>
      </c>
    </row>
    <row r="239" spans="1:16">
      <c r="A239" t="s">
        <v>751</v>
      </c>
      <c r="B239" t="s">
        <v>897</v>
      </c>
      <c r="C239">
        <v>0.2</v>
      </c>
      <c r="D239" t="s">
        <v>753</v>
      </c>
      <c r="E239" t="s">
        <v>957</v>
      </c>
      <c r="F239" t="s">
        <v>955</v>
      </c>
      <c r="G239" t="s">
        <v>897</v>
      </c>
      <c r="H239">
        <v>2.6840000000000002</v>
      </c>
      <c r="J239">
        <v>108407980</v>
      </c>
      <c r="K239" s="2">
        <v>46071</v>
      </c>
      <c r="L239">
        <v>17</v>
      </c>
      <c r="M239">
        <v>1</v>
      </c>
      <c r="N239">
        <v>0</v>
      </c>
      <c r="O239">
        <v>5</v>
      </c>
      <c r="P239" t="s">
        <v>7</v>
      </c>
    </row>
    <row r="240" spans="1:16">
      <c r="A240" t="s">
        <v>751</v>
      </c>
      <c r="B240" t="s">
        <v>897</v>
      </c>
      <c r="C240">
        <v>0.2</v>
      </c>
      <c r="D240" t="s">
        <v>6</v>
      </c>
      <c r="E240" t="s">
        <v>948</v>
      </c>
      <c r="F240" t="s">
        <v>957</v>
      </c>
      <c r="G240" t="s">
        <v>897</v>
      </c>
      <c r="H240">
        <v>2.9039999999999999</v>
      </c>
      <c r="J240">
        <v>107935293</v>
      </c>
      <c r="K240" s="2">
        <v>45619</v>
      </c>
      <c r="L240">
        <v>17</v>
      </c>
      <c r="M240">
        <v>1</v>
      </c>
      <c r="N240">
        <v>0</v>
      </c>
      <c r="O240">
        <v>1</v>
      </c>
      <c r="P240" t="s">
        <v>7</v>
      </c>
    </row>
    <row r="241" spans="1:16">
      <c r="A241" t="s">
        <v>751</v>
      </c>
      <c r="B241" t="s">
        <v>897</v>
      </c>
      <c r="C241">
        <v>0.1</v>
      </c>
      <c r="D241" t="s">
        <v>755</v>
      </c>
      <c r="E241" t="s">
        <v>948</v>
      </c>
      <c r="F241" t="s">
        <v>956</v>
      </c>
      <c r="G241" t="s">
        <v>897</v>
      </c>
      <c r="H241">
        <v>3.004</v>
      </c>
      <c r="J241">
        <v>106533831</v>
      </c>
      <c r="K241" s="2">
        <v>44283</v>
      </c>
      <c r="L241">
        <v>19</v>
      </c>
      <c r="M241">
        <v>1</v>
      </c>
      <c r="N241">
        <v>0</v>
      </c>
      <c r="O241">
        <v>5</v>
      </c>
      <c r="P241" t="s">
        <v>7</v>
      </c>
    </row>
    <row r="242" spans="1:16">
      <c r="A242" t="s">
        <v>751</v>
      </c>
      <c r="B242" t="s">
        <v>897</v>
      </c>
      <c r="C242">
        <v>0.28999999999999998</v>
      </c>
      <c r="D242" t="s">
        <v>753</v>
      </c>
      <c r="E242" t="s">
        <v>948</v>
      </c>
      <c r="F242" t="s">
        <v>956</v>
      </c>
      <c r="G242" t="s">
        <v>897</v>
      </c>
      <c r="H242">
        <v>3.3940000000000001</v>
      </c>
      <c r="J242">
        <v>108530730</v>
      </c>
      <c r="K242" s="2">
        <v>46187</v>
      </c>
      <c r="L242">
        <v>19</v>
      </c>
      <c r="M242">
        <v>1</v>
      </c>
      <c r="N242">
        <v>0</v>
      </c>
      <c r="O242">
        <v>1</v>
      </c>
      <c r="P242" t="s">
        <v>8</v>
      </c>
    </row>
    <row r="243" spans="1:16">
      <c r="A243" t="s">
        <v>751</v>
      </c>
      <c r="B243" t="s">
        <v>897</v>
      </c>
      <c r="C243">
        <v>0.28999999999999998</v>
      </c>
      <c r="D243" t="s">
        <v>753</v>
      </c>
      <c r="E243" t="s">
        <v>948</v>
      </c>
      <c r="F243" t="s">
        <v>956</v>
      </c>
      <c r="G243" t="s">
        <v>897</v>
      </c>
      <c r="H243">
        <v>3.3940000000000001</v>
      </c>
      <c r="J243">
        <v>108532682</v>
      </c>
      <c r="K243" s="2">
        <v>46187</v>
      </c>
      <c r="L243">
        <v>31</v>
      </c>
      <c r="M243">
        <v>1</v>
      </c>
      <c r="N243">
        <v>0</v>
      </c>
      <c r="O243">
        <v>1</v>
      </c>
      <c r="P243" t="s">
        <v>7</v>
      </c>
    </row>
    <row r="244" spans="1:16">
      <c r="A244" t="s">
        <v>751</v>
      </c>
      <c r="B244" t="s">
        <v>897</v>
      </c>
      <c r="C244">
        <v>0.3</v>
      </c>
      <c r="D244" t="s">
        <v>753</v>
      </c>
      <c r="E244" t="s">
        <v>948</v>
      </c>
      <c r="F244" t="s">
        <v>958</v>
      </c>
      <c r="G244" t="s">
        <v>897</v>
      </c>
      <c r="H244">
        <v>3.4039999999999999</v>
      </c>
      <c r="J244">
        <v>105890878</v>
      </c>
      <c r="K244" s="2">
        <v>43622</v>
      </c>
      <c r="L244">
        <v>27</v>
      </c>
      <c r="M244">
        <v>1</v>
      </c>
      <c r="N244">
        <v>0</v>
      </c>
      <c r="O244">
        <v>1</v>
      </c>
      <c r="P244" t="s">
        <v>8</v>
      </c>
    </row>
    <row r="245" spans="1:16">
      <c r="A245" t="s">
        <v>751</v>
      </c>
      <c r="B245" t="s">
        <v>897</v>
      </c>
      <c r="C245">
        <v>0.3</v>
      </c>
      <c r="D245" t="s">
        <v>760</v>
      </c>
      <c r="E245" t="s">
        <v>948</v>
      </c>
      <c r="F245" t="s">
        <v>956</v>
      </c>
      <c r="G245" t="s">
        <v>897</v>
      </c>
      <c r="H245">
        <v>3.4039999999999999</v>
      </c>
      <c r="J245">
        <v>106224797</v>
      </c>
      <c r="K245" s="2">
        <v>43964</v>
      </c>
      <c r="L245">
        <v>17</v>
      </c>
      <c r="M245">
        <v>1</v>
      </c>
      <c r="N245">
        <v>0</v>
      </c>
      <c r="O245">
        <v>1</v>
      </c>
      <c r="P245" t="s">
        <v>7</v>
      </c>
    </row>
    <row r="246" spans="1:16">
      <c r="A246" t="s">
        <v>751</v>
      </c>
      <c r="B246" t="s">
        <v>897</v>
      </c>
      <c r="C246">
        <v>0.3</v>
      </c>
      <c r="D246" t="s">
        <v>755</v>
      </c>
      <c r="E246" t="s">
        <v>956</v>
      </c>
      <c r="F246" t="s">
        <v>948</v>
      </c>
      <c r="G246" t="s">
        <v>897</v>
      </c>
      <c r="H246">
        <v>3.806</v>
      </c>
      <c r="J246">
        <v>106189866</v>
      </c>
      <c r="K246" s="2">
        <v>43911</v>
      </c>
      <c r="L246">
        <v>19</v>
      </c>
      <c r="M246">
        <v>1</v>
      </c>
      <c r="N246">
        <v>0</v>
      </c>
      <c r="O246">
        <v>1</v>
      </c>
      <c r="P246" t="s">
        <v>8</v>
      </c>
    </row>
    <row r="247" spans="1:16">
      <c r="A247" t="s">
        <v>751</v>
      </c>
      <c r="B247" t="s">
        <v>897</v>
      </c>
      <c r="C247">
        <v>0.2</v>
      </c>
      <c r="D247" t="s">
        <v>755</v>
      </c>
      <c r="E247" t="s">
        <v>956</v>
      </c>
      <c r="F247" t="s">
        <v>948</v>
      </c>
      <c r="G247" t="s">
        <v>897</v>
      </c>
      <c r="H247">
        <v>3.9060000000000001</v>
      </c>
      <c r="J247">
        <v>108190403</v>
      </c>
      <c r="K247" s="2">
        <v>45871</v>
      </c>
      <c r="L247">
        <v>1</v>
      </c>
      <c r="M247">
        <v>1</v>
      </c>
      <c r="N247">
        <v>0</v>
      </c>
      <c r="O247">
        <v>1</v>
      </c>
      <c r="P247" t="s">
        <v>7</v>
      </c>
    </row>
    <row r="248" spans="1:16">
      <c r="A248" t="s">
        <v>867</v>
      </c>
      <c r="B248" t="s">
        <v>897</v>
      </c>
      <c r="C248">
        <v>0.2</v>
      </c>
      <c r="D248" t="s">
        <v>755</v>
      </c>
      <c r="E248" t="s">
        <v>956</v>
      </c>
      <c r="F248" t="s">
        <v>948</v>
      </c>
      <c r="G248" t="s">
        <v>897</v>
      </c>
      <c r="H248">
        <v>3.9060000000000001</v>
      </c>
      <c r="J248">
        <v>107996289</v>
      </c>
      <c r="K248" s="2">
        <v>45670</v>
      </c>
      <c r="L248">
        <v>19</v>
      </c>
      <c r="M248">
        <v>2</v>
      </c>
      <c r="N248">
        <v>0</v>
      </c>
      <c r="O248">
        <v>5</v>
      </c>
    </row>
    <row r="249" spans="1:16">
      <c r="A249" t="s">
        <v>867</v>
      </c>
      <c r="B249" t="s">
        <v>897</v>
      </c>
      <c r="C249">
        <v>0.17</v>
      </c>
      <c r="D249" t="s">
        <v>755</v>
      </c>
      <c r="E249" t="s">
        <v>956</v>
      </c>
      <c r="F249" t="s">
        <v>948</v>
      </c>
      <c r="G249" t="s">
        <v>897</v>
      </c>
      <c r="H249">
        <v>3.9359999999999999</v>
      </c>
      <c r="J249">
        <v>108035183</v>
      </c>
      <c r="K249" s="2">
        <v>45699</v>
      </c>
      <c r="L249">
        <v>5</v>
      </c>
      <c r="M249">
        <v>2</v>
      </c>
      <c r="N249">
        <v>0</v>
      </c>
      <c r="O249">
        <v>1</v>
      </c>
      <c r="P249" t="s">
        <v>8</v>
      </c>
    </row>
    <row r="250" spans="1:16">
      <c r="A250" t="s">
        <v>751</v>
      </c>
      <c r="B250" t="s">
        <v>897</v>
      </c>
      <c r="C250">
        <v>0.17</v>
      </c>
      <c r="D250" t="s">
        <v>755</v>
      </c>
      <c r="E250" t="s">
        <v>956</v>
      </c>
      <c r="F250" t="s">
        <v>949</v>
      </c>
      <c r="G250" t="s">
        <v>897</v>
      </c>
      <c r="H250">
        <v>3.9359999999999999</v>
      </c>
      <c r="J250">
        <v>108172669</v>
      </c>
      <c r="K250" s="2">
        <v>45848</v>
      </c>
      <c r="L250">
        <v>19</v>
      </c>
      <c r="M250">
        <v>1</v>
      </c>
      <c r="N250">
        <v>0</v>
      </c>
      <c r="O250">
        <v>1</v>
      </c>
      <c r="P250" t="s">
        <v>7</v>
      </c>
    </row>
    <row r="251" spans="1:16">
      <c r="A251" t="s">
        <v>751</v>
      </c>
      <c r="B251" t="s">
        <v>897</v>
      </c>
      <c r="C251">
        <v>0.1</v>
      </c>
      <c r="D251" t="s">
        <v>755</v>
      </c>
      <c r="E251" t="s">
        <v>956</v>
      </c>
      <c r="F251" t="s">
        <v>959</v>
      </c>
      <c r="G251" t="s">
        <v>897</v>
      </c>
      <c r="H251">
        <v>4.0060000000000002</v>
      </c>
      <c r="J251">
        <v>107216920</v>
      </c>
      <c r="K251" s="2">
        <v>44943</v>
      </c>
      <c r="L251">
        <v>19</v>
      </c>
      <c r="M251">
        <v>3</v>
      </c>
      <c r="N251">
        <v>0</v>
      </c>
      <c r="O251">
        <v>5</v>
      </c>
      <c r="P251" t="s">
        <v>7</v>
      </c>
    </row>
    <row r="252" spans="1:16">
      <c r="A252" t="s">
        <v>751</v>
      </c>
      <c r="B252" t="s">
        <v>897</v>
      </c>
      <c r="C252">
        <v>1.2</v>
      </c>
      <c r="D252" t="s">
        <v>754</v>
      </c>
      <c r="E252" t="s">
        <v>948</v>
      </c>
      <c r="F252" t="s">
        <v>951</v>
      </c>
      <c r="G252" t="s">
        <v>897</v>
      </c>
      <c r="H252">
        <v>4.3040000000000003</v>
      </c>
      <c r="J252">
        <v>106014443</v>
      </c>
      <c r="K252" s="2">
        <v>43741</v>
      </c>
      <c r="L252">
        <v>28</v>
      </c>
      <c r="M252">
        <v>1</v>
      </c>
      <c r="N252">
        <v>0</v>
      </c>
      <c r="O252">
        <v>1</v>
      </c>
      <c r="P252" t="s">
        <v>7</v>
      </c>
    </row>
    <row r="253" spans="1:16">
      <c r="A253" t="s">
        <v>751</v>
      </c>
      <c r="B253" t="s">
        <v>897</v>
      </c>
      <c r="C253">
        <v>0.2</v>
      </c>
      <c r="D253" t="s">
        <v>753</v>
      </c>
      <c r="E253" t="s">
        <v>956</v>
      </c>
      <c r="F253" t="s">
        <v>960</v>
      </c>
      <c r="G253" t="s">
        <v>897</v>
      </c>
      <c r="H253">
        <v>4.306</v>
      </c>
      <c r="J253">
        <v>108411395</v>
      </c>
      <c r="K253" s="2">
        <v>46076</v>
      </c>
      <c r="L253">
        <v>19</v>
      </c>
      <c r="M253">
        <v>1</v>
      </c>
      <c r="N253">
        <v>5</v>
      </c>
      <c r="O253">
        <v>3</v>
      </c>
      <c r="P253" t="s">
        <v>7</v>
      </c>
    </row>
    <row r="254" spans="1:16">
      <c r="A254" t="s">
        <v>751</v>
      </c>
      <c r="B254" t="s">
        <v>897</v>
      </c>
      <c r="C254">
        <v>0.2</v>
      </c>
      <c r="D254" t="s">
        <v>760</v>
      </c>
      <c r="E254" t="s">
        <v>956</v>
      </c>
      <c r="F254" t="s">
        <v>960</v>
      </c>
      <c r="G254" t="s">
        <v>897</v>
      </c>
      <c r="H254">
        <v>4.306</v>
      </c>
      <c r="J254">
        <v>108288938</v>
      </c>
      <c r="K254" s="2">
        <v>45962</v>
      </c>
      <c r="L254">
        <v>5</v>
      </c>
      <c r="M254">
        <v>1</v>
      </c>
      <c r="N254">
        <v>0</v>
      </c>
      <c r="O254">
        <v>1</v>
      </c>
      <c r="P254" t="s">
        <v>7</v>
      </c>
    </row>
    <row r="255" spans="1:16">
      <c r="A255" t="s">
        <v>751</v>
      </c>
      <c r="B255" t="s">
        <v>897</v>
      </c>
      <c r="C255">
        <v>0.5</v>
      </c>
      <c r="D255" t="s">
        <v>753</v>
      </c>
      <c r="E255" t="s">
        <v>956</v>
      </c>
      <c r="F255" t="s">
        <v>960</v>
      </c>
      <c r="G255" t="s">
        <v>897</v>
      </c>
      <c r="H255">
        <v>4.6059999999999999</v>
      </c>
      <c r="J255">
        <v>107534530</v>
      </c>
      <c r="K255" s="2">
        <v>45249</v>
      </c>
      <c r="L255">
        <v>19</v>
      </c>
      <c r="M255">
        <v>1</v>
      </c>
      <c r="N255">
        <v>0</v>
      </c>
      <c r="O255">
        <v>1</v>
      </c>
      <c r="P255" t="s">
        <v>7</v>
      </c>
    </row>
    <row r="256" spans="1:16">
      <c r="A256" t="s">
        <v>751</v>
      </c>
      <c r="B256" t="s">
        <v>897</v>
      </c>
      <c r="C256">
        <v>0.25</v>
      </c>
      <c r="D256" t="s">
        <v>755</v>
      </c>
      <c r="E256" t="s">
        <v>960</v>
      </c>
      <c r="F256" t="s">
        <v>961</v>
      </c>
      <c r="G256" t="s">
        <v>897</v>
      </c>
      <c r="H256">
        <v>4.7610000000000001</v>
      </c>
      <c r="J256">
        <v>108195324</v>
      </c>
      <c r="K256" s="2">
        <v>45875</v>
      </c>
      <c r="L256">
        <v>19</v>
      </c>
      <c r="M256">
        <v>2</v>
      </c>
      <c r="N256">
        <v>0</v>
      </c>
      <c r="O256">
        <v>1</v>
      </c>
      <c r="P256" t="s">
        <v>7</v>
      </c>
    </row>
    <row r="257" spans="1:16">
      <c r="A257" t="s">
        <v>751</v>
      </c>
      <c r="B257" t="s">
        <v>897</v>
      </c>
      <c r="C257">
        <v>0.1</v>
      </c>
      <c r="D257" t="s">
        <v>755</v>
      </c>
      <c r="E257" t="s">
        <v>962</v>
      </c>
      <c r="F257" t="s">
        <v>956</v>
      </c>
      <c r="G257" t="s">
        <v>897</v>
      </c>
      <c r="H257">
        <v>999.99900000000002</v>
      </c>
      <c r="J257">
        <v>108090079</v>
      </c>
      <c r="K257" s="2">
        <v>45771</v>
      </c>
      <c r="L257">
        <v>19</v>
      </c>
      <c r="M257">
        <v>1</v>
      </c>
      <c r="N257">
        <v>0</v>
      </c>
      <c r="O257">
        <v>1</v>
      </c>
      <c r="P257" t="s">
        <v>3</v>
      </c>
    </row>
    <row r="258" spans="1:16">
      <c r="A258" t="s">
        <v>751</v>
      </c>
      <c r="B258" t="s">
        <v>897</v>
      </c>
      <c r="C258">
        <v>0</v>
      </c>
      <c r="E258" t="s">
        <v>963</v>
      </c>
      <c r="F258" t="s">
        <v>899</v>
      </c>
      <c r="G258" t="s">
        <v>897</v>
      </c>
      <c r="H258">
        <v>999.99900000000002</v>
      </c>
      <c r="J258">
        <v>105865220</v>
      </c>
      <c r="K258" s="2">
        <v>43599</v>
      </c>
      <c r="L258">
        <v>30</v>
      </c>
      <c r="M258">
        <v>1</v>
      </c>
      <c r="N258">
        <v>7</v>
      </c>
      <c r="O258">
        <v>1</v>
      </c>
      <c r="P258" t="s">
        <v>8</v>
      </c>
    </row>
    <row r="259" spans="1:16">
      <c r="A259" t="s">
        <v>867</v>
      </c>
      <c r="B259" t="s">
        <v>897</v>
      </c>
      <c r="C259">
        <v>0</v>
      </c>
      <c r="E259" t="s">
        <v>945</v>
      </c>
      <c r="F259" t="s">
        <v>883</v>
      </c>
      <c r="G259" t="s">
        <v>897</v>
      </c>
      <c r="H259">
        <v>999.99900000000002</v>
      </c>
      <c r="J259">
        <v>108097246</v>
      </c>
      <c r="K259" s="2">
        <v>45765</v>
      </c>
      <c r="L259">
        <v>30</v>
      </c>
      <c r="M259">
        <v>1</v>
      </c>
      <c r="N259">
        <v>0</v>
      </c>
      <c r="O259">
        <v>1</v>
      </c>
      <c r="P259" t="s">
        <v>7</v>
      </c>
    </row>
    <row r="260" spans="1:16">
      <c r="A260" t="s">
        <v>751</v>
      </c>
      <c r="B260" t="s">
        <v>897</v>
      </c>
      <c r="C260">
        <v>0</v>
      </c>
      <c r="E260" t="s">
        <v>945</v>
      </c>
      <c r="F260" t="s">
        <v>883</v>
      </c>
      <c r="G260" t="s">
        <v>897</v>
      </c>
      <c r="H260">
        <v>999.99900000000002</v>
      </c>
      <c r="J260">
        <v>107609658</v>
      </c>
      <c r="K260" s="2">
        <v>45321</v>
      </c>
      <c r="L260">
        <v>21</v>
      </c>
      <c r="M260">
        <v>1</v>
      </c>
      <c r="N260">
        <v>7</v>
      </c>
      <c r="O260">
        <v>1</v>
      </c>
      <c r="P260" t="s">
        <v>3</v>
      </c>
    </row>
    <row r="261" spans="1:16">
      <c r="A261" t="s">
        <v>867</v>
      </c>
      <c r="B261" t="s">
        <v>897</v>
      </c>
      <c r="C261">
        <v>0</v>
      </c>
      <c r="D261" t="s">
        <v>6</v>
      </c>
      <c r="E261" t="s">
        <v>945</v>
      </c>
      <c r="F261" t="s">
        <v>949</v>
      </c>
      <c r="G261" t="s">
        <v>897</v>
      </c>
      <c r="H261">
        <v>999.99900000000002</v>
      </c>
      <c r="J261">
        <v>107219393</v>
      </c>
      <c r="K261" s="2">
        <v>44943</v>
      </c>
      <c r="L261">
        <v>21</v>
      </c>
      <c r="M261">
        <v>2</v>
      </c>
      <c r="N261">
        <v>7</v>
      </c>
      <c r="O261">
        <v>1</v>
      </c>
      <c r="P261" t="s">
        <v>3</v>
      </c>
    </row>
    <row r="262" spans="1:16">
      <c r="A262" t="s">
        <v>751</v>
      </c>
      <c r="B262" t="s">
        <v>897</v>
      </c>
      <c r="C262">
        <v>0.2</v>
      </c>
      <c r="D262" t="s">
        <v>753</v>
      </c>
      <c r="E262" t="s">
        <v>964</v>
      </c>
      <c r="F262" t="s">
        <v>899</v>
      </c>
      <c r="G262" t="s">
        <v>897</v>
      </c>
      <c r="H262">
        <v>999.99900000000002</v>
      </c>
      <c r="J262">
        <v>105058532</v>
      </c>
      <c r="K262" s="2">
        <v>42823</v>
      </c>
      <c r="L262">
        <v>21</v>
      </c>
      <c r="M262">
        <v>1</v>
      </c>
      <c r="N262">
        <v>0</v>
      </c>
      <c r="O262">
        <v>1</v>
      </c>
      <c r="P262" t="s">
        <v>3</v>
      </c>
    </row>
    <row r="263" spans="1:16">
      <c r="A263" t="s">
        <v>751</v>
      </c>
      <c r="B263" t="s">
        <v>897</v>
      </c>
      <c r="C263">
        <v>0.2</v>
      </c>
      <c r="D263" t="s">
        <v>753</v>
      </c>
      <c r="E263" t="s">
        <v>965</v>
      </c>
      <c r="F263" t="s">
        <v>960</v>
      </c>
      <c r="G263" t="s">
        <v>897</v>
      </c>
      <c r="H263">
        <v>999.99900000000002</v>
      </c>
      <c r="J263">
        <v>105123982</v>
      </c>
      <c r="K263" s="2">
        <v>42888</v>
      </c>
      <c r="L263">
        <v>23</v>
      </c>
      <c r="M263">
        <v>1</v>
      </c>
      <c r="N263">
        <v>5</v>
      </c>
      <c r="O263">
        <v>1</v>
      </c>
      <c r="P263" t="s">
        <v>3</v>
      </c>
    </row>
    <row r="264" spans="1:16">
      <c r="A264" t="s">
        <v>751</v>
      </c>
      <c r="B264" t="s">
        <v>943</v>
      </c>
      <c r="C264">
        <v>0.6</v>
      </c>
      <c r="D264" t="s">
        <v>6</v>
      </c>
      <c r="E264" t="s">
        <v>949</v>
      </c>
      <c r="F264" t="s">
        <v>966</v>
      </c>
      <c r="G264" t="s">
        <v>943</v>
      </c>
      <c r="H264">
        <v>0.90400000000000003</v>
      </c>
      <c r="J264">
        <v>105563645</v>
      </c>
      <c r="K264" s="2">
        <v>43315</v>
      </c>
      <c r="L264">
        <v>21</v>
      </c>
      <c r="M264">
        <v>2</v>
      </c>
      <c r="N264">
        <v>4</v>
      </c>
      <c r="O264">
        <v>1</v>
      </c>
      <c r="P264" t="s">
        <v>7</v>
      </c>
    </row>
    <row r="265" spans="1:16">
      <c r="A265" t="s">
        <v>867</v>
      </c>
      <c r="B265" t="s">
        <v>903</v>
      </c>
      <c r="C265">
        <v>0.01</v>
      </c>
      <c r="D265" t="s">
        <v>753</v>
      </c>
      <c r="E265" t="s">
        <v>762</v>
      </c>
      <c r="F265" t="s">
        <v>967</v>
      </c>
      <c r="G265" t="s">
        <v>943</v>
      </c>
      <c r="H265">
        <v>1.139</v>
      </c>
      <c r="J265">
        <v>106785794</v>
      </c>
      <c r="K265" s="2">
        <v>44501</v>
      </c>
      <c r="L265">
        <v>1</v>
      </c>
      <c r="M265">
        <v>1</v>
      </c>
      <c r="N265">
        <v>0</v>
      </c>
      <c r="O265">
        <v>1</v>
      </c>
      <c r="P265" t="s">
        <v>7</v>
      </c>
    </row>
    <row r="266" spans="1:16">
      <c r="A266" t="s">
        <v>867</v>
      </c>
      <c r="B266" t="s">
        <v>903</v>
      </c>
      <c r="C266">
        <v>0</v>
      </c>
      <c r="E266" t="s">
        <v>762</v>
      </c>
      <c r="F266" t="s">
        <v>924</v>
      </c>
      <c r="G266" t="s">
        <v>943</v>
      </c>
      <c r="H266">
        <v>1.149</v>
      </c>
      <c r="J266">
        <v>108127473</v>
      </c>
      <c r="K266" s="2">
        <v>45808</v>
      </c>
      <c r="L266">
        <v>31</v>
      </c>
      <c r="M266">
        <v>1</v>
      </c>
      <c r="N266">
        <v>0</v>
      </c>
      <c r="O266">
        <v>1</v>
      </c>
      <c r="P266" t="s">
        <v>7</v>
      </c>
    </row>
    <row r="267" spans="1:16">
      <c r="A267" t="s">
        <v>867</v>
      </c>
      <c r="B267" t="s">
        <v>762</v>
      </c>
      <c r="C267">
        <v>0</v>
      </c>
      <c r="E267" t="s">
        <v>903</v>
      </c>
      <c r="F267" t="s">
        <v>762</v>
      </c>
      <c r="G267" t="s">
        <v>943</v>
      </c>
      <c r="H267">
        <v>1.149</v>
      </c>
      <c r="J267">
        <v>108324306</v>
      </c>
      <c r="K267" s="2">
        <v>45992</v>
      </c>
      <c r="L267">
        <v>1</v>
      </c>
      <c r="M267">
        <v>1</v>
      </c>
      <c r="N267">
        <v>0</v>
      </c>
      <c r="O267">
        <v>1</v>
      </c>
    </row>
    <row r="268" spans="1:16">
      <c r="A268" t="s">
        <v>867</v>
      </c>
      <c r="B268" t="s">
        <v>762</v>
      </c>
      <c r="C268">
        <v>0</v>
      </c>
      <c r="D268" t="s">
        <v>753</v>
      </c>
      <c r="E268" t="s">
        <v>903</v>
      </c>
      <c r="F268" t="s">
        <v>762</v>
      </c>
      <c r="G268" t="s">
        <v>943</v>
      </c>
      <c r="H268">
        <v>1.149</v>
      </c>
      <c r="J268">
        <v>106307253</v>
      </c>
      <c r="K268" s="2">
        <v>44053</v>
      </c>
      <c r="L268">
        <v>1</v>
      </c>
      <c r="M268">
        <v>1</v>
      </c>
      <c r="N268">
        <v>0</v>
      </c>
      <c r="O268">
        <v>1</v>
      </c>
      <c r="P268" t="s">
        <v>7</v>
      </c>
    </row>
    <row r="269" spans="1:16">
      <c r="A269" t="s">
        <v>867</v>
      </c>
      <c r="B269" t="s">
        <v>762</v>
      </c>
      <c r="C269">
        <v>1.9E-2</v>
      </c>
      <c r="D269" t="s">
        <v>6</v>
      </c>
      <c r="E269" t="s">
        <v>903</v>
      </c>
      <c r="F269" t="s">
        <v>891</v>
      </c>
      <c r="G269" t="s">
        <v>943</v>
      </c>
      <c r="H269">
        <v>1.149</v>
      </c>
      <c r="J269">
        <v>105034371</v>
      </c>
      <c r="K269" s="2">
        <v>42804</v>
      </c>
      <c r="L269">
        <v>31</v>
      </c>
      <c r="M269">
        <v>1</v>
      </c>
      <c r="N269">
        <v>0</v>
      </c>
      <c r="O269">
        <v>1</v>
      </c>
      <c r="P269" t="s">
        <v>7</v>
      </c>
    </row>
    <row r="270" spans="1:16">
      <c r="A270" t="s">
        <v>867</v>
      </c>
      <c r="B270" t="s">
        <v>762</v>
      </c>
      <c r="C270">
        <v>1.9E-2</v>
      </c>
      <c r="D270" t="s">
        <v>6</v>
      </c>
      <c r="E270" t="s">
        <v>932</v>
      </c>
      <c r="F270" t="s">
        <v>903</v>
      </c>
      <c r="G270" t="s">
        <v>943</v>
      </c>
      <c r="H270">
        <v>1.214</v>
      </c>
      <c r="J270">
        <v>105988532</v>
      </c>
      <c r="K270" s="2">
        <v>43722</v>
      </c>
      <c r="L270">
        <v>30</v>
      </c>
      <c r="M270">
        <v>1</v>
      </c>
      <c r="N270">
        <v>0</v>
      </c>
      <c r="O270">
        <v>1</v>
      </c>
      <c r="P270" t="s">
        <v>7</v>
      </c>
    </row>
    <row r="271" spans="1:16">
      <c r="A271" t="s">
        <v>867</v>
      </c>
      <c r="B271" t="s">
        <v>762</v>
      </c>
      <c r="C271">
        <v>1.9E-2</v>
      </c>
      <c r="D271" t="s">
        <v>754</v>
      </c>
      <c r="E271" t="s">
        <v>927</v>
      </c>
      <c r="F271" t="s">
        <v>762</v>
      </c>
      <c r="G271" t="s">
        <v>943</v>
      </c>
      <c r="H271">
        <v>1.2749999999999999</v>
      </c>
      <c r="J271">
        <v>106352948</v>
      </c>
      <c r="K271" s="2">
        <v>44096</v>
      </c>
      <c r="L271">
        <v>20</v>
      </c>
      <c r="M271">
        <v>1</v>
      </c>
      <c r="N271">
        <v>0</v>
      </c>
      <c r="O271">
        <v>1</v>
      </c>
      <c r="P271" t="s">
        <v>7</v>
      </c>
    </row>
    <row r="272" spans="1:16">
      <c r="A272" t="s">
        <v>867</v>
      </c>
      <c r="B272" t="s">
        <v>762</v>
      </c>
      <c r="C272">
        <v>0</v>
      </c>
      <c r="E272" t="s">
        <v>869</v>
      </c>
      <c r="F272" t="s">
        <v>887</v>
      </c>
      <c r="G272" t="s">
        <v>943</v>
      </c>
      <c r="H272">
        <v>1.36</v>
      </c>
      <c r="J272">
        <v>107863132</v>
      </c>
      <c r="K272" s="2">
        <v>45555</v>
      </c>
      <c r="L272">
        <v>28</v>
      </c>
      <c r="M272">
        <v>1</v>
      </c>
      <c r="N272">
        <v>10</v>
      </c>
      <c r="O272">
        <v>1</v>
      </c>
      <c r="P272" t="s">
        <v>7</v>
      </c>
    </row>
    <row r="273" spans="1:16">
      <c r="A273" t="s">
        <v>867</v>
      </c>
      <c r="B273" t="s">
        <v>762</v>
      </c>
      <c r="C273">
        <v>0</v>
      </c>
      <c r="E273" t="s">
        <v>869</v>
      </c>
      <c r="F273" t="s">
        <v>869</v>
      </c>
      <c r="G273" t="s">
        <v>943</v>
      </c>
      <c r="H273">
        <v>1.36</v>
      </c>
      <c r="J273">
        <v>107674222</v>
      </c>
      <c r="K273" s="2">
        <v>45384</v>
      </c>
      <c r="L273">
        <v>30</v>
      </c>
      <c r="M273">
        <v>1</v>
      </c>
      <c r="N273">
        <v>0</v>
      </c>
      <c r="O273">
        <v>1</v>
      </c>
      <c r="P273" t="s">
        <v>7</v>
      </c>
    </row>
    <row r="274" spans="1:16">
      <c r="A274" t="s">
        <v>867</v>
      </c>
      <c r="B274" t="s">
        <v>762</v>
      </c>
      <c r="C274">
        <v>0</v>
      </c>
      <c r="E274" t="s">
        <v>869</v>
      </c>
      <c r="F274" t="s">
        <v>869</v>
      </c>
      <c r="G274" t="s">
        <v>943</v>
      </c>
      <c r="H274">
        <v>1.36</v>
      </c>
      <c r="J274">
        <v>107479858</v>
      </c>
      <c r="K274" s="2">
        <v>45191</v>
      </c>
      <c r="L274">
        <v>31</v>
      </c>
      <c r="M274">
        <v>1</v>
      </c>
      <c r="N274">
        <v>0</v>
      </c>
      <c r="O274">
        <v>1</v>
      </c>
      <c r="P274" t="s">
        <v>7</v>
      </c>
    </row>
    <row r="275" spans="1:16">
      <c r="A275" t="s">
        <v>867</v>
      </c>
      <c r="B275" t="s">
        <v>762</v>
      </c>
      <c r="C275">
        <v>0</v>
      </c>
      <c r="E275" t="s">
        <v>869</v>
      </c>
      <c r="F275" t="s">
        <v>891</v>
      </c>
      <c r="G275" t="s">
        <v>943</v>
      </c>
      <c r="H275">
        <v>1.36</v>
      </c>
      <c r="J275">
        <v>106594525</v>
      </c>
      <c r="K275" s="2">
        <v>44342</v>
      </c>
      <c r="L275">
        <v>23</v>
      </c>
      <c r="M275">
        <v>1</v>
      </c>
      <c r="N275">
        <v>8</v>
      </c>
      <c r="O275">
        <v>1</v>
      </c>
      <c r="P275" t="s">
        <v>7</v>
      </c>
    </row>
    <row r="276" spans="1:16">
      <c r="A276" t="s">
        <v>867</v>
      </c>
      <c r="B276" t="s">
        <v>762</v>
      </c>
      <c r="C276">
        <v>0</v>
      </c>
      <c r="E276" t="s">
        <v>869</v>
      </c>
      <c r="F276" t="s">
        <v>924</v>
      </c>
      <c r="G276" t="s">
        <v>943</v>
      </c>
      <c r="H276">
        <v>1.36</v>
      </c>
      <c r="J276">
        <v>106412908</v>
      </c>
      <c r="K276" s="2">
        <v>44152</v>
      </c>
      <c r="L276">
        <v>20</v>
      </c>
      <c r="M276">
        <v>1</v>
      </c>
      <c r="N276">
        <v>0</v>
      </c>
      <c r="O276">
        <v>1</v>
      </c>
    </row>
    <row r="277" spans="1:16">
      <c r="A277" t="s">
        <v>867</v>
      </c>
      <c r="B277" t="s">
        <v>762</v>
      </c>
      <c r="C277">
        <v>0</v>
      </c>
      <c r="E277" t="s">
        <v>869</v>
      </c>
      <c r="F277" t="s">
        <v>891</v>
      </c>
      <c r="G277" t="s">
        <v>943</v>
      </c>
      <c r="H277">
        <v>1.36</v>
      </c>
      <c r="J277">
        <v>108089406</v>
      </c>
      <c r="K277" s="2">
        <v>45771</v>
      </c>
      <c r="L277">
        <v>31</v>
      </c>
      <c r="M277">
        <v>1</v>
      </c>
      <c r="N277">
        <v>0</v>
      </c>
      <c r="O277">
        <v>1</v>
      </c>
      <c r="P277" t="s">
        <v>7</v>
      </c>
    </row>
    <row r="278" spans="1:16">
      <c r="A278" t="s">
        <v>867</v>
      </c>
      <c r="B278" t="s">
        <v>762</v>
      </c>
      <c r="C278">
        <v>0</v>
      </c>
      <c r="E278" t="s">
        <v>869</v>
      </c>
      <c r="F278" t="s">
        <v>968</v>
      </c>
      <c r="G278" t="s">
        <v>943</v>
      </c>
      <c r="H278">
        <v>1.36</v>
      </c>
      <c r="J278">
        <v>105478298</v>
      </c>
      <c r="K278" s="2">
        <v>43234</v>
      </c>
      <c r="L278">
        <v>20</v>
      </c>
      <c r="M278">
        <v>1</v>
      </c>
      <c r="N278">
        <v>0</v>
      </c>
      <c r="O278">
        <v>1</v>
      </c>
      <c r="P278" t="s">
        <v>7</v>
      </c>
    </row>
    <row r="279" spans="1:16">
      <c r="A279" t="s">
        <v>867</v>
      </c>
      <c r="B279" t="s">
        <v>762</v>
      </c>
      <c r="C279">
        <v>0</v>
      </c>
      <c r="E279" t="s">
        <v>869</v>
      </c>
      <c r="F279" t="s">
        <v>924</v>
      </c>
      <c r="G279" t="s">
        <v>943</v>
      </c>
      <c r="H279">
        <v>1.36</v>
      </c>
      <c r="J279">
        <v>107982237</v>
      </c>
      <c r="K279" s="2">
        <v>45665</v>
      </c>
      <c r="L279">
        <v>26</v>
      </c>
      <c r="M279">
        <v>1</v>
      </c>
      <c r="N279">
        <v>10</v>
      </c>
      <c r="O279">
        <v>1</v>
      </c>
    </row>
    <row r="280" spans="1:16">
      <c r="A280" t="s">
        <v>867</v>
      </c>
      <c r="B280" t="s">
        <v>762</v>
      </c>
      <c r="C280">
        <v>0</v>
      </c>
      <c r="E280" t="s">
        <v>869</v>
      </c>
      <c r="F280" t="s">
        <v>891</v>
      </c>
      <c r="G280" t="s">
        <v>943</v>
      </c>
      <c r="H280">
        <v>1.36</v>
      </c>
      <c r="J280">
        <v>105329673</v>
      </c>
      <c r="K280" s="2">
        <v>43089</v>
      </c>
      <c r="L280">
        <v>30</v>
      </c>
      <c r="M280">
        <v>2</v>
      </c>
      <c r="N280">
        <v>7</v>
      </c>
      <c r="O280">
        <v>1</v>
      </c>
      <c r="P280" t="s">
        <v>7</v>
      </c>
    </row>
    <row r="281" spans="1:16">
      <c r="A281" t="s">
        <v>867</v>
      </c>
      <c r="B281" t="s">
        <v>762</v>
      </c>
      <c r="C281">
        <v>0</v>
      </c>
      <c r="E281" t="s">
        <v>869</v>
      </c>
      <c r="F281" t="s">
        <v>762</v>
      </c>
      <c r="G281" t="s">
        <v>943</v>
      </c>
      <c r="H281">
        <v>1.36</v>
      </c>
      <c r="J281">
        <v>107817083</v>
      </c>
      <c r="K281" s="2">
        <v>45505</v>
      </c>
      <c r="L281">
        <v>21</v>
      </c>
      <c r="M281">
        <v>1</v>
      </c>
      <c r="N281">
        <v>0</v>
      </c>
      <c r="O281">
        <v>1</v>
      </c>
      <c r="P281" t="s">
        <v>7</v>
      </c>
    </row>
    <row r="282" spans="1:16">
      <c r="A282" t="s">
        <v>867</v>
      </c>
      <c r="B282" t="s">
        <v>872</v>
      </c>
      <c r="C282">
        <v>0</v>
      </c>
      <c r="E282" t="s">
        <v>969</v>
      </c>
      <c r="F282" t="s">
        <v>869</v>
      </c>
      <c r="G282" t="s">
        <v>943</v>
      </c>
      <c r="H282">
        <v>1.36</v>
      </c>
      <c r="J282">
        <v>107433763</v>
      </c>
      <c r="K282" s="2">
        <v>45162</v>
      </c>
      <c r="L282">
        <v>31</v>
      </c>
      <c r="M282">
        <v>1</v>
      </c>
      <c r="N282">
        <v>0</v>
      </c>
      <c r="O282">
        <v>1</v>
      </c>
    </row>
    <row r="283" spans="1:16">
      <c r="A283" t="s">
        <v>867</v>
      </c>
      <c r="B283" t="s">
        <v>762</v>
      </c>
      <c r="C283">
        <v>1.9E-2</v>
      </c>
      <c r="D283" t="s">
        <v>754</v>
      </c>
      <c r="E283" t="s">
        <v>869</v>
      </c>
      <c r="F283" t="s">
        <v>762</v>
      </c>
      <c r="G283" t="s">
        <v>943</v>
      </c>
      <c r="H283">
        <v>1.379</v>
      </c>
      <c r="J283">
        <v>105774815</v>
      </c>
      <c r="K283" s="2">
        <v>43511</v>
      </c>
      <c r="L283">
        <v>31</v>
      </c>
      <c r="M283">
        <v>1</v>
      </c>
      <c r="N283">
        <v>0</v>
      </c>
      <c r="O283">
        <v>1</v>
      </c>
      <c r="P283" t="s">
        <v>7</v>
      </c>
    </row>
    <row r="284" spans="1:16">
      <c r="A284" t="s">
        <v>867</v>
      </c>
      <c r="B284" t="s">
        <v>762</v>
      </c>
      <c r="C284">
        <v>1.9E-2</v>
      </c>
      <c r="D284" t="s">
        <v>761</v>
      </c>
      <c r="E284" t="s">
        <v>869</v>
      </c>
      <c r="F284" t="s">
        <v>968</v>
      </c>
      <c r="G284" t="s">
        <v>943</v>
      </c>
      <c r="H284">
        <v>1.379</v>
      </c>
      <c r="J284">
        <v>108004793</v>
      </c>
      <c r="K284" s="2">
        <v>45682</v>
      </c>
      <c r="L284">
        <v>30</v>
      </c>
      <c r="M284">
        <v>1</v>
      </c>
      <c r="N284">
        <v>0</v>
      </c>
      <c r="O284">
        <v>1</v>
      </c>
      <c r="P284" t="s">
        <v>7</v>
      </c>
    </row>
    <row r="285" spans="1:16">
      <c r="A285" t="s">
        <v>867</v>
      </c>
      <c r="B285" t="s">
        <v>762</v>
      </c>
      <c r="C285">
        <v>9.5000000000000001E-2</v>
      </c>
      <c r="D285" t="s">
        <v>6</v>
      </c>
      <c r="E285" t="s">
        <v>970</v>
      </c>
      <c r="F285" t="s">
        <v>968</v>
      </c>
      <c r="G285" t="s">
        <v>943</v>
      </c>
      <c r="H285">
        <v>1.3819999999999999</v>
      </c>
      <c r="J285">
        <v>107020234</v>
      </c>
      <c r="K285" s="2">
        <v>44756</v>
      </c>
      <c r="L285">
        <v>31</v>
      </c>
      <c r="M285">
        <v>1</v>
      </c>
      <c r="N285">
        <v>0</v>
      </c>
      <c r="O285">
        <v>1</v>
      </c>
      <c r="P285" t="s">
        <v>7</v>
      </c>
    </row>
    <row r="286" spans="1:16">
      <c r="A286" t="s">
        <v>867</v>
      </c>
      <c r="B286" t="s">
        <v>762</v>
      </c>
      <c r="C286">
        <v>0.114</v>
      </c>
      <c r="D286" t="s">
        <v>6</v>
      </c>
      <c r="E286" t="s">
        <v>891</v>
      </c>
      <c r="F286" t="s">
        <v>869</v>
      </c>
      <c r="G286" t="s">
        <v>943</v>
      </c>
      <c r="H286">
        <v>1.39</v>
      </c>
      <c r="J286">
        <v>105255322</v>
      </c>
      <c r="K286" s="2">
        <v>43025</v>
      </c>
      <c r="L286">
        <v>31</v>
      </c>
      <c r="M286">
        <v>1</v>
      </c>
      <c r="N286">
        <v>0</v>
      </c>
      <c r="O286">
        <v>1</v>
      </c>
      <c r="P286" t="s">
        <v>7</v>
      </c>
    </row>
    <row r="287" spans="1:16">
      <c r="A287" t="s">
        <v>867</v>
      </c>
      <c r="B287" t="s">
        <v>762</v>
      </c>
      <c r="C287">
        <v>3.7999999999999999E-2</v>
      </c>
      <c r="D287" t="s">
        <v>754</v>
      </c>
      <c r="E287" t="s">
        <v>869</v>
      </c>
      <c r="F287" t="s">
        <v>968</v>
      </c>
      <c r="G287" t="s">
        <v>943</v>
      </c>
      <c r="H287">
        <v>1.3979999999999999</v>
      </c>
      <c r="J287">
        <v>105555859</v>
      </c>
      <c r="K287" s="2">
        <v>43311</v>
      </c>
      <c r="L287">
        <v>20</v>
      </c>
      <c r="M287">
        <v>1</v>
      </c>
      <c r="N287">
        <v>0</v>
      </c>
      <c r="O287">
        <v>1</v>
      </c>
    </row>
    <row r="288" spans="1:16">
      <c r="A288" t="s">
        <v>751</v>
      </c>
      <c r="B288" t="s">
        <v>943</v>
      </c>
      <c r="C288">
        <v>0.1</v>
      </c>
      <c r="D288" t="s">
        <v>753</v>
      </c>
      <c r="E288" t="s">
        <v>949</v>
      </c>
      <c r="F288" t="s">
        <v>971</v>
      </c>
      <c r="G288" t="s">
        <v>943</v>
      </c>
      <c r="H288">
        <v>1.4039999999999999</v>
      </c>
      <c r="J288">
        <v>107150708</v>
      </c>
      <c r="K288" s="2">
        <v>44880</v>
      </c>
      <c r="L288">
        <v>19</v>
      </c>
      <c r="M288">
        <v>1</v>
      </c>
      <c r="N288">
        <v>0</v>
      </c>
      <c r="O288">
        <v>4</v>
      </c>
    </row>
    <row r="289" spans="1:16">
      <c r="A289" t="s">
        <v>867</v>
      </c>
      <c r="B289" t="s">
        <v>762</v>
      </c>
      <c r="C289">
        <v>0</v>
      </c>
      <c r="E289" t="s">
        <v>968</v>
      </c>
      <c r="F289" t="s">
        <v>968</v>
      </c>
      <c r="G289" t="s">
        <v>943</v>
      </c>
      <c r="H289">
        <v>1.421</v>
      </c>
      <c r="J289">
        <v>106915254</v>
      </c>
      <c r="K289" s="2">
        <v>44572</v>
      </c>
      <c r="L289">
        <v>18</v>
      </c>
      <c r="M289">
        <v>1</v>
      </c>
      <c r="N289">
        <v>0</v>
      </c>
      <c r="O289">
        <v>1</v>
      </c>
    </row>
    <row r="290" spans="1:16">
      <c r="A290" t="s">
        <v>867</v>
      </c>
      <c r="B290" t="s">
        <v>762</v>
      </c>
      <c r="C290">
        <v>0</v>
      </c>
      <c r="E290" t="s">
        <v>968</v>
      </c>
      <c r="F290" t="s">
        <v>869</v>
      </c>
      <c r="G290" t="s">
        <v>943</v>
      </c>
      <c r="H290">
        <v>1.421</v>
      </c>
      <c r="J290">
        <v>106197362</v>
      </c>
      <c r="K290" s="2">
        <v>43915</v>
      </c>
      <c r="L290">
        <v>21</v>
      </c>
      <c r="M290">
        <v>2</v>
      </c>
      <c r="N290">
        <v>8</v>
      </c>
      <c r="O290">
        <v>1</v>
      </c>
      <c r="P290" t="s">
        <v>7</v>
      </c>
    </row>
    <row r="291" spans="1:16">
      <c r="A291" t="s">
        <v>867</v>
      </c>
      <c r="B291" t="s">
        <v>762</v>
      </c>
      <c r="C291">
        <v>0</v>
      </c>
      <c r="E291" t="s">
        <v>968</v>
      </c>
      <c r="F291" t="s">
        <v>869</v>
      </c>
      <c r="G291" t="s">
        <v>943</v>
      </c>
      <c r="H291">
        <v>1.421</v>
      </c>
      <c r="J291">
        <v>105733123</v>
      </c>
      <c r="K291" s="2">
        <v>43467</v>
      </c>
      <c r="L291">
        <v>30</v>
      </c>
      <c r="M291">
        <v>1</v>
      </c>
      <c r="N291">
        <v>0</v>
      </c>
      <c r="O291">
        <v>1</v>
      </c>
      <c r="P291" t="s">
        <v>7</v>
      </c>
    </row>
    <row r="292" spans="1:16">
      <c r="A292" t="s">
        <v>867</v>
      </c>
      <c r="B292" t="s">
        <v>762</v>
      </c>
      <c r="C292">
        <v>0</v>
      </c>
      <c r="E292" t="s">
        <v>968</v>
      </c>
      <c r="F292" t="s">
        <v>891</v>
      </c>
      <c r="G292" t="s">
        <v>943</v>
      </c>
      <c r="H292">
        <v>1.421</v>
      </c>
      <c r="J292">
        <v>105481992</v>
      </c>
      <c r="K292" s="2">
        <v>43236</v>
      </c>
      <c r="L292">
        <v>28</v>
      </c>
      <c r="M292">
        <v>10</v>
      </c>
      <c r="N292">
        <v>0</v>
      </c>
      <c r="O292">
        <v>1</v>
      </c>
    </row>
    <row r="293" spans="1:16">
      <c r="A293" t="s">
        <v>867</v>
      </c>
      <c r="B293" t="s">
        <v>762</v>
      </c>
      <c r="C293">
        <v>0</v>
      </c>
      <c r="E293" t="s">
        <v>968</v>
      </c>
      <c r="F293" t="s">
        <v>762</v>
      </c>
      <c r="G293" t="s">
        <v>943</v>
      </c>
      <c r="H293">
        <v>1.421</v>
      </c>
      <c r="J293">
        <v>107470908</v>
      </c>
      <c r="K293" s="2">
        <v>45196</v>
      </c>
      <c r="L293">
        <v>21</v>
      </c>
      <c r="M293">
        <v>1</v>
      </c>
      <c r="N293">
        <v>0</v>
      </c>
      <c r="O293">
        <v>1</v>
      </c>
      <c r="P293" t="s">
        <v>7</v>
      </c>
    </row>
    <row r="294" spans="1:16">
      <c r="A294" t="s">
        <v>867</v>
      </c>
      <c r="B294" t="s">
        <v>762</v>
      </c>
      <c r="C294">
        <v>2.8000000000000001E-2</v>
      </c>
      <c r="D294" t="s">
        <v>754</v>
      </c>
      <c r="E294" t="s">
        <v>968</v>
      </c>
      <c r="F294" t="s">
        <v>869</v>
      </c>
      <c r="G294" t="s">
        <v>943</v>
      </c>
      <c r="H294">
        <v>1.4490000000000001</v>
      </c>
      <c r="J294">
        <v>107343387</v>
      </c>
      <c r="K294" s="2">
        <v>45063</v>
      </c>
      <c r="L294">
        <v>30</v>
      </c>
      <c r="M294">
        <v>1</v>
      </c>
      <c r="N294">
        <v>0</v>
      </c>
      <c r="O294">
        <v>1</v>
      </c>
    </row>
    <row r="295" spans="1:16">
      <c r="A295" t="s">
        <v>867</v>
      </c>
      <c r="B295" t="s">
        <v>762</v>
      </c>
      <c r="C295">
        <v>9.5000000000000001E-2</v>
      </c>
      <c r="D295" t="s">
        <v>754</v>
      </c>
      <c r="E295" t="s">
        <v>869</v>
      </c>
      <c r="F295" t="s">
        <v>927</v>
      </c>
      <c r="G295" t="s">
        <v>943</v>
      </c>
      <c r="H295">
        <v>1.4550000000000001</v>
      </c>
      <c r="J295">
        <v>106038134</v>
      </c>
      <c r="K295" s="2">
        <v>43763</v>
      </c>
      <c r="L295">
        <v>31</v>
      </c>
      <c r="M295">
        <v>1</v>
      </c>
      <c r="N295">
        <v>0</v>
      </c>
      <c r="O295">
        <v>1</v>
      </c>
      <c r="P295" t="s">
        <v>7</v>
      </c>
    </row>
    <row r="296" spans="1:16">
      <c r="A296" t="s">
        <v>867</v>
      </c>
      <c r="B296" t="s">
        <v>762</v>
      </c>
      <c r="C296">
        <v>6.0000000000000001E-3</v>
      </c>
      <c r="D296" t="s">
        <v>6</v>
      </c>
      <c r="E296" t="s">
        <v>970</v>
      </c>
      <c r="F296" t="s">
        <v>970</v>
      </c>
      <c r="G296" t="s">
        <v>943</v>
      </c>
      <c r="H296">
        <v>1.4710000000000001</v>
      </c>
      <c r="J296">
        <v>106346459</v>
      </c>
      <c r="K296" s="2">
        <v>44097</v>
      </c>
      <c r="L296">
        <v>30</v>
      </c>
      <c r="M296">
        <v>1</v>
      </c>
      <c r="N296">
        <v>0</v>
      </c>
      <c r="O296">
        <v>1</v>
      </c>
    </row>
    <row r="297" spans="1:16">
      <c r="A297" t="s">
        <v>867</v>
      </c>
      <c r="B297" t="s">
        <v>762</v>
      </c>
      <c r="C297">
        <v>2.8000000000000001E-2</v>
      </c>
      <c r="D297" t="s">
        <v>6</v>
      </c>
      <c r="E297" t="s">
        <v>891</v>
      </c>
      <c r="F297" t="s">
        <v>970</v>
      </c>
      <c r="G297" t="s">
        <v>943</v>
      </c>
      <c r="H297">
        <v>1.476</v>
      </c>
      <c r="J297">
        <v>105799613</v>
      </c>
      <c r="K297" s="2">
        <v>43535</v>
      </c>
      <c r="L297">
        <v>31</v>
      </c>
      <c r="M297">
        <v>1</v>
      </c>
      <c r="N297">
        <v>0</v>
      </c>
      <c r="O297">
        <v>1</v>
      </c>
      <c r="P297" t="s">
        <v>7</v>
      </c>
    </row>
    <row r="298" spans="1:16">
      <c r="A298" t="s">
        <v>867</v>
      </c>
      <c r="B298" t="s">
        <v>762</v>
      </c>
      <c r="C298">
        <v>0</v>
      </c>
      <c r="E298" t="s">
        <v>970</v>
      </c>
      <c r="F298" t="s">
        <v>970</v>
      </c>
      <c r="G298" t="s">
        <v>943</v>
      </c>
      <c r="H298">
        <v>1.4770000000000001</v>
      </c>
      <c r="J298">
        <v>108466832</v>
      </c>
      <c r="K298" s="2">
        <v>46128</v>
      </c>
      <c r="L298">
        <v>3</v>
      </c>
      <c r="M298">
        <v>1</v>
      </c>
      <c r="N298">
        <v>7</v>
      </c>
      <c r="O298">
        <v>1</v>
      </c>
      <c r="P298" t="s">
        <v>7</v>
      </c>
    </row>
    <row r="299" spans="1:16">
      <c r="A299" t="s">
        <v>867</v>
      </c>
      <c r="B299" t="s">
        <v>762</v>
      </c>
      <c r="C299">
        <v>0</v>
      </c>
      <c r="E299" t="s">
        <v>970</v>
      </c>
      <c r="F299" t="s">
        <v>891</v>
      </c>
      <c r="G299" t="s">
        <v>943</v>
      </c>
      <c r="H299">
        <v>1.4770000000000001</v>
      </c>
      <c r="J299">
        <v>107361796</v>
      </c>
      <c r="K299" s="2">
        <v>45087</v>
      </c>
      <c r="L299">
        <v>21</v>
      </c>
      <c r="M299">
        <v>1</v>
      </c>
      <c r="N299">
        <v>0</v>
      </c>
      <c r="O299">
        <v>1</v>
      </c>
    </row>
    <row r="300" spans="1:16">
      <c r="A300" t="s">
        <v>867</v>
      </c>
      <c r="B300" t="s">
        <v>762</v>
      </c>
      <c r="C300">
        <v>0</v>
      </c>
      <c r="E300" t="s">
        <v>970</v>
      </c>
      <c r="F300" t="s">
        <v>891</v>
      </c>
      <c r="G300" t="s">
        <v>943</v>
      </c>
      <c r="H300">
        <v>1.4770000000000001</v>
      </c>
      <c r="J300">
        <v>107223842</v>
      </c>
      <c r="K300" s="2">
        <v>44951</v>
      </c>
      <c r="L300">
        <v>31</v>
      </c>
      <c r="M300">
        <v>2</v>
      </c>
      <c r="N300">
        <v>0</v>
      </c>
      <c r="O300">
        <v>1</v>
      </c>
      <c r="P300" t="s">
        <v>7</v>
      </c>
    </row>
    <row r="301" spans="1:16">
      <c r="A301" t="s">
        <v>867</v>
      </c>
      <c r="B301" t="s">
        <v>972</v>
      </c>
      <c r="C301">
        <v>0</v>
      </c>
      <c r="E301" t="s">
        <v>762</v>
      </c>
      <c r="F301" t="s">
        <v>762</v>
      </c>
      <c r="G301" t="s">
        <v>943</v>
      </c>
      <c r="H301">
        <v>1.4770000000000001</v>
      </c>
      <c r="J301">
        <v>107358296</v>
      </c>
      <c r="K301" s="2">
        <v>45071</v>
      </c>
      <c r="L301">
        <v>20</v>
      </c>
      <c r="M301">
        <v>1</v>
      </c>
      <c r="N301">
        <v>0</v>
      </c>
      <c r="O301">
        <v>1</v>
      </c>
    </row>
    <row r="302" spans="1:16">
      <c r="A302" t="s">
        <v>867</v>
      </c>
      <c r="B302" t="s">
        <v>762</v>
      </c>
      <c r="C302">
        <v>1.0999999999999999E-2</v>
      </c>
      <c r="D302" t="s">
        <v>6</v>
      </c>
      <c r="E302" t="s">
        <v>891</v>
      </c>
      <c r="F302" t="s">
        <v>762</v>
      </c>
      <c r="G302" t="s">
        <v>943</v>
      </c>
      <c r="H302">
        <v>1.4930000000000001</v>
      </c>
      <c r="J302">
        <v>105803061</v>
      </c>
      <c r="K302" s="2">
        <v>43540</v>
      </c>
      <c r="L302">
        <v>32</v>
      </c>
      <c r="M302">
        <v>1</v>
      </c>
      <c r="N302">
        <v>0</v>
      </c>
      <c r="O302">
        <v>1</v>
      </c>
      <c r="P302" t="s">
        <v>7</v>
      </c>
    </row>
    <row r="303" spans="1:16">
      <c r="A303" t="s">
        <v>751</v>
      </c>
      <c r="B303" t="s">
        <v>943</v>
      </c>
      <c r="C303">
        <v>8.9999999999999993E-3</v>
      </c>
      <c r="D303" t="s">
        <v>6</v>
      </c>
      <c r="E303" t="s">
        <v>949</v>
      </c>
      <c r="F303" t="s">
        <v>966</v>
      </c>
      <c r="G303" t="s">
        <v>943</v>
      </c>
      <c r="H303">
        <v>1.4950000000000001</v>
      </c>
      <c r="J303">
        <v>105220466</v>
      </c>
      <c r="K303" s="2">
        <v>42991</v>
      </c>
      <c r="L303">
        <v>21</v>
      </c>
      <c r="M303">
        <v>1</v>
      </c>
      <c r="N303">
        <v>7</v>
      </c>
      <c r="O303">
        <v>1</v>
      </c>
      <c r="P303" t="s">
        <v>7</v>
      </c>
    </row>
    <row r="304" spans="1:16">
      <c r="A304" t="s">
        <v>867</v>
      </c>
      <c r="B304" t="s">
        <v>762</v>
      </c>
      <c r="C304">
        <v>0</v>
      </c>
      <c r="D304" t="s">
        <v>753</v>
      </c>
      <c r="E304" t="s">
        <v>891</v>
      </c>
      <c r="F304" t="s">
        <v>869</v>
      </c>
      <c r="G304" t="s">
        <v>943</v>
      </c>
      <c r="H304">
        <v>1.504</v>
      </c>
      <c r="J304">
        <v>105471861</v>
      </c>
      <c r="K304" s="2">
        <v>43228</v>
      </c>
      <c r="L304">
        <v>18</v>
      </c>
      <c r="M304">
        <v>1</v>
      </c>
      <c r="N304">
        <v>0</v>
      </c>
      <c r="O304">
        <v>1</v>
      </c>
      <c r="P304" t="s">
        <v>7</v>
      </c>
    </row>
    <row r="305" spans="1:19">
      <c r="A305" t="s">
        <v>867</v>
      </c>
      <c r="B305" t="s">
        <v>762</v>
      </c>
      <c r="C305">
        <v>1.9E-2</v>
      </c>
      <c r="D305" t="s">
        <v>754</v>
      </c>
      <c r="E305" t="s">
        <v>891</v>
      </c>
      <c r="F305" t="s">
        <v>891</v>
      </c>
      <c r="G305" t="s">
        <v>943</v>
      </c>
      <c r="H305">
        <v>1.504</v>
      </c>
      <c r="J305">
        <v>106990903</v>
      </c>
      <c r="K305" s="2">
        <v>44729</v>
      </c>
      <c r="L305">
        <v>31</v>
      </c>
      <c r="M305">
        <v>1</v>
      </c>
      <c r="N305">
        <v>0</v>
      </c>
      <c r="O305">
        <v>1</v>
      </c>
      <c r="P305" t="s">
        <v>7</v>
      </c>
    </row>
    <row r="306" spans="1:19">
      <c r="A306" t="s">
        <v>751</v>
      </c>
      <c r="B306" t="s">
        <v>943</v>
      </c>
      <c r="C306">
        <v>0.23</v>
      </c>
      <c r="D306" t="s">
        <v>754</v>
      </c>
      <c r="E306" t="s">
        <v>971</v>
      </c>
      <c r="F306" t="s">
        <v>949</v>
      </c>
      <c r="G306" t="s">
        <v>943</v>
      </c>
      <c r="H306">
        <v>999.99900000000002</v>
      </c>
      <c r="J306">
        <v>108357712</v>
      </c>
      <c r="K306" s="2">
        <v>46020</v>
      </c>
      <c r="L306">
        <v>28</v>
      </c>
      <c r="M306">
        <v>1</v>
      </c>
      <c r="N306">
        <v>0</v>
      </c>
      <c r="O306">
        <v>1</v>
      </c>
      <c r="P306" t="s">
        <v>7</v>
      </c>
      <c r="Q306">
        <v>36.309410999999997</v>
      </c>
      <c r="R306">
        <v>-78.555239999999998</v>
      </c>
      <c r="S306" t="s">
        <v>758</v>
      </c>
    </row>
    <row r="307" spans="1:19">
      <c r="A307" t="s">
        <v>751</v>
      </c>
      <c r="B307" t="s">
        <v>943</v>
      </c>
      <c r="C307">
        <v>1</v>
      </c>
      <c r="D307" t="s">
        <v>6</v>
      </c>
      <c r="E307" t="s">
        <v>973</v>
      </c>
      <c r="F307" t="s">
        <v>974</v>
      </c>
      <c r="G307" t="s">
        <v>943</v>
      </c>
      <c r="H307">
        <v>999.99900000000002</v>
      </c>
      <c r="J307">
        <v>107663764</v>
      </c>
      <c r="K307" s="2">
        <v>45367</v>
      </c>
      <c r="L307">
        <v>28</v>
      </c>
      <c r="M307">
        <v>1</v>
      </c>
      <c r="N307">
        <v>0</v>
      </c>
      <c r="O307">
        <v>1</v>
      </c>
      <c r="P307" t="s">
        <v>3</v>
      </c>
      <c r="Q307">
        <v>36.238799999999998</v>
      </c>
      <c r="R307">
        <v>-78.554450000000003</v>
      </c>
      <c r="S307" t="s">
        <v>758</v>
      </c>
    </row>
    <row r="308" spans="1:19">
      <c r="A308" t="s">
        <v>850</v>
      </c>
      <c r="B308" t="s">
        <v>762</v>
      </c>
      <c r="C308">
        <v>9.5000000000000001E-2</v>
      </c>
      <c r="D308" t="s">
        <v>754</v>
      </c>
      <c r="E308" t="s">
        <v>919</v>
      </c>
      <c r="F308" t="s">
        <v>941</v>
      </c>
      <c r="G308" t="s">
        <v>975</v>
      </c>
      <c r="H308">
        <v>9.5000000000000001E-2</v>
      </c>
      <c r="J308">
        <v>106258582</v>
      </c>
      <c r="K308" s="2">
        <v>44001</v>
      </c>
      <c r="L308">
        <v>21</v>
      </c>
      <c r="M308">
        <v>1</v>
      </c>
      <c r="N308">
        <v>0</v>
      </c>
      <c r="O308">
        <v>1</v>
      </c>
      <c r="P308" t="s">
        <v>7</v>
      </c>
    </row>
    <row r="309" spans="1:19">
      <c r="A309" t="s">
        <v>850</v>
      </c>
      <c r="B309" t="s">
        <v>762</v>
      </c>
      <c r="C309">
        <v>0</v>
      </c>
      <c r="E309" t="s">
        <v>976</v>
      </c>
      <c r="F309" t="s">
        <v>913</v>
      </c>
      <c r="G309" t="s">
        <v>975</v>
      </c>
      <c r="H309">
        <v>0.11</v>
      </c>
      <c r="J309">
        <v>105053295</v>
      </c>
      <c r="K309" s="2">
        <v>42815</v>
      </c>
      <c r="L309">
        <v>17</v>
      </c>
      <c r="M309">
        <v>1</v>
      </c>
      <c r="N309">
        <v>0</v>
      </c>
      <c r="O309">
        <v>1</v>
      </c>
      <c r="P309" t="s">
        <v>7</v>
      </c>
    </row>
    <row r="310" spans="1:19">
      <c r="A310" t="s">
        <v>850</v>
      </c>
      <c r="B310" t="s">
        <v>762</v>
      </c>
      <c r="C310">
        <v>6.6000000000000003E-2</v>
      </c>
      <c r="D310" t="s">
        <v>759</v>
      </c>
      <c r="E310" t="s">
        <v>941</v>
      </c>
      <c r="F310" t="s">
        <v>977</v>
      </c>
      <c r="G310" t="s">
        <v>975</v>
      </c>
      <c r="H310">
        <v>0.35899999999999999</v>
      </c>
      <c r="J310">
        <v>108196362</v>
      </c>
      <c r="K310" s="2">
        <v>45874</v>
      </c>
      <c r="L310">
        <v>18</v>
      </c>
      <c r="M310">
        <v>1</v>
      </c>
      <c r="N310">
        <v>0</v>
      </c>
      <c r="O310">
        <v>1</v>
      </c>
      <c r="P310" t="s">
        <v>3</v>
      </c>
    </row>
    <row r="311" spans="1:19">
      <c r="A311" t="s">
        <v>850</v>
      </c>
      <c r="B311" t="s">
        <v>762</v>
      </c>
      <c r="C311">
        <v>6.3E-2</v>
      </c>
      <c r="D311" t="s">
        <v>6</v>
      </c>
      <c r="E311" t="s">
        <v>941</v>
      </c>
      <c r="F311" t="s">
        <v>978</v>
      </c>
      <c r="G311" t="s">
        <v>975</v>
      </c>
      <c r="H311">
        <v>0.36199999999999999</v>
      </c>
      <c r="J311">
        <v>106064139</v>
      </c>
      <c r="K311" s="2">
        <v>43774</v>
      </c>
      <c r="L311">
        <v>17</v>
      </c>
      <c r="M311">
        <v>1</v>
      </c>
      <c r="N311">
        <v>0</v>
      </c>
      <c r="O311">
        <v>4</v>
      </c>
      <c r="P311" t="s">
        <v>7</v>
      </c>
    </row>
    <row r="312" spans="1:19">
      <c r="A312" t="s">
        <v>850</v>
      </c>
      <c r="B312" t="s">
        <v>762</v>
      </c>
      <c r="C312">
        <v>4.7E-2</v>
      </c>
      <c r="D312" t="s">
        <v>754</v>
      </c>
      <c r="E312" t="s">
        <v>941</v>
      </c>
      <c r="F312" t="s">
        <v>922</v>
      </c>
      <c r="G312" t="s">
        <v>975</v>
      </c>
      <c r="H312">
        <v>0.47199999999999998</v>
      </c>
      <c r="J312">
        <v>105984781</v>
      </c>
      <c r="K312" s="2">
        <v>43427</v>
      </c>
      <c r="L312">
        <v>17</v>
      </c>
      <c r="M312">
        <v>1</v>
      </c>
      <c r="O312">
        <v>4</v>
      </c>
      <c r="P312" t="s">
        <v>7</v>
      </c>
    </row>
    <row r="313" spans="1:19">
      <c r="A313" t="s">
        <v>850</v>
      </c>
      <c r="B313" t="s">
        <v>762</v>
      </c>
      <c r="C313">
        <v>5.7000000000000002E-2</v>
      </c>
      <c r="D313" t="s">
        <v>754</v>
      </c>
      <c r="E313" t="s">
        <v>922</v>
      </c>
      <c r="F313" t="s">
        <v>762</v>
      </c>
      <c r="G313" t="s">
        <v>975</v>
      </c>
      <c r="H313">
        <v>0.53500000000000003</v>
      </c>
      <c r="J313">
        <v>105269639</v>
      </c>
      <c r="K313" s="2">
        <v>43035</v>
      </c>
      <c r="L313">
        <v>21</v>
      </c>
      <c r="M313">
        <v>1</v>
      </c>
      <c r="N313">
        <v>0</v>
      </c>
      <c r="O313">
        <v>1</v>
      </c>
      <c r="P313" t="s">
        <v>7</v>
      </c>
    </row>
    <row r="314" spans="1:19">
      <c r="A314" t="s">
        <v>850</v>
      </c>
      <c r="B314" t="s">
        <v>762</v>
      </c>
      <c r="C314">
        <v>0</v>
      </c>
      <c r="E314" t="s">
        <v>883</v>
      </c>
      <c r="F314" t="s">
        <v>979</v>
      </c>
      <c r="G314" t="s">
        <v>975</v>
      </c>
      <c r="H314">
        <v>0.53500000000000003</v>
      </c>
      <c r="J314">
        <v>106782773</v>
      </c>
      <c r="K314" s="2">
        <v>44524</v>
      </c>
      <c r="L314">
        <v>21</v>
      </c>
      <c r="M314">
        <v>1</v>
      </c>
      <c r="N314">
        <v>9</v>
      </c>
      <c r="O314">
        <v>1</v>
      </c>
      <c r="P314" t="s">
        <v>7</v>
      </c>
    </row>
    <row r="315" spans="1:19">
      <c r="A315" t="s">
        <v>850</v>
      </c>
      <c r="B315" t="s">
        <v>762</v>
      </c>
      <c r="C315">
        <v>0</v>
      </c>
      <c r="E315" t="s">
        <v>883</v>
      </c>
      <c r="F315" t="s">
        <v>980</v>
      </c>
      <c r="G315" t="s">
        <v>975</v>
      </c>
      <c r="H315">
        <v>0.53500000000000003</v>
      </c>
      <c r="J315">
        <v>106427602</v>
      </c>
      <c r="K315" s="2">
        <v>44169</v>
      </c>
      <c r="L315">
        <v>21</v>
      </c>
      <c r="M315">
        <v>1</v>
      </c>
      <c r="N315">
        <v>8</v>
      </c>
      <c r="O315">
        <v>1</v>
      </c>
      <c r="P315" t="s">
        <v>7</v>
      </c>
    </row>
    <row r="316" spans="1:19">
      <c r="A316" t="s">
        <v>981</v>
      </c>
      <c r="B316" t="s">
        <v>762</v>
      </c>
      <c r="C316">
        <v>1</v>
      </c>
      <c r="D316" t="s">
        <v>753</v>
      </c>
      <c r="E316" t="s">
        <v>883</v>
      </c>
      <c r="F316" t="s">
        <v>982</v>
      </c>
      <c r="G316" t="s">
        <v>975</v>
      </c>
      <c r="H316">
        <v>0.53500000000000003</v>
      </c>
      <c r="J316">
        <v>106269194</v>
      </c>
      <c r="K316" s="2">
        <v>44015</v>
      </c>
      <c r="L316">
        <v>21</v>
      </c>
      <c r="M316">
        <v>1</v>
      </c>
      <c r="N316">
        <v>5</v>
      </c>
      <c r="O316">
        <v>1</v>
      </c>
      <c r="P316" t="s">
        <v>7</v>
      </c>
    </row>
    <row r="317" spans="1:19">
      <c r="A317" t="s">
        <v>850</v>
      </c>
      <c r="B317" t="s">
        <v>862</v>
      </c>
      <c r="C317">
        <v>0</v>
      </c>
      <c r="E317" t="s">
        <v>762</v>
      </c>
      <c r="F317" t="s">
        <v>762</v>
      </c>
      <c r="G317" t="s">
        <v>983</v>
      </c>
      <c r="H317">
        <v>6.9850000000000003</v>
      </c>
      <c r="J317">
        <v>106205409</v>
      </c>
      <c r="K317" s="2">
        <v>43937</v>
      </c>
      <c r="L317">
        <v>24</v>
      </c>
      <c r="M317">
        <v>1</v>
      </c>
      <c r="N317">
        <v>0</v>
      </c>
      <c r="O317">
        <v>1</v>
      </c>
      <c r="P317" t="s">
        <v>7</v>
      </c>
    </row>
    <row r="318" spans="1:19">
      <c r="A318" t="s">
        <v>850</v>
      </c>
      <c r="B318" t="s">
        <v>865</v>
      </c>
      <c r="C318">
        <v>0</v>
      </c>
      <c r="E318" t="s">
        <v>762</v>
      </c>
      <c r="F318" t="s">
        <v>984</v>
      </c>
      <c r="G318" t="s">
        <v>985</v>
      </c>
      <c r="H318">
        <v>0</v>
      </c>
      <c r="J318">
        <v>107943710</v>
      </c>
      <c r="K318" s="2">
        <v>45586</v>
      </c>
      <c r="L318">
        <v>31</v>
      </c>
      <c r="M318">
        <v>1</v>
      </c>
      <c r="N318">
        <v>0</v>
      </c>
      <c r="O318">
        <v>1</v>
      </c>
      <c r="P318" t="s">
        <v>7</v>
      </c>
    </row>
    <row r="319" spans="1:19">
      <c r="A319" t="s">
        <v>867</v>
      </c>
      <c r="B319" t="s">
        <v>936</v>
      </c>
      <c r="C319">
        <v>0</v>
      </c>
      <c r="E319" t="s">
        <v>869</v>
      </c>
      <c r="F319" t="s">
        <v>986</v>
      </c>
      <c r="G319" t="s">
        <v>883</v>
      </c>
      <c r="H319">
        <v>20.498000000000001</v>
      </c>
      <c r="J319">
        <v>108561053</v>
      </c>
      <c r="K319" s="2">
        <v>46214</v>
      </c>
      <c r="L319">
        <v>32</v>
      </c>
      <c r="M319">
        <v>1</v>
      </c>
      <c r="N319">
        <v>0</v>
      </c>
      <c r="O319">
        <v>1</v>
      </c>
      <c r="P319" t="s">
        <v>3</v>
      </c>
    </row>
    <row r="320" spans="1:19">
      <c r="A320" t="s">
        <v>867</v>
      </c>
      <c r="B320" t="s">
        <v>936</v>
      </c>
      <c r="C320">
        <v>0</v>
      </c>
      <c r="E320" t="s">
        <v>869</v>
      </c>
      <c r="F320" t="s">
        <v>936</v>
      </c>
      <c r="G320" t="s">
        <v>883</v>
      </c>
      <c r="H320">
        <v>20.498000000000001</v>
      </c>
      <c r="J320">
        <v>108498369</v>
      </c>
      <c r="K320" s="2">
        <v>46144</v>
      </c>
      <c r="L320">
        <v>30</v>
      </c>
      <c r="M320">
        <v>1</v>
      </c>
      <c r="N320">
        <v>0</v>
      </c>
      <c r="O320">
        <v>1</v>
      </c>
      <c r="P320" t="s">
        <v>7</v>
      </c>
    </row>
    <row r="321" spans="1:16">
      <c r="A321" t="s">
        <v>867</v>
      </c>
      <c r="B321" t="s">
        <v>936</v>
      </c>
      <c r="C321">
        <v>0</v>
      </c>
      <c r="E321" t="s">
        <v>869</v>
      </c>
      <c r="F321" t="s">
        <v>937</v>
      </c>
      <c r="G321" t="s">
        <v>883</v>
      </c>
      <c r="H321">
        <v>20.498000000000001</v>
      </c>
      <c r="J321">
        <v>108168651</v>
      </c>
      <c r="K321" s="2">
        <v>45850</v>
      </c>
      <c r="L321">
        <v>30</v>
      </c>
      <c r="M321">
        <v>1</v>
      </c>
      <c r="N321">
        <v>0</v>
      </c>
      <c r="O321">
        <v>1</v>
      </c>
      <c r="P321" t="s">
        <v>3</v>
      </c>
    </row>
    <row r="322" spans="1:16">
      <c r="A322" t="s">
        <v>867</v>
      </c>
      <c r="B322" t="s">
        <v>936</v>
      </c>
      <c r="C322">
        <v>0</v>
      </c>
      <c r="E322" t="s">
        <v>869</v>
      </c>
      <c r="F322" t="s">
        <v>936</v>
      </c>
      <c r="G322" t="s">
        <v>883</v>
      </c>
      <c r="H322">
        <v>20.498000000000001</v>
      </c>
      <c r="J322">
        <v>107914606</v>
      </c>
      <c r="K322" s="2">
        <v>45605</v>
      </c>
      <c r="L322">
        <v>30</v>
      </c>
      <c r="M322">
        <v>1</v>
      </c>
      <c r="N322">
        <v>0</v>
      </c>
      <c r="O322">
        <v>1</v>
      </c>
      <c r="P322" t="s">
        <v>7</v>
      </c>
    </row>
    <row r="323" spans="1:16">
      <c r="A323" t="s">
        <v>867</v>
      </c>
      <c r="B323" t="s">
        <v>936</v>
      </c>
      <c r="C323">
        <v>0</v>
      </c>
      <c r="E323" t="s">
        <v>869</v>
      </c>
      <c r="F323" t="s">
        <v>936</v>
      </c>
      <c r="G323" t="s">
        <v>883</v>
      </c>
      <c r="H323">
        <v>20.498000000000001</v>
      </c>
      <c r="J323">
        <v>107537539</v>
      </c>
      <c r="K323" s="2">
        <v>45248</v>
      </c>
      <c r="L323">
        <v>27</v>
      </c>
      <c r="M323">
        <v>1</v>
      </c>
      <c r="N323">
        <v>0</v>
      </c>
      <c r="O323">
        <v>4</v>
      </c>
      <c r="P323" t="s">
        <v>3</v>
      </c>
    </row>
    <row r="324" spans="1:16">
      <c r="A324" t="s">
        <v>867</v>
      </c>
      <c r="B324" t="s">
        <v>936</v>
      </c>
      <c r="C324">
        <v>0</v>
      </c>
      <c r="E324" t="s">
        <v>869</v>
      </c>
      <c r="F324" t="s">
        <v>881</v>
      </c>
      <c r="G324" t="s">
        <v>883</v>
      </c>
      <c r="H324">
        <v>20.498000000000001</v>
      </c>
      <c r="J324">
        <v>107155534</v>
      </c>
      <c r="K324" s="2">
        <v>44887</v>
      </c>
      <c r="L324">
        <v>30</v>
      </c>
      <c r="M324">
        <v>1</v>
      </c>
      <c r="N324">
        <v>0</v>
      </c>
      <c r="O324">
        <v>1</v>
      </c>
      <c r="P324" t="s">
        <v>7</v>
      </c>
    </row>
    <row r="325" spans="1:16">
      <c r="A325" t="s">
        <v>867</v>
      </c>
      <c r="B325" t="s">
        <v>936</v>
      </c>
      <c r="C325">
        <v>0</v>
      </c>
      <c r="E325" t="s">
        <v>869</v>
      </c>
      <c r="F325" t="s">
        <v>881</v>
      </c>
      <c r="G325" t="s">
        <v>883</v>
      </c>
      <c r="H325">
        <v>20.498000000000001</v>
      </c>
      <c r="J325">
        <v>107036690</v>
      </c>
      <c r="K325" s="2">
        <v>44733</v>
      </c>
      <c r="L325">
        <v>21</v>
      </c>
      <c r="M325">
        <v>1</v>
      </c>
      <c r="N325">
        <v>0</v>
      </c>
      <c r="O325">
        <v>1</v>
      </c>
      <c r="P325" t="s">
        <v>7</v>
      </c>
    </row>
    <row r="326" spans="1:16">
      <c r="A326" t="s">
        <v>867</v>
      </c>
      <c r="B326" t="s">
        <v>936</v>
      </c>
      <c r="C326">
        <v>0</v>
      </c>
      <c r="E326" t="s">
        <v>869</v>
      </c>
      <c r="F326" t="s">
        <v>881</v>
      </c>
      <c r="G326" t="s">
        <v>883</v>
      </c>
      <c r="H326">
        <v>20.498000000000001</v>
      </c>
      <c r="J326">
        <v>106464531</v>
      </c>
      <c r="K326" s="2">
        <v>44206</v>
      </c>
      <c r="L326">
        <v>30</v>
      </c>
      <c r="M326">
        <v>1</v>
      </c>
      <c r="N326">
        <v>0</v>
      </c>
      <c r="O326">
        <v>1</v>
      </c>
      <c r="P326" t="s">
        <v>3</v>
      </c>
    </row>
    <row r="327" spans="1:16">
      <c r="A327" t="s">
        <v>867</v>
      </c>
      <c r="B327" t="s">
        <v>936</v>
      </c>
      <c r="C327">
        <v>0</v>
      </c>
      <c r="E327" t="s">
        <v>869</v>
      </c>
      <c r="F327" t="s">
        <v>881</v>
      </c>
      <c r="G327" t="s">
        <v>883</v>
      </c>
      <c r="H327">
        <v>20.498000000000001</v>
      </c>
      <c r="J327">
        <v>105468703</v>
      </c>
      <c r="K327" s="2">
        <v>43218</v>
      </c>
      <c r="L327">
        <v>30</v>
      </c>
      <c r="M327">
        <v>1</v>
      </c>
      <c r="N327">
        <v>7</v>
      </c>
      <c r="O327">
        <v>1</v>
      </c>
      <c r="P327" t="s">
        <v>7</v>
      </c>
    </row>
    <row r="328" spans="1:16">
      <c r="A328" t="s">
        <v>867</v>
      </c>
      <c r="B328" t="s">
        <v>936</v>
      </c>
      <c r="C328">
        <v>0</v>
      </c>
      <c r="E328" t="s">
        <v>869</v>
      </c>
      <c r="F328" t="s">
        <v>930</v>
      </c>
      <c r="G328" t="s">
        <v>883</v>
      </c>
      <c r="H328">
        <v>20.498000000000001</v>
      </c>
      <c r="J328">
        <v>105180482</v>
      </c>
      <c r="K328" s="2">
        <v>42953</v>
      </c>
      <c r="L328">
        <v>30</v>
      </c>
      <c r="M328">
        <v>1</v>
      </c>
      <c r="N328">
        <v>7</v>
      </c>
      <c r="O328">
        <v>5</v>
      </c>
      <c r="P328" t="s">
        <v>7</v>
      </c>
    </row>
    <row r="329" spans="1:16">
      <c r="A329" t="s">
        <v>867</v>
      </c>
      <c r="B329" t="s">
        <v>936</v>
      </c>
      <c r="C329">
        <v>0</v>
      </c>
      <c r="E329" t="s">
        <v>869</v>
      </c>
      <c r="F329" t="s">
        <v>869</v>
      </c>
      <c r="G329" t="s">
        <v>883</v>
      </c>
      <c r="H329">
        <v>20.498000000000001</v>
      </c>
      <c r="J329">
        <v>107528341</v>
      </c>
      <c r="K329" s="2">
        <v>45237</v>
      </c>
      <c r="L329">
        <v>24</v>
      </c>
      <c r="M329">
        <v>1</v>
      </c>
      <c r="N329">
        <v>7</v>
      </c>
      <c r="O329">
        <v>1</v>
      </c>
      <c r="P329" t="s">
        <v>7</v>
      </c>
    </row>
    <row r="330" spans="1:16">
      <c r="A330" t="s">
        <v>751</v>
      </c>
      <c r="B330" t="s">
        <v>949</v>
      </c>
      <c r="C330">
        <v>2.1000000000000001E-2</v>
      </c>
      <c r="D330" t="s">
        <v>755</v>
      </c>
      <c r="E330" t="s">
        <v>897</v>
      </c>
      <c r="F330" t="s">
        <v>883</v>
      </c>
      <c r="G330" t="s">
        <v>949</v>
      </c>
      <c r="H330">
        <v>14.034000000000001</v>
      </c>
      <c r="J330">
        <v>106194763</v>
      </c>
      <c r="K330" s="2">
        <v>43917</v>
      </c>
      <c r="L330">
        <v>5</v>
      </c>
      <c r="M330">
        <v>1</v>
      </c>
      <c r="N330">
        <v>7</v>
      </c>
      <c r="O330">
        <v>5</v>
      </c>
      <c r="P330" t="s">
        <v>7</v>
      </c>
    </row>
    <row r="331" spans="1:16">
      <c r="A331" t="s">
        <v>751</v>
      </c>
      <c r="B331" t="s">
        <v>949</v>
      </c>
      <c r="C331">
        <v>0.01</v>
      </c>
      <c r="D331" t="s">
        <v>755</v>
      </c>
      <c r="E331" t="s">
        <v>897</v>
      </c>
      <c r="F331" t="s">
        <v>883</v>
      </c>
      <c r="G331" t="s">
        <v>949</v>
      </c>
      <c r="H331">
        <v>14.045</v>
      </c>
      <c r="J331">
        <v>105790343</v>
      </c>
      <c r="K331" s="2">
        <v>43523</v>
      </c>
      <c r="L331">
        <v>21</v>
      </c>
      <c r="M331">
        <v>1</v>
      </c>
      <c r="N331">
        <v>0</v>
      </c>
      <c r="O331">
        <v>1</v>
      </c>
      <c r="P331" t="s">
        <v>8</v>
      </c>
    </row>
    <row r="332" spans="1:16">
      <c r="A332" t="s">
        <v>867</v>
      </c>
      <c r="B332" t="s">
        <v>867</v>
      </c>
      <c r="C332">
        <v>0</v>
      </c>
      <c r="E332" t="s">
        <v>888</v>
      </c>
      <c r="F332" t="s">
        <v>987</v>
      </c>
      <c r="G332" t="s">
        <v>949</v>
      </c>
      <c r="H332">
        <v>14.055</v>
      </c>
      <c r="J332">
        <v>106500195</v>
      </c>
      <c r="K332" s="2">
        <v>44254</v>
      </c>
      <c r="L332">
        <v>1</v>
      </c>
      <c r="M332">
        <v>2</v>
      </c>
      <c r="N332">
        <v>0</v>
      </c>
      <c r="O332">
        <v>5</v>
      </c>
      <c r="P332" t="s">
        <v>7</v>
      </c>
    </row>
    <row r="333" spans="1:16">
      <c r="A333" t="s">
        <v>751</v>
      </c>
      <c r="B333" t="s">
        <v>949</v>
      </c>
      <c r="C333">
        <v>0</v>
      </c>
      <c r="E333" t="s">
        <v>897</v>
      </c>
      <c r="G333" t="s">
        <v>949</v>
      </c>
      <c r="H333">
        <v>14.055</v>
      </c>
      <c r="J333">
        <v>108130026</v>
      </c>
      <c r="K333" s="2">
        <v>45800</v>
      </c>
      <c r="L333">
        <v>24</v>
      </c>
      <c r="M333">
        <v>1</v>
      </c>
      <c r="N333">
        <v>7</v>
      </c>
      <c r="O333">
        <v>1</v>
      </c>
      <c r="P333" t="s">
        <v>7</v>
      </c>
    </row>
    <row r="334" spans="1:16">
      <c r="A334" t="s">
        <v>751</v>
      </c>
      <c r="B334" t="s">
        <v>949</v>
      </c>
      <c r="C334">
        <v>0</v>
      </c>
      <c r="E334" t="s">
        <v>897</v>
      </c>
      <c r="F334" t="s">
        <v>901</v>
      </c>
      <c r="G334" t="s">
        <v>949</v>
      </c>
      <c r="H334">
        <v>14.055</v>
      </c>
      <c r="J334">
        <v>108237122</v>
      </c>
      <c r="K334" s="2">
        <v>45919</v>
      </c>
      <c r="L334">
        <v>30</v>
      </c>
      <c r="M334">
        <v>1</v>
      </c>
      <c r="N334">
        <v>7</v>
      </c>
      <c r="O334">
        <v>1</v>
      </c>
      <c r="P334" t="s">
        <v>3</v>
      </c>
    </row>
    <row r="335" spans="1:16">
      <c r="A335" t="s">
        <v>751</v>
      </c>
      <c r="B335" t="s">
        <v>949</v>
      </c>
      <c r="C335">
        <v>0</v>
      </c>
      <c r="E335" t="s">
        <v>897</v>
      </c>
      <c r="F335" t="s">
        <v>988</v>
      </c>
      <c r="G335" t="s">
        <v>949</v>
      </c>
      <c r="H335">
        <v>14.055</v>
      </c>
      <c r="J335">
        <v>107839492</v>
      </c>
      <c r="K335" s="2">
        <v>45533</v>
      </c>
      <c r="L335">
        <v>30</v>
      </c>
      <c r="M335">
        <v>1</v>
      </c>
      <c r="N335">
        <v>7</v>
      </c>
      <c r="O335">
        <v>1</v>
      </c>
      <c r="P335" t="s">
        <v>7</v>
      </c>
    </row>
    <row r="336" spans="1:16">
      <c r="A336" t="s">
        <v>751</v>
      </c>
      <c r="B336" t="s">
        <v>949</v>
      </c>
      <c r="C336">
        <v>0</v>
      </c>
      <c r="E336" t="s">
        <v>897</v>
      </c>
      <c r="F336" t="s">
        <v>883</v>
      </c>
      <c r="G336" t="s">
        <v>949</v>
      </c>
      <c r="H336">
        <v>14.055</v>
      </c>
      <c r="J336">
        <v>107684984</v>
      </c>
      <c r="K336" s="2">
        <v>45393</v>
      </c>
      <c r="L336">
        <v>21</v>
      </c>
      <c r="M336">
        <v>1</v>
      </c>
      <c r="N336">
        <v>7</v>
      </c>
      <c r="O336">
        <v>1</v>
      </c>
      <c r="P336" t="s">
        <v>7</v>
      </c>
    </row>
    <row r="337" spans="1:16">
      <c r="A337" t="s">
        <v>751</v>
      </c>
      <c r="B337" t="s">
        <v>949</v>
      </c>
      <c r="C337">
        <v>0</v>
      </c>
      <c r="E337" t="s">
        <v>897</v>
      </c>
      <c r="F337" t="s">
        <v>901</v>
      </c>
      <c r="G337" t="s">
        <v>949</v>
      </c>
      <c r="H337">
        <v>14.055</v>
      </c>
      <c r="J337">
        <v>107636167</v>
      </c>
      <c r="K337" s="2">
        <v>45347</v>
      </c>
      <c r="L337">
        <v>28</v>
      </c>
      <c r="M337">
        <v>1</v>
      </c>
      <c r="N337">
        <v>7</v>
      </c>
      <c r="O337">
        <v>1</v>
      </c>
      <c r="P337" t="s">
        <v>7</v>
      </c>
    </row>
    <row r="338" spans="1:16">
      <c r="A338" t="s">
        <v>751</v>
      </c>
      <c r="B338" t="s">
        <v>949</v>
      </c>
      <c r="C338">
        <v>0</v>
      </c>
      <c r="E338" t="s">
        <v>897</v>
      </c>
      <c r="F338" t="s">
        <v>901</v>
      </c>
      <c r="G338" t="s">
        <v>949</v>
      </c>
      <c r="H338">
        <v>14.055</v>
      </c>
      <c r="J338">
        <v>107522308</v>
      </c>
      <c r="K338" s="2">
        <v>45239</v>
      </c>
      <c r="L338">
        <v>30</v>
      </c>
      <c r="M338">
        <v>1</v>
      </c>
      <c r="N338">
        <v>7</v>
      </c>
      <c r="O338">
        <v>5</v>
      </c>
      <c r="P338" t="s">
        <v>8</v>
      </c>
    </row>
    <row r="339" spans="1:16">
      <c r="A339" t="s">
        <v>751</v>
      </c>
      <c r="B339" t="s">
        <v>949</v>
      </c>
      <c r="C339">
        <v>0</v>
      </c>
      <c r="E339" t="s">
        <v>897</v>
      </c>
      <c r="F339" t="s">
        <v>883</v>
      </c>
      <c r="G339" t="s">
        <v>949</v>
      </c>
      <c r="H339">
        <v>14.055</v>
      </c>
      <c r="J339">
        <v>106482608</v>
      </c>
      <c r="K339" s="2">
        <v>44230</v>
      </c>
      <c r="L339">
        <v>30</v>
      </c>
      <c r="M339">
        <v>1</v>
      </c>
      <c r="N339">
        <v>7</v>
      </c>
      <c r="O339">
        <v>1</v>
      </c>
      <c r="P339" t="s">
        <v>7</v>
      </c>
    </row>
    <row r="340" spans="1:16">
      <c r="A340" t="s">
        <v>751</v>
      </c>
      <c r="B340" t="s">
        <v>949</v>
      </c>
      <c r="C340">
        <v>0</v>
      </c>
      <c r="E340" t="s">
        <v>897</v>
      </c>
      <c r="F340" t="s">
        <v>883</v>
      </c>
      <c r="G340" t="s">
        <v>949</v>
      </c>
      <c r="H340">
        <v>14.055</v>
      </c>
      <c r="J340">
        <v>105890212</v>
      </c>
      <c r="K340" s="2">
        <v>43620</v>
      </c>
      <c r="L340">
        <v>30</v>
      </c>
      <c r="M340">
        <v>1</v>
      </c>
      <c r="N340">
        <v>7</v>
      </c>
      <c r="O340">
        <v>1</v>
      </c>
      <c r="P340" t="s">
        <v>7</v>
      </c>
    </row>
    <row r="341" spans="1:16">
      <c r="A341" t="s">
        <v>751</v>
      </c>
      <c r="B341" t="s">
        <v>949</v>
      </c>
      <c r="C341">
        <v>0</v>
      </c>
      <c r="E341" t="s">
        <v>897</v>
      </c>
      <c r="F341" t="s">
        <v>901</v>
      </c>
      <c r="G341" t="s">
        <v>949</v>
      </c>
      <c r="H341">
        <v>14.055</v>
      </c>
      <c r="J341">
        <v>107005802</v>
      </c>
      <c r="K341" s="2">
        <v>44744</v>
      </c>
      <c r="L341">
        <v>23</v>
      </c>
      <c r="M341">
        <v>1</v>
      </c>
      <c r="N341">
        <v>7</v>
      </c>
      <c r="O341">
        <v>1</v>
      </c>
      <c r="P341" t="s">
        <v>8</v>
      </c>
    </row>
    <row r="342" spans="1:16">
      <c r="A342" t="s">
        <v>751</v>
      </c>
      <c r="B342" t="s">
        <v>949</v>
      </c>
      <c r="C342">
        <v>0</v>
      </c>
      <c r="E342" t="s">
        <v>897</v>
      </c>
      <c r="F342" t="s">
        <v>901</v>
      </c>
      <c r="G342" t="s">
        <v>949</v>
      </c>
      <c r="H342">
        <v>14.055</v>
      </c>
      <c r="J342">
        <v>106812161</v>
      </c>
      <c r="K342" s="2">
        <v>44552</v>
      </c>
      <c r="L342">
        <v>30</v>
      </c>
      <c r="M342">
        <v>1</v>
      </c>
      <c r="N342">
        <v>7</v>
      </c>
      <c r="O342">
        <v>1</v>
      </c>
      <c r="P342" t="s">
        <v>7</v>
      </c>
    </row>
    <row r="343" spans="1:16">
      <c r="A343" t="s">
        <v>751</v>
      </c>
      <c r="B343" t="s">
        <v>949</v>
      </c>
      <c r="C343">
        <v>0</v>
      </c>
      <c r="E343" t="s">
        <v>897</v>
      </c>
      <c r="G343" t="s">
        <v>949</v>
      </c>
      <c r="H343">
        <v>14.055</v>
      </c>
      <c r="J343">
        <v>107321539</v>
      </c>
      <c r="K343" s="2">
        <v>45037</v>
      </c>
      <c r="L343">
        <v>23</v>
      </c>
      <c r="M343">
        <v>1</v>
      </c>
      <c r="N343">
        <v>7</v>
      </c>
      <c r="O343">
        <v>1</v>
      </c>
      <c r="P343" t="s">
        <v>7</v>
      </c>
    </row>
    <row r="344" spans="1:16">
      <c r="A344" t="s">
        <v>751</v>
      </c>
      <c r="B344" t="s">
        <v>949</v>
      </c>
      <c r="C344">
        <v>0</v>
      </c>
      <c r="E344" t="s">
        <v>897</v>
      </c>
      <c r="F344" t="s">
        <v>883</v>
      </c>
      <c r="G344" t="s">
        <v>949</v>
      </c>
      <c r="H344">
        <v>14.055</v>
      </c>
      <c r="J344">
        <v>106826767</v>
      </c>
      <c r="K344" s="2">
        <v>44565</v>
      </c>
      <c r="L344">
        <v>30</v>
      </c>
      <c r="M344">
        <v>1</v>
      </c>
      <c r="N344">
        <v>7</v>
      </c>
      <c r="O344">
        <v>1</v>
      </c>
      <c r="P344" t="s">
        <v>8</v>
      </c>
    </row>
    <row r="345" spans="1:16">
      <c r="A345" t="s">
        <v>751</v>
      </c>
      <c r="B345" t="s">
        <v>949</v>
      </c>
      <c r="C345">
        <v>0</v>
      </c>
      <c r="E345" t="s">
        <v>897</v>
      </c>
      <c r="F345" t="s">
        <v>883</v>
      </c>
      <c r="G345" t="s">
        <v>949</v>
      </c>
      <c r="H345">
        <v>14.055</v>
      </c>
      <c r="J345">
        <v>106854292</v>
      </c>
      <c r="K345" s="2">
        <v>44588</v>
      </c>
      <c r="L345">
        <v>30</v>
      </c>
      <c r="M345">
        <v>1</v>
      </c>
      <c r="N345">
        <v>7</v>
      </c>
      <c r="O345">
        <v>1</v>
      </c>
      <c r="P345" t="s">
        <v>8</v>
      </c>
    </row>
    <row r="346" spans="1:16">
      <c r="A346" t="s">
        <v>751</v>
      </c>
      <c r="B346" t="s">
        <v>949</v>
      </c>
      <c r="C346">
        <v>0</v>
      </c>
      <c r="E346" t="s">
        <v>897</v>
      </c>
      <c r="F346" t="s">
        <v>901</v>
      </c>
      <c r="G346" t="s">
        <v>949</v>
      </c>
      <c r="H346">
        <v>14.055</v>
      </c>
      <c r="J346">
        <v>107286901</v>
      </c>
      <c r="K346" s="2">
        <v>45013</v>
      </c>
      <c r="L346">
        <v>30</v>
      </c>
      <c r="M346">
        <v>1</v>
      </c>
      <c r="N346">
        <v>7</v>
      </c>
      <c r="O346">
        <v>1</v>
      </c>
      <c r="P346" t="s">
        <v>8</v>
      </c>
    </row>
    <row r="347" spans="1:16">
      <c r="A347" t="s">
        <v>751</v>
      </c>
      <c r="B347" t="s">
        <v>949</v>
      </c>
      <c r="C347">
        <v>0</v>
      </c>
      <c r="E347" t="s">
        <v>897</v>
      </c>
      <c r="F347" t="s">
        <v>883</v>
      </c>
      <c r="G347" t="s">
        <v>949</v>
      </c>
      <c r="H347">
        <v>14.055</v>
      </c>
      <c r="J347">
        <v>106508286</v>
      </c>
      <c r="K347" s="2">
        <v>44260</v>
      </c>
      <c r="L347">
        <v>30</v>
      </c>
      <c r="M347">
        <v>1</v>
      </c>
      <c r="N347">
        <v>7</v>
      </c>
      <c r="O347">
        <v>5</v>
      </c>
      <c r="P347" t="s">
        <v>8</v>
      </c>
    </row>
    <row r="348" spans="1:16">
      <c r="A348" t="s">
        <v>867</v>
      </c>
      <c r="B348" t="s">
        <v>949</v>
      </c>
      <c r="C348">
        <v>0</v>
      </c>
      <c r="E348" t="s">
        <v>897</v>
      </c>
      <c r="F348" t="s">
        <v>883</v>
      </c>
      <c r="G348" t="s">
        <v>949</v>
      </c>
      <c r="H348">
        <v>14.055</v>
      </c>
      <c r="J348">
        <v>106471444</v>
      </c>
      <c r="K348" s="2">
        <v>44219</v>
      </c>
      <c r="L348">
        <v>30</v>
      </c>
      <c r="M348">
        <v>1</v>
      </c>
      <c r="N348">
        <v>7</v>
      </c>
      <c r="O348">
        <v>5</v>
      </c>
      <c r="P348" t="s">
        <v>7</v>
      </c>
    </row>
    <row r="349" spans="1:16">
      <c r="A349" t="s">
        <v>751</v>
      </c>
      <c r="B349" t="s">
        <v>949</v>
      </c>
      <c r="C349">
        <v>0</v>
      </c>
      <c r="E349" t="s">
        <v>897</v>
      </c>
      <c r="F349" t="s">
        <v>883</v>
      </c>
      <c r="G349" t="s">
        <v>949</v>
      </c>
      <c r="H349">
        <v>14.055</v>
      </c>
      <c r="J349">
        <v>106435224</v>
      </c>
      <c r="K349" s="2">
        <v>44176</v>
      </c>
      <c r="L349">
        <v>19</v>
      </c>
      <c r="M349">
        <v>1</v>
      </c>
      <c r="N349">
        <v>7</v>
      </c>
      <c r="O349">
        <v>1</v>
      </c>
      <c r="P349" t="s">
        <v>7</v>
      </c>
    </row>
    <row r="350" spans="1:16">
      <c r="A350" t="s">
        <v>751</v>
      </c>
      <c r="B350" t="s">
        <v>949</v>
      </c>
      <c r="C350">
        <v>0</v>
      </c>
      <c r="E350" t="s">
        <v>897</v>
      </c>
      <c r="F350" t="s">
        <v>883</v>
      </c>
      <c r="G350" t="s">
        <v>949</v>
      </c>
      <c r="H350">
        <v>14.055</v>
      </c>
      <c r="J350">
        <v>105930374</v>
      </c>
      <c r="K350" s="2">
        <v>43665</v>
      </c>
      <c r="L350">
        <v>30</v>
      </c>
      <c r="M350">
        <v>1</v>
      </c>
      <c r="N350">
        <v>7</v>
      </c>
      <c r="O350">
        <v>1</v>
      </c>
      <c r="P350" t="s">
        <v>7</v>
      </c>
    </row>
    <row r="351" spans="1:16">
      <c r="A351" t="s">
        <v>751</v>
      </c>
      <c r="B351" t="s">
        <v>949</v>
      </c>
      <c r="C351">
        <v>0</v>
      </c>
      <c r="E351" t="s">
        <v>897</v>
      </c>
      <c r="F351" t="s">
        <v>901</v>
      </c>
      <c r="G351" t="s">
        <v>949</v>
      </c>
      <c r="H351">
        <v>14.055</v>
      </c>
      <c r="J351">
        <v>105665237</v>
      </c>
      <c r="K351" s="2">
        <v>43404</v>
      </c>
      <c r="L351">
        <v>23</v>
      </c>
      <c r="M351">
        <v>1</v>
      </c>
      <c r="N351">
        <v>7</v>
      </c>
      <c r="O351">
        <v>1</v>
      </c>
      <c r="P351" t="s">
        <v>3</v>
      </c>
    </row>
    <row r="352" spans="1:16">
      <c r="A352" t="s">
        <v>751</v>
      </c>
      <c r="B352" t="s">
        <v>949</v>
      </c>
      <c r="C352">
        <v>0</v>
      </c>
      <c r="E352" t="s">
        <v>897</v>
      </c>
      <c r="F352" t="s">
        <v>954</v>
      </c>
      <c r="G352" t="s">
        <v>949</v>
      </c>
      <c r="H352">
        <v>14.055</v>
      </c>
      <c r="J352">
        <v>105142851</v>
      </c>
      <c r="K352" s="2">
        <v>42892</v>
      </c>
      <c r="L352">
        <v>24</v>
      </c>
      <c r="M352">
        <v>1</v>
      </c>
      <c r="N352">
        <v>4</v>
      </c>
      <c r="O352">
        <v>1</v>
      </c>
      <c r="P352" t="s">
        <v>8</v>
      </c>
    </row>
    <row r="353" spans="1:19">
      <c r="A353" t="s">
        <v>751</v>
      </c>
      <c r="B353" t="s">
        <v>949</v>
      </c>
      <c r="C353">
        <v>0</v>
      </c>
      <c r="E353" t="s">
        <v>897</v>
      </c>
      <c r="F353" t="s">
        <v>899</v>
      </c>
      <c r="G353" t="s">
        <v>949</v>
      </c>
      <c r="H353">
        <v>14.055</v>
      </c>
      <c r="J353">
        <v>107892257</v>
      </c>
      <c r="K353" s="2">
        <v>45583</v>
      </c>
      <c r="L353">
        <v>30</v>
      </c>
      <c r="M353">
        <v>1</v>
      </c>
      <c r="N353">
        <v>7</v>
      </c>
      <c r="O353">
        <v>1</v>
      </c>
      <c r="P353" t="s">
        <v>3</v>
      </c>
    </row>
    <row r="354" spans="1:19">
      <c r="A354" t="s">
        <v>751</v>
      </c>
      <c r="B354" t="s">
        <v>949</v>
      </c>
      <c r="C354">
        <v>0</v>
      </c>
      <c r="E354" t="s">
        <v>897</v>
      </c>
      <c r="G354" t="s">
        <v>949</v>
      </c>
      <c r="H354">
        <v>14.055</v>
      </c>
      <c r="J354">
        <v>107364884</v>
      </c>
      <c r="K354" s="2">
        <v>45084</v>
      </c>
      <c r="L354">
        <v>26</v>
      </c>
      <c r="M354">
        <v>2</v>
      </c>
      <c r="N354">
        <v>7</v>
      </c>
      <c r="O354">
        <v>1</v>
      </c>
      <c r="P354" t="s">
        <v>7</v>
      </c>
    </row>
    <row r="355" spans="1:19">
      <c r="A355" t="s">
        <v>751</v>
      </c>
      <c r="B355" t="s">
        <v>949</v>
      </c>
      <c r="C355">
        <v>0</v>
      </c>
      <c r="E355" t="s">
        <v>897</v>
      </c>
      <c r="F355" t="s">
        <v>901</v>
      </c>
      <c r="G355" t="s">
        <v>949</v>
      </c>
      <c r="H355">
        <v>14.055</v>
      </c>
      <c r="J355">
        <v>107279987</v>
      </c>
      <c r="K355" s="2">
        <v>45007</v>
      </c>
      <c r="L355">
        <v>23</v>
      </c>
      <c r="M355">
        <v>1</v>
      </c>
      <c r="N355">
        <v>7</v>
      </c>
      <c r="O355">
        <v>1</v>
      </c>
      <c r="P355" t="s">
        <v>7</v>
      </c>
    </row>
    <row r="356" spans="1:19">
      <c r="A356" t="s">
        <v>751</v>
      </c>
      <c r="B356" t="s">
        <v>949</v>
      </c>
      <c r="C356">
        <v>1.9E-2</v>
      </c>
      <c r="D356" t="s">
        <v>6</v>
      </c>
      <c r="E356" t="s">
        <v>897</v>
      </c>
      <c r="F356" t="s">
        <v>964</v>
      </c>
      <c r="G356" t="s">
        <v>949</v>
      </c>
      <c r="H356">
        <v>14.074</v>
      </c>
      <c r="J356">
        <v>107980034</v>
      </c>
      <c r="K356" s="2">
        <v>45661</v>
      </c>
      <c r="L356">
        <v>21</v>
      </c>
      <c r="M356">
        <v>1</v>
      </c>
      <c r="N356">
        <v>7</v>
      </c>
      <c r="O356">
        <v>1</v>
      </c>
      <c r="P356" t="s">
        <v>7</v>
      </c>
    </row>
    <row r="357" spans="1:19">
      <c r="A357" t="s">
        <v>751</v>
      </c>
      <c r="B357" t="s">
        <v>949</v>
      </c>
      <c r="C357">
        <v>1.9E-2</v>
      </c>
      <c r="D357" t="s">
        <v>6</v>
      </c>
      <c r="E357" t="s">
        <v>897</v>
      </c>
      <c r="F357" t="s">
        <v>988</v>
      </c>
      <c r="G357" t="s">
        <v>949</v>
      </c>
      <c r="H357">
        <v>14.074</v>
      </c>
      <c r="J357">
        <v>107935430</v>
      </c>
      <c r="K357" s="2">
        <v>45605</v>
      </c>
      <c r="L357">
        <v>19</v>
      </c>
      <c r="M357">
        <v>2</v>
      </c>
      <c r="N357">
        <v>0</v>
      </c>
      <c r="O357">
        <v>4</v>
      </c>
      <c r="P357" t="s">
        <v>7</v>
      </c>
    </row>
    <row r="358" spans="1:19">
      <c r="A358" t="s">
        <v>751</v>
      </c>
      <c r="B358" t="s">
        <v>949</v>
      </c>
      <c r="C358">
        <v>0</v>
      </c>
      <c r="E358" t="s">
        <v>943</v>
      </c>
      <c r="F358" t="s">
        <v>988</v>
      </c>
      <c r="G358" t="s">
        <v>949</v>
      </c>
      <c r="H358">
        <v>999.99900000000002</v>
      </c>
      <c r="J358">
        <v>107862265</v>
      </c>
      <c r="K358" s="2">
        <v>45554</v>
      </c>
      <c r="L358">
        <v>24</v>
      </c>
      <c r="M358">
        <v>1</v>
      </c>
      <c r="N358">
        <v>7</v>
      </c>
      <c r="O358">
        <v>1</v>
      </c>
      <c r="P358" t="s">
        <v>3</v>
      </c>
      <c r="Q358">
        <v>36.313448000000001</v>
      </c>
      <c r="R358">
        <v>-78.552729999999997</v>
      </c>
      <c r="S358" t="s">
        <v>758</v>
      </c>
    </row>
    <row r="359" spans="1:19">
      <c r="A359" t="s">
        <v>751</v>
      </c>
      <c r="B359" t="s">
        <v>949</v>
      </c>
      <c r="C359">
        <v>0</v>
      </c>
      <c r="E359" t="s">
        <v>943</v>
      </c>
      <c r="F359" t="s">
        <v>988</v>
      </c>
      <c r="G359" t="s">
        <v>949</v>
      </c>
      <c r="H359">
        <v>999.99900000000002</v>
      </c>
      <c r="J359">
        <v>107375014</v>
      </c>
      <c r="K359" s="2">
        <v>45096</v>
      </c>
      <c r="L359">
        <v>23</v>
      </c>
      <c r="M359">
        <v>2</v>
      </c>
      <c r="N359">
        <v>7</v>
      </c>
      <c r="O359">
        <v>1</v>
      </c>
      <c r="P359" t="s">
        <v>7</v>
      </c>
      <c r="Q359">
        <v>36.313339999999997</v>
      </c>
      <c r="R359">
        <v>-78.552959999999999</v>
      </c>
      <c r="S359" t="s">
        <v>758</v>
      </c>
    </row>
    <row r="360" spans="1:19">
      <c r="A360" t="s">
        <v>751</v>
      </c>
      <c r="B360" t="s">
        <v>949</v>
      </c>
      <c r="C360">
        <v>0</v>
      </c>
      <c r="E360" t="s">
        <v>943</v>
      </c>
      <c r="F360" t="s">
        <v>953</v>
      </c>
      <c r="G360" t="s">
        <v>949</v>
      </c>
      <c r="H360">
        <v>999.99900000000002</v>
      </c>
      <c r="J360">
        <v>107219725</v>
      </c>
      <c r="K360" s="2">
        <v>44946</v>
      </c>
      <c r="L360">
        <v>30</v>
      </c>
      <c r="M360">
        <v>1</v>
      </c>
      <c r="N360">
        <v>7</v>
      </c>
      <c r="O360">
        <v>1</v>
      </c>
      <c r="P360" t="s">
        <v>7</v>
      </c>
      <c r="Q360">
        <v>36.312869999999997</v>
      </c>
      <c r="R360">
        <v>-78.550650000000005</v>
      </c>
      <c r="S360" t="s">
        <v>758</v>
      </c>
    </row>
    <row r="361" spans="1:19">
      <c r="A361" t="s">
        <v>751</v>
      </c>
      <c r="B361" t="s">
        <v>949</v>
      </c>
      <c r="C361">
        <v>0</v>
      </c>
      <c r="E361" t="s">
        <v>943</v>
      </c>
      <c r="F361" t="s">
        <v>988</v>
      </c>
      <c r="G361" t="s">
        <v>949</v>
      </c>
      <c r="H361">
        <v>999.99900000000002</v>
      </c>
      <c r="J361">
        <v>107197910</v>
      </c>
      <c r="K361" s="2">
        <v>44924</v>
      </c>
      <c r="L361">
        <v>23</v>
      </c>
      <c r="M361">
        <v>1</v>
      </c>
      <c r="N361">
        <v>7</v>
      </c>
      <c r="O361">
        <v>5</v>
      </c>
      <c r="P361" t="s">
        <v>7</v>
      </c>
      <c r="Q361">
        <v>36.313319999999997</v>
      </c>
      <c r="R361">
        <v>-78.553039999999996</v>
      </c>
      <c r="S361" t="s">
        <v>758</v>
      </c>
    </row>
    <row r="362" spans="1:19">
      <c r="A362" t="s">
        <v>751</v>
      </c>
      <c r="B362" t="s">
        <v>949</v>
      </c>
      <c r="C362">
        <v>0</v>
      </c>
      <c r="E362" t="s">
        <v>943</v>
      </c>
      <c r="F362" t="s">
        <v>971</v>
      </c>
      <c r="G362" t="s">
        <v>949</v>
      </c>
      <c r="H362">
        <v>999.99900000000002</v>
      </c>
      <c r="J362">
        <v>106619014</v>
      </c>
      <c r="K362" s="2">
        <v>44363</v>
      </c>
      <c r="L362">
        <v>30</v>
      </c>
      <c r="M362">
        <v>1</v>
      </c>
      <c r="N362">
        <v>7</v>
      </c>
      <c r="O362">
        <v>4</v>
      </c>
      <c r="P362" t="s">
        <v>7</v>
      </c>
    </row>
    <row r="363" spans="1:19">
      <c r="A363" t="s">
        <v>751</v>
      </c>
      <c r="B363" t="s">
        <v>949</v>
      </c>
      <c r="C363">
        <v>0</v>
      </c>
      <c r="E363" t="s">
        <v>943</v>
      </c>
      <c r="F363" t="s">
        <v>897</v>
      </c>
      <c r="G363" t="s">
        <v>949</v>
      </c>
      <c r="H363">
        <v>999.99900000000002</v>
      </c>
      <c r="J363">
        <v>105825638</v>
      </c>
      <c r="K363" s="2">
        <v>43562</v>
      </c>
      <c r="L363">
        <v>23</v>
      </c>
      <c r="M363">
        <v>1</v>
      </c>
      <c r="N363">
        <v>7</v>
      </c>
      <c r="O363">
        <v>1</v>
      </c>
      <c r="P363" t="s">
        <v>8</v>
      </c>
    </row>
    <row r="364" spans="1:19">
      <c r="A364" t="s">
        <v>751</v>
      </c>
      <c r="B364" t="s">
        <v>949</v>
      </c>
      <c r="C364">
        <v>0</v>
      </c>
      <c r="E364" t="s">
        <v>943</v>
      </c>
      <c r="F364" t="s">
        <v>948</v>
      </c>
      <c r="G364" t="s">
        <v>949</v>
      </c>
      <c r="H364">
        <v>999.99900000000002</v>
      </c>
      <c r="J364">
        <v>108205786</v>
      </c>
      <c r="K364" s="2">
        <v>45880</v>
      </c>
      <c r="L364">
        <v>23</v>
      </c>
      <c r="M364">
        <v>1</v>
      </c>
      <c r="N364">
        <v>7</v>
      </c>
      <c r="O364">
        <v>1</v>
      </c>
      <c r="P364" t="s">
        <v>3</v>
      </c>
      <c r="Q364">
        <v>36.313276000000002</v>
      </c>
      <c r="R364">
        <v>-78.552949999999996</v>
      </c>
      <c r="S364" t="s">
        <v>758</v>
      </c>
    </row>
    <row r="365" spans="1:19">
      <c r="A365" t="s">
        <v>751</v>
      </c>
      <c r="B365" t="s">
        <v>949</v>
      </c>
      <c r="C365">
        <v>0</v>
      </c>
      <c r="E365" t="s">
        <v>943</v>
      </c>
      <c r="F365" t="s">
        <v>948</v>
      </c>
      <c r="G365" t="s">
        <v>949</v>
      </c>
      <c r="H365">
        <v>999.99900000000002</v>
      </c>
      <c r="J365">
        <v>107573677</v>
      </c>
      <c r="K365" s="2">
        <v>45276</v>
      </c>
      <c r="L365">
        <v>30</v>
      </c>
      <c r="M365">
        <v>1</v>
      </c>
      <c r="N365">
        <v>7</v>
      </c>
      <c r="O365">
        <v>1</v>
      </c>
      <c r="P365" t="s">
        <v>8</v>
      </c>
      <c r="Q365">
        <v>36.313330000000001</v>
      </c>
      <c r="R365">
        <v>-78.553070000000005</v>
      </c>
      <c r="S365" t="s">
        <v>758</v>
      </c>
    </row>
    <row r="366" spans="1:19">
      <c r="A366" t="s">
        <v>751</v>
      </c>
      <c r="B366" t="s">
        <v>949</v>
      </c>
      <c r="C366">
        <v>4.0000000000000001E-3</v>
      </c>
      <c r="D366" t="s">
        <v>753</v>
      </c>
      <c r="E366" t="s">
        <v>943</v>
      </c>
      <c r="F366" t="s">
        <v>988</v>
      </c>
      <c r="G366" t="s">
        <v>949</v>
      </c>
      <c r="H366">
        <v>999.99900000000002</v>
      </c>
      <c r="J366">
        <v>106048164</v>
      </c>
      <c r="K366" s="2">
        <v>43768</v>
      </c>
      <c r="L366">
        <v>21</v>
      </c>
      <c r="M366">
        <v>1</v>
      </c>
      <c r="N366">
        <v>0</v>
      </c>
      <c r="O366">
        <v>5</v>
      </c>
      <c r="P366" t="s">
        <v>7</v>
      </c>
    </row>
    <row r="367" spans="1:19">
      <c r="A367" t="s">
        <v>751</v>
      </c>
      <c r="B367" t="s">
        <v>949</v>
      </c>
      <c r="C367">
        <v>8.9999999999999993E-3</v>
      </c>
      <c r="D367" t="s">
        <v>753</v>
      </c>
      <c r="E367" t="s">
        <v>943</v>
      </c>
      <c r="F367" t="s">
        <v>948</v>
      </c>
      <c r="G367" t="s">
        <v>949</v>
      </c>
      <c r="H367">
        <v>999.99900000000002</v>
      </c>
      <c r="J367">
        <v>108254741</v>
      </c>
      <c r="K367" s="2">
        <v>45931</v>
      </c>
      <c r="L367">
        <v>24</v>
      </c>
      <c r="M367">
        <v>1</v>
      </c>
      <c r="N367">
        <v>7</v>
      </c>
      <c r="O367">
        <v>1</v>
      </c>
      <c r="P367" t="s">
        <v>7</v>
      </c>
      <c r="Q367">
        <v>36.313406000000001</v>
      </c>
      <c r="R367">
        <v>-78.552729999999997</v>
      </c>
      <c r="S367" t="s">
        <v>758</v>
      </c>
    </row>
    <row r="368" spans="1:19">
      <c r="A368" t="s">
        <v>751</v>
      </c>
      <c r="B368" t="s">
        <v>949</v>
      </c>
      <c r="C368">
        <v>2.5999999999999999E-2</v>
      </c>
      <c r="D368" t="s">
        <v>753</v>
      </c>
      <c r="E368" t="s">
        <v>943</v>
      </c>
      <c r="F368" t="s">
        <v>948</v>
      </c>
      <c r="G368" t="s">
        <v>949</v>
      </c>
      <c r="H368">
        <v>999.99900000000002</v>
      </c>
      <c r="J368">
        <v>107445952</v>
      </c>
      <c r="K368" s="2">
        <v>45170</v>
      </c>
      <c r="L368">
        <v>28</v>
      </c>
      <c r="M368">
        <v>1</v>
      </c>
      <c r="N368">
        <v>0</v>
      </c>
      <c r="O368">
        <v>1</v>
      </c>
      <c r="P368" t="s">
        <v>7</v>
      </c>
      <c r="Q368">
        <v>36.313470000000002</v>
      </c>
      <c r="R368">
        <v>-78.552390000000003</v>
      </c>
      <c r="S368" t="s">
        <v>758</v>
      </c>
    </row>
    <row r="369" spans="1:19">
      <c r="A369" t="s">
        <v>751</v>
      </c>
      <c r="B369" t="s">
        <v>949</v>
      </c>
      <c r="C369">
        <v>2.7E-2</v>
      </c>
      <c r="D369" t="s">
        <v>754</v>
      </c>
      <c r="E369" t="s">
        <v>943</v>
      </c>
      <c r="F369" t="s">
        <v>897</v>
      </c>
      <c r="G369" t="s">
        <v>949</v>
      </c>
      <c r="H369">
        <v>999.99900000000002</v>
      </c>
      <c r="J369">
        <v>108231920</v>
      </c>
      <c r="K369" s="2">
        <v>45909</v>
      </c>
      <c r="L369">
        <v>28</v>
      </c>
      <c r="M369">
        <v>1</v>
      </c>
      <c r="N369">
        <v>0</v>
      </c>
      <c r="O369">
        <v>1</v>
      </c>
      <c r="P369" t="s">
        <v>7</v>
      </c>
      <c r="Q369">
        <v>36.313816000000003</v>
      </c>
      <c r="R369">
        <v>-78.553070000000005</v>
      </c>
      <c r="S369" t="s">
        <v>758</v>
      </c>
    </row>
    <row r="370" spans="1:19">
      <c r="A370" t="s">
        <v>867</v>
      </c>
      <c r="B370" t="s">
        <v>891</v>
      </c>
      <c r="C370">
        <v>4.0000000000000001E-3</v>
      </c>
      <c r="D370" t="s">
        <v>755</v>
      </c>
      <c r="E370" t="s">
        <v>762</v>
      </c>
      <c r="F370" t="s">
        <v>891</v>
      </c>
      <c r="G370" t="s">
        <v>953</v>
      </c>
      <c r="H370">
        <v>2.0510000000000002</v>
      </c>
      <c r="J370">
        <v>106463140</v>
      </c>
      <c r="K370" s="2">
        <v>44201</v>
      </c>
      <c r="L370">
        <v>31</v>
      </c>
      <c r="M370">
        <v>1</v>
      </c>
      <c r="N370">
        <v>0</v>
      </c>
      <c r="O370">
        <v>1</v>
      </c>
      <c r="P370" t="s">
        <v>7</v>
      </c>
    </row>
    <row r="371" spans="1:19">
      <c r="A371" t="s">
        <v>867</v>
      </c>
      <c r="B371" t="s">
        <v>891</v>
      </c>
      <c r="C371">
        <v>0</v>
      </c>
      <c r="E371" t="s">
        <v>762</v>
      </c>
      <c r="F371" t="s">
        <v>762</v>
      </c>
      <c r="G371" t="s">
        <v>953</v>
      </c>
      <c r="H371">
        <v>2.0550000000000002</v>
      </c>
      <c r="J371">
        <v>106762748</v>
      </c>
      <c r="K371" s="2">
        <v>44510</v>
      </c>
      <c r="L371">
        <v>31</v>
      </c>
      <c r="M371">
        <v>1</v>
      </c>
      <c r="N371">
        <v>0</v>
      </c>
      <c r="O371">
        <v>1</v>
      </c>
      <c r="P371" t="s">
        <v>7</v>
      </c>
    </row>
    <row r="372" spans="1:19">
      <c r="A372" t="s">
        <v>867</v>
      </c>
      <c r="B372" t="s">
        <v>891</v>
      </c>
      <c r="C372">
        <v>0</v>
      </c>
      <c r="E372" t="s">
        <v>762</v>
      </c>
      <c r="F372" t="s">
        <v>987</v>
      </c>
      <c r="G372" t="s">
        <v>953</v>
      </c>
      <c r="H372">
        <v>2.0550000000000002</v>
      </c>
      <c r="J372">
        <v>106342283</v>
      </c>
      <c r="K372" s="2">
        <v>44076</v>
      </c>
      <c r="L372">
        <v>21</v>
      </c>
      <c r="M372">
        <v>1</v>
      </c>
      <c r="N372">
        <v>0</v>
      </c>
      <c r="O372">
        <v>1</v>
      </c>
      <c r="P372" t="s">
        <v>7</v>
      </c>
    </row>
    <row r="373" spans="1:19">
      <c r="A373" t="s">
        <v>867</v>
      </c>
      <c r="B373" t="s">
        <v>891</v>
      </c>
      <c r="C373">
        <v>0</v>
      </c>
      <c r="E373" t="s">
        <v>762</v>
      </c>
      <c r="G373" t="s">
        <v>953</v>
      </c>
      <c r="H373">
        <v>2.0550000000000002</v>
      </c>
      <c r="J373">
        <v>105849892</v>
      </c>
      <c r="K373" s="2">
        <v>43587</v>
      </c>
      <c r="L373">
        <v>21</v>
      </c>
      <c r="M373">
        <v>1</v>
      </c>
      <c r="N373">
        <v>0</v>
      </c>
      <c r="O373">
        <v>1</v>
      </c>
      <c r="P373" t="s">
        <v>7</v>
      </c>
    </row>
    <row r="374" spans="1:19">
      <c r="A374" t="s">
        <v>867</v>
      </c>
      <c r="B374" t="s">
        <v>891</v>
      </c>
      <c r="C374">
        <v>0</v>
      </c>
      <c r="E374" t="s">
        <v>762</v>
      </c>
      <c r="F374" t="s">
        <v>987</v>
      </c>
      <c r="G374" t="s">
        <v>953</v>
      </c>
      <c r="H374">
        <v>2.0550000000000002</v>
      </c>
      <c r="J374">
        <v>105552281</v>
      </c>
      <c r="K374" s="2">
        <v>43291</v>
      </c>
      <c r="L374">
        <v>21</v>
      </c>
      <c r="M374">
        <v>1</v>
      </c>
      <c r="N374">
        <v>8</v>
      </c>
      <c r="O374">
        <v>1</v>
      </c>
      <c r="P374" t="s">
        <v>7</v>
      </c>
    </row>
    <row r="375" spans="1:19">
      <c r="A375" t="s">
        <v>867</v>
      </c>
      <c r="B375" t="s">
        <v>891</v>
      </c>
      <c r="C375">
        <v>0</v>
      </c>
      <c r="E375" t="s">
        <v>762</v>
      </c>
      <c r="F375" t="s">
        <v>989</v>
      </c>
      <c r="G375" t="s">
        <v>953</v>
      </c>
      <c r="H375">
        <v>2.0550000000000002</v>
      </c>
      <c r="J375">
        <v>105164921</v>
      </c>
      <c r="K375" s="2">
        <v>42852</v>
      </c>
      <c r="L375">
        <v>21</v>
      </c>
      <c r="M375">
        <v>1</v>
      </c>
      <c r="N375">
        <v>0</v>
      </c>
      <c r="O375">
        <v>1</v>
      </c>
      <c r="P375" t="s">
        <v>7</v>
      </c>
    </row>
    <row r="376" spans="1:19">
      <c r="A376" t="s">
        <v>867</v>
      </c>
      <c r="B376" t="s">
        <v>891</v>
      </c>
      <c r="C376">
        <v>0</v>
      </c>
      <c r="D376" t="s">
        <v>755</v>
      </c>
      <c r="E376" t="s">
        <v>762</v>
      </c>
      <c r="F376" t="s">
        <v>869</v>
      </c>
      <c r="G376" t="s">
        <v>953</v>
      </c>
      <c r="H376">
        <v>2.0550000000000002</v>
      </c>
      <c r="J376">
        <v>105247665</v>
      </c>
      <c r="K376" s="2">
        <v>43018</v>
      </c>
      <c r="L376">
        <v>23</v>
      </c>
      <c r="M376">
        <v>1</v>
      </c>
      <c r="N376">
        <v>7</v>
      </c>
      <c r="O376">
        <v>1</v>
      </c>
      <c r="P376" t="s">
        <v>7</v>
      </c>
    </row>
    <row r="377" spans="1:19">
      <c r="A377" t="s">
        <v>867</v>
      </c>
      <c r="B377" t="s">
        <v>891</v>
      </c>
      <c r="C377">
        <v>1.9E-2</v>
      </c>
      <c r="D377" t="s">
        <v>753</v>
      </c>
      <c r="E377" t="s">
        <v>762</v>
      </c>
      <c r="F377" t="s">
        <v>902</v>
      </c>
      <c r="G377" t="s">
        <v>953</v>
      </c>
      <c r="H377">
        <v>2.0739999999999998</v>
      </c>
      <c r="J377">
        <v>105684376</v>
      </c>
      <c r="K377" s="2">
        <v>43420</v>
      </c>
      <c r="L377">
        <v>20</v>
      </c>
      <c r="M377">
        <v>1</v>
      </c>
      <c r="N377">
        <v>0</v>
      </c>
      <c r="O377">
        <v>2</v>
      </c>
      <c r="P377" t="s">
        <v>7</v>
      </c>
    </row>
    <row r="378" spans="1:19">
      <c r="A378" t="s">
        <v>867</v>
      </c>
      <c r="B378" t="s">
        <v>888</v>
      </c>
      <c r="C378">
        <v>0</v>
      </c>
      <c r="E378" t="s">
        <v>891</v>
      </c>
      <c r="F378" t="s">
        <v>869</v>
      </c>
      <c r="G378" t="s">
        <v>953</v>
      </c>
      <c r="H378">
        <v>2.6850000000000001</v>
      </c>
      <c r="J378">
        <v>105650743</v>
      </c>
      <c r="K378" s="2">
        <v>43399</v>
      </c>
      <c r="L378">
        <v>18</v>
      </c>
      <c r="M378">
        <v>2</v>
      </c>
      <c r="N378">
        <v>0</v>
      </c>
      <c r="O378">
        <v>5</v>
      </c>
      <c r="P378" t="s">
        <v>7</v>
      </c>
    </row>
    <row r="379" spans="1:19">
      <c r="A379" t="s">
        <v>867</v>
      </c>
      <c r="B379" t="s">
        <v>888</v>
      </c>
      <c r="C379">
        <v>0</v>
      </c>
      <c r="E379" t="s">
        <v>891</v>
      </c>
      <c r="F379" t="s">
        <v>891</v>
      </c>
      <c r="G379" t="s">
        <v>953</v>
      </c>
      <c r="H379">
        <v>2.6850000000000001</v>
      </c>
      <c r="J379">
        <v>108383499</v>
      </c>
      <c r="K379" s="2">
        <v>46038</v>
      </c>
      <c r="L379">
        <v>24</v>
      </c>
      <c r="M379">
        <v>1</v>
      </c>
      <c r="N379">
        <v>7</v>
      </c>
      <c r="O379">
        <v>1</v>
      </c>
      <c r="P379" t="s">
        <v>7</v>
      </c>
    </row>
    <row r="380" spans="1:19">
      <c r="A380" t="s">
        <v>867</v>
      </c>
      <c r="B380" t="s">
        <v>891</v>
      </c>
      <c r="C380">
        <v>0</v>
      </c>
      <c r="E380" t="s">
        <v>888</v>
      </c>
      <c r="F380" t="s">
        <v>990</v>
      </c>
      <c r="G380" t="s">
        <v>953</v>
      </c>
      <c r="H380">
        <v>2.6850000000000001</v>
      </c>
      <c r="J380">
        <v>105836651</v>
      </c>
      <c r="K380" s="2">
        <v>43557</v>
      </c>
      <c r="L380">
        <v>30</v>
      </c>
      <c r="M380">
        <v>2</v>
      </c>
      <c r="N380">
        <v>0</v>
      </c>
      <c r="O380">
        <v>1</v>
      </c>
      <c r="P380" t="s">
        <v>3</v>
      </c>
    </row>
    <row r="381" spans="1:19">
      <c r="A381" t="s">
        <v>867</v>
      </c>
      <c r="B381" t="s">
        <v>891</v>
      </c>
      <c r="C381">
        <v>0</v>
      </c>
      <c r="D381" t="s">
        <v>6</v>
      </c>
      <c r="E381" t="s">
        <v>888</v>
      </c>
      <c r="F381" t="s">
        <v>991</v>
      </c>
      <c r="G381" t="s">
        <v>953</v>
      </c>
      <c r="H381">
        <v>2.6850000000000001</v>
      </c>
      <c r="J381">
        <v>105765497</v>
      </c>
      <c r="K381" s="2">
        <v>43396</v>
      </c>
      <c r="L381">
        <v>18</v>
      </c>
      <c r="M381">
        <v>1</v>
      </c>
      <c r="N381">
        <v>0</v>
      </c>
      <c r="O381">
        <v>1</v>
      </c>
      <c r="P381" t="s">
        <v>7</v>
      </c>
    </row>
    <row r="382" spans="1:19">
      <c r="A382" t="s">
        <v>867</v>
      </c>
      <c r="B382" t="s">
        <v>891</v>
      </c>
      <c r="C382">
        <v>0</v>
      </c>
      <c r="E382" t="s">
        <v>869</v>
      </c>
      <c r="F382" t="s">
        <v>869</v>
      </c>
      <c r="G382" t="s">
        <v>953</v>
      </c>
      <c r="H382">
        <v>2.6850000000000001</v>
      </c>
      <c r="J382">
        <v>108334601</v>
      </c>
      <c r="K382" s="2">
        <v>46004</v>
      </c>
      <c r="L382">
        <v>1</v>
      </c>
      <c r="M382">
        <v>1</v>
      </c>
      <c r="N382">
        <v>0</v>
      </c>
      <c r="O382">
        <v>1</v>
      </c>
      <c r="P382" t="s">
        <v>7</v>
      </c>
    </row>
    <row r="383" spans="1:19">
      <c r="A383" t="s">
        <v>867</v>
      </c>
      <c r="B383" t="s">
        <v>891</v>
      </c>
      <c r="C383">
        <v>0</v>
      </c>
      <c r="E383" t="s">
        <v>869</v>
      </c>
      <c r="F383" t="s">
        <v>907</v>
      </c>
      <c r="G383" t="s">
        <v>953</v>
      </c>
      <c r="H383">
        <v>2.6850000000000001</v>
      </c>
      <c r="J383">
        <v>106510965</v>
      </c>
      <c r="K383" s="2">
        <v>44265</v>
      </c>
      <c r="L383">
        <v>23</v>
      </c>
      <c r="M383">
        <v>1</v>
      </c>
      <c r="N383">
        <v>0</v>
      </c>
      <c r="O383">
        <v>1</v>
      </c>
      <c r="P383" t="s">
        <v>3</v>
      </c>
    </row>
    <row r="384" spans="1:19">
      <c r="A384" t="s">
        <v>867</v>
      </c>
      <c r="B384" t="s">
        <v>891</v>
      </c>
      <c r="C384">
        <v>0</v>
      </c>
      <c r="E384" t="s">
        <v>869</v>
      </c>
      <c r="F384" t="s">
        <v>888</v>
      </c>
      <c r="G384" t="s">
        <v>953</v>
      </c>
      <c r="H384">
        <v>2.6850000000000001</v>
      </c>
      <c r="J384">
        <v>105494802</v>
      </c>
      <c r="K384" s="2">
        <v>43242</v>
      </c>
      <c r="L384">
        <v>30</v>
      </c>
      <c r="M384">
        <v>1</v>
      </c>
      <c r="N384">
        <v>7</v>
      </c>
      <c r="O384">
        <v>1</v>
      </c>
      <c r="P384" t="s">
        <v>7</v>
      </c>
    </row>
    <row r="385" spans="1:16">
      <c r="A385" t="s">
        <v>867</v>
      </c>
      <c r="B385" t="s">
        <v>891</v>
      </c>
      <c r="C385">
        <v>0</v>
      </c>
      <c r="E385" t="s">
        <v>869</v>
      </c>
      <c r="F385" t="s">
        <v>907</v>
      </c>
      <c r="G385" t="s">
        <v>953</v>
      </c>
      <c r="H385">
        <v>2.6850000000000001</v>
      </c>
      <c r="J385">
        <v>107817082</v>
      </c>
      <c r="K385" s="2">
        <v>45515</v>
      </c>
      <c r="L385">
        <v>23</v>
      </c>
      <c r="M385">
        <v>1</v>
      </c>
      <c r="N385">
        <v>0</v>
      </c>
      <c r="O385">
        <v>1</v>
      </c>
      <c r="P385" t="s">
        <v>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dimension ref="A1:AB390"/>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739</v>
      </c>
      <c r="B1" t="s">
        <v>740</v>
      </c>
      <c r="C1" t="s">
        <v>741</v>
      </c>
      <c r="D1" t="s">
        <v>742</v>
      </c>
      <c r="E1" t="s">
        <v>743</v>
      </c>
      <c r="F1" t="s">
        <v>744</v>
      </c>
      <c r="G1" t="s">
        <v>745</v>
      </c>
      <c r="H1" t="s">
        <v>746</v>
      </c>
      <c r="I1" t="s">
        <v>747</v>
      </c>
      <c r="J1" t="s">
        <v>763</v>
      </c>
      <c r="K1" t="s">
        <v>0</v>
      </c>
      <c r="L1" t="s">
        <v>1</v>
      </c>
      <c r="M1" t="s">
        <v>2</v>
      </c>
      <c r="N1" t="s">
        <v>3</v>
      </c>
      <c r="O1" t="s">
        <v>4</v>
      </c>
      <c r="P1" t="s">
        <v>5</v>
      </c>
      <c r="Q1" t="s">
        <v>6</v>
      </c>
      <c r="R1" t="s">
        <v>748</v>
      </c>
      <c r="S1" t="s">
        <v>749</v>
      </c>
      <c r="T1" t="s">
        <v>750</v>
      </c>
      <c r="U1" t="s">
        <v>367</v>
      </c>
      <c r="V1" t="s">
        <v>764</v>
      </c>
      <c r="W1" t="s">
        <v>765</v>
      </c>
      <c r="X1" t="s">
        <v>780</v>
      </c>
      <c r="Y1" t="s">
        <v>781</v>
      </c>
      <c r="Z1" t="s">
        <v>782</v>
      </c>
      <c r="AA1" t="s">
        <v>716</v>
      </c>
      <c r="AB1" t="s">
        <v>56</v>
      </c>
    </row>
    <row r="2" spans="1:28" s="619" customFormat="1">
      <c r="A2" s="618" t="s">
        <v>777</v>
      </c>
      <c r="L2" s="620"/>
    </row>
    <row r="3" spans="1:28">
      <c r="A3" t="s">
        <v>867</v>
      </c>
      <c r="B3" t="s">
        <v>869</v>
      </c>
      <c r="C3">
        <v>0</v>
      </c>
      <c r="E3" t="s">
        <v>762</v>
      </c>
      <c r="F3" t="s">
        <v>762</v>
      </c>
      <c r="G3" t="s">
        <v>869</v>
      </c>
      <c r="H3">
        <v>0.31</v>
      </c>
      <c r="J3" s="600" t="s">
        <v>766</v>
      </c>
      <c r="K3">
        <v>105172416</v>
      </c>
      <c r="L3" s="2">
        <v>42935</v>
      </c>
      <c r="M3">
        <v>31</v>
      </c>
      <c r="N3">
        <v>1</v>
      </c>
      <c r="O3">
        <v>0</v>
      </c>
      <c r="P3">
        <v>1</v>
      </c>
      <c r="Q3" t="s">
        <v>7</v>
      </c>
      <c r="W3" t="s">
        <v>992</v>
      </c>
      <c r="X3" t="s">
        <v>318</v>
      </c>
      <c r="Y3" t="s">
        <v>771</v>
      </c>
      <c r="Z3" t="s">
        <v>993</v>
      </c>
      <c r="AA3" t="s">
        <v>994</v>
      </c>
      <c r="AB3" t="s">
        <v>995</v>
      </c>
    </row>
    <row r="4" spans="1:28">
      <c r="A4" t="s">
        <v>867</v>
      </c>
      <c r="B4" t="s">
        <v>869</v>
      </c>
      <c r="C4">
        <v>0</v>
      </c>
      <c r="E4" t="s">
        <v>762</v>
      </c>
      <c r="F4" t="s">
        <v>887</v>
      </c>
      <c r="G4" t="s">
        <v>869</v>
      </c>
      <c r="H4">
        <v>0.31</v>
      </c>
      <c r="J4" s="600" t="s">
        <v>766</v>
      </c>
      <c r="K4">
        <v>105273794</v>
      </c>
      <c r="L4" s="2">
        <v>43041</v>
      </c>
      <c r="M4">
        <v>31</v>
      </c>
      <c r="N4">
        <v>1</v>
      </c>
      <c r="O4">
        <v>0</v>
      </c>
      <c r="P4">
        <v>1</v>
      </c>
      <c r="Q4" t="s">
        <v>7</v>
      </c>
      <c r="W4" t="s">
        <v>996</v>
      </c>
      <c r="X4" t="s">
        <v>318</v>
      </c>
      <c r="Y4" t="s">
        <v>993</v>
      </c>
      <c r="Z4" t="s">
        <v>771</v>
      </c>
      <c r="AA4" t="s">
        <v>997</v>
      </c>
      <c r="AB4" t="s">
        <v>998</v>
      </c>
    </row>
    <row r="5" spans="1:28">
      <c r="A5" t="s">
        <v>867</v>
      </c>
      <c r="B5" t="s">
        <v>762</v>
      </c>
      <c r="C5">
        <v>0</v>
      </c>
      <c r="E5" t="s">
        <v>869</v>
      </c>
      <c r="F5" t="s">
        <v>891</v>
      </c>
      <c r="G5" t="s">
        <v>943</v>
      </c>
      <c r="H5">
        <v>1.36</v>
      </c>
      <c r="J5" s="600" t="s">
        <v>766</v>
      </c>
      <c r="K5">
        <v>105329673</v>
      </c>
      <c r="L5" s="2">
        <v>43089</v>
      </c>
      <c r="M5">
        <v>30</v>
      </c>
      <c r="N5">
        <v>2</v>
      </c>
      <c r="O5">
        <v>7</v>
      </c>
      <c r="P5">
        <v>1</v>
      </c>
      <c r="Q5" t="s">
        <v>7</v>
      </c>
      <c r="W5" t="s">
        <v>999</v>
      </c>
      <c r="X5" t="s">
        <v>715</v>
      </c>
      <c r="Y5" t="s">
        <v>784</v>
      </c>
      <c r="Z5" t="s">
        <v>771</v>
      </c>
      <c r="AA5" t="s">
        <v>994</v>
      </c>
      <c r="AB5" t="s">
        <v>1000</v>
      </c>
    </row>
    <row r="6" spans="1:28">
      <c r="A6" t="s">
        <v>867</v>
      </c>
      <c r="B6" t="s">
        <v>869</v>
      </c>
      <c r="C6">
        <v>0</v>
      </c>
      <c r="D6" t="s">
        <v>753</v>
      </c>
      <c r="E6" t="s">
        <v>762</v>
      </c>
      <c r="F6" t="s">
        <v>891</v>
      </c>
      <c r="G6" t="s">
        <v>869</v>
      </c>
      <c r="H6">
        <v>0.31</v>
      </c>
      <c r="J6" s="600" t="s">
        <v>766</v>
      </c>
      <c r="K6">
        <v>105532814</v>
      </c>
      <c r="L6" s="2">
        <v>43284</v>
      </c>
      <c r="M6">
        <v>32</v>
      </c>
      <c r="N6">
        <v>1</v>
      </c>
      <c r="O6">
        <v>0</v>
      </c>
      <c r="P6">
        <v>1</v>
      </c>
      <c r="Q6" t="s">
        <v>7</v>
      </c>
      <c r="W6" t="s">
        <v>1001</v>
      </c>
      <c r="X6" t="s">
        <v>720</v>
      </c>
      <c r="Y6" t="s">
        <v>1002</v>
      </c>
      <c r="Z6" t="s">
        <v>1003</v>
      </c>
      <c r="AA6" t="s">
        <v>994</v>
      </c>
      <c r="AB6" t="s">
        <v>1004</v>
      </c>
    </row>
    <row r="7" spans="1:28">
      <c r="A7" t="s">
        <v>867</v>
      </c>
      <c r="B7" t="s">
        <v>869</v>
      </c>
      <c r="C7">
        <v>0</v>
      </c>
      <c r="E7" t="s">
        <v>762</v>
      </c>
      <c r="F7" t="s">
        <v>762</v>
      </c>
      <c r="G7" t="s">
        <v>869</v>
      </c>
      <c r="H7">
        <v>0.31</v>
      </c>
      <c r="J7" s="600" t="s">
        <v>766</v>
      </c>
      <c r="K7">
        <v>106097127</v>
      </c>
      <c r="L7" s="2">
        <v>43805</v>
      </c>
      <c r="M7">
        <v>21</v>
      </c>
      <c r="N7">
        <v>1</v>
      </c>
      <c r="O7">
        <v>7</v>
      </c>
      <c r="P7">
        <v>4</v>
      </c>
      <c r="Q7" t="s">
        <v>3</v>
      </c>
      <c r="W7" t="s">
        <v>1005</v>
      </c>
      <c r="X7" t="s">
        <v>311</v>
      </c>
      <c r="Y7" t="s">
        <v>1003</v>
      </c>
      <c r="Z7" t="s">
        <v>1003</v>
      </c>
      <c r="AA7" t="s">
        <v>997</v>
      </c>
      <c r="AB7" t="s">
        <v>1006</v>
      </c>
    </row>
    <row r="8" spans="1:28">
      <c r="A8" t="s">
        <v>867</v>
      </c>
      <c r="B8" t="s">
        <v>762</v>
      </c>
      <c r="C8">
        <v>0</v>
      </c>
      <c r="E8" t="s">
        <v>869</v>
      </c>
      <c r="F8" t="s">
        <v>924</v>
      </c>
      <c r="G8" t="s">
        <v>943</v>
      </c>
      <c r="H8">
        <v>1.36</v>
      </c>
      <c r="J8" s="600" t="s">
        <v>766</v>
      </c>
      <c r="K8">
        <v>106412908</v>
      </c>
      <c r="L8" s="2">
        <v>44152</v>
      </c>
      <c r="M8">
        <v>20</v>
      </c>
      <c r="N8">
        <v>1</v>
      </c>
      <c r="O8">
        <v>0</v>
      </c>
      <c r="P8">
        <v>1</v>
      </c>
      <c r="W8" t="s">
        <v>1007</v>
      </c>
      <c r="X8" t="s">
        <v>318</v>
      </c>
      <c r="Y8" t="s">
        <v>1003</v>
      </c>
      <c r="AA8" t="s">
        <v>997</v>
      </c>
      <c r="AB8" t="s">
        <v>1008</v>
      </c>
    </row>
    <row r="9" spans="1:28">
      <c r="A9" t="s">
        <v>867</v>
      </c>
      <c r="B9" t="s">
        <v>762</v>
      </c>
      <c r="C9">
        <v>0</v>
      </c>
      <c r="E9" t="s">
        <v>869</v>
      </c>
      <c r="F9" t="s">
        <v>891</v>
      </c>
      <c r="G9" t="s">
        <v>943</v>
      </c>
      <c r="H9">
        <v>1.36</v>
      </c>
      <c r="J9" s="600" t="s">
        <v>766</v>
      </c>
      <c r="K9">
        <v>106594525</v>
      </c>
      <c r="L9" s="2">
        <v>44342</v>
      </c>
      <c r="M9">
        <v>23</v>
      </c>
      <c r="N9">
        <v>1</v>
      </c>
      <c r="O9">
        <v>8</v>
      </c>
      <c r="P9">
        <v>1</v>
      </c>
      <c r="Q9" t="s">
        <v>7</v>
      </c>
      <c r="W9" t="s">
        <v>1009</v>
      </c>
      <c r="X9" t="s">
        <v>717</v>
      </c>
      <c r="Y9" t="s">
        <v>1003</v>
      </c>
      <c r="Z9" t="s">
        <v>1010</v>
      </c>
      <c r="AA9" t="s">
        <v>994</v>
      </c>
      <c r="AB9" t="s">
        <v>1011</v>
      </c>
    </row>
    <row r="10" spans="1:28">
      <c r="A10" t="s">
        <v>867</v>
      </c>
      <c r="B10" t="s">
        <v>869</v>
      </c>
      <c r="C10">
        <v>0</v>
      </c>
      <c r="E10" t="s">
        <v>762</v>
      </c>
      <c r="F10" t="s">
        <v>762</v>
      </c>
      <c r="G10" t="s">
        <v>869</v>
      </c>
      <c r="H10">
        <v>0.31</v>
      </c>
      <c r="J10" s="600" t="s">
        <v>766</v>
      </c>
      <c r="K10">
        <v>106899135</v>
      </c>
      <c r="L10" s="2">
        <v>44606</v>
      </c>
      <c r="M10">
        <v>30</v>
      </c>
      <c r="N10">
        <v>1</v>
      </c>
      <c r="O10">
        <v>0</v>
      </c>
      <c r="P10">
        <v>1</v>
      </c>
      <c r="Q10" t="s">
        <v>7</v>
      </c>
      <c r="W10" t="s">
        <v>1012</v>
      </c>
      <c r="X10" t="s">
        <v>715</v>
      </c>
      <c r="Y10" t="s">
        <v>1003</v>
      </c>
      <c r="Z10" t="s">
        <v>768</v>
      </c>
      <c r="AA10" t="s">
        <v>997</v>
      </c>
      <c r="AB10" t="s">
        <v>1013</v>
      </c>
    </row>
    <row r="11" spans="1:28">
      <c r="A11" t="s">
        <v>867</v>
      </c>
      <c r="B11" t="s">
        <v>762</v>
      </c>
      <c r="C11">
        <v>0</v>
      </c>
      <c r="E11" t="s">
        <v>869</v>
      </c>
      <c r="F11" t="s">
        <v>887</v>
      </c>
      <c r="G11" t="s">
        <v>943</v>
      </c>
      <c r="H11">
        <v>1.36</v>
      </c>
      <c r="J11" s="600" t="s">
        <v>766</v>
      </c>
      <c r="K11">
        <v>107863132</v>
      </c>
      <c r="L11" s="2">
        <v>45555</v>
      </c>
      <c r="M11">
        <v>28</v>
      </c>
      <c r="N11">
        <v>1</v>
      </c>
      <c r="O11">
        <v>10</v>
      </c>
      <c r="P11">
        <v>1</v>
      </c>
      <c r="Q11" t="s">
        <v>7</v>
      </c>
      <c r="W11" t="s">
        <v>1014</v>
      </c>
      <c r="X11" t="s">
        <v>314</v>
      </c>
      <c r="Y11" t="s">
        <v>768</v>
      </c>
      <c r="Z11" t="s">
        <v>768</v>
      </c>
      <c r="AA11" t="s">
        <v>997</v>
      </c>
      <c r="AB11" t="s">
        <v>1015</v>
      </c>
    </row>
    <row r="12" spans="1:28">
      <c r="A12" t="s">
        <v>867</v>
      </c>
      <c r="B12" t="s">
        <v>762</v>
      </c>
      <c r="C12">
        <v>0</v>
      </c>
      <c r="E12" t="s">
        <v>869</v>
      </c>
      <c r="F12" t="s">
        <v>924</v>
      </c>
      <c r="G12" t="s">
        <v>943</v>
      </c>
      <c r="H12">
        <v>1.36</v>
      </c>
      <c r="J12" s="600" t="s">
        <v>766</v>
      </c>
      <c r="K12">
        <v>107982237</v>
      </c>
      <c r="L12" s="2">
        <v>45665</v>
      </c>
      <c r="M12">
        <v>26</v>
      </c>
      <c r="N12">
        <v>1</v>
      </c>
      <c r="O12">
        <v>10</v>
      </c>
      <c r="P12">
        <v>1</v>
      </c>
      <c r="W12" t="s">
        <v>1016</v>
      </c>
      <c r="X12" t="s">
        <v>720</v>
      </c>
      <c r="Y12" t="s">
        <v>784</v>
      </c>
      <c r="Z12" t="s">
        <v>1017</v>
      </c>
      <c r="AA12" t="s">
        <v>994</v>
      </c>
      <c r="AB12" t="s">
        <v>1018</v>
      </c>
    </row>
    <row r="13" spans="1:28" s="616" customFormat="1">
      <c r="A13" s="615" t="s">
        <v>778</v>
      </c>
      <c r="L13" s="617"/>
    </row>
    <row r="14" spans="1:28" s="608" customFormat="1">
      <c r="A14" s="607" t="s">
        <v>774</v>
      </c>
      <c r="L14" s="609"/>
    </row>
    <row r="15" spans="1:28">
      <c r="A15" t="s">
        <v>867</v>
      </c>
      <c r="B15" t="s">
        <v>762</v>
      </c>
      <c r="C15">
        <v>0</v>
      </c>
      <c r="E15" t="s">
        <v>869</v>
      </c>
      <c r="F15" t="s">
        <v>968</v>
      </c>
      <c r="G15" t="s">
        <v>943</v>
      </c>
      <c r="H15">
        <v>1.36</v>
      </c>
      <c r="J15" s="600" t="s">
        <v>769</v>
      </c>
      <c r="K15">
        <v>105478298</v>
      </c>
      <c r="L15" s="2">
        <v>43234</v>
      </c>
      <c r="M15">
        <v>20</v>
      </c>
      <c r="N15">
        <v>1</v>
      </c>
      <c r="O15">
        <v>0</v>
      </c>
      <c r="P15">
        <v>1</v>
      </c>
      <c r="Q15" t="s">
        <v>7</v>
      </c>
      <c r="W15" t="s">
        <v>1019</v>
      </c>
      <c r="X15" t="s">
        <v>318</v>
      </c>
      <c r="Y15" t="s">
        <v>784</v>
      </c>
      <c r="AA15" t="s">
        <v>997</v>
      </c>
      <c r="AB15" t="s">
        <v>1020</v>
      </c>
    </row>
    <row r="16" spans="1:28">
      <c r="A16" t="s">
        <v>867</v>
      </c>
      <c r="B16" t="s">
        <v>762</v>
      </c>
      <c r="C16">
        <v>1.9E-2</v>
      </c>
      <c r="D16" t="s">
        <v>754</v>
      </c>
      <c r="E16" t="s">
        <v>869</v>
      </c>
      <c r="F16" t="s">
        <v>762</v>
      </c>
      <c r="G16" t="s">
        <v>943</v>
      </c>
      <c r="H16">
        <v>1.379</v>
      </c>
      <c r="J16" s="600" t="s">
        <v>769</v>
      </c>
      <c r="K16">
        <v>105774815</v>
      </c>
      <c r="L16" s="2">
        <v>43511</v>
      </c>
      <c r="M16">
        <v>31</v>
      </c>
      <c r="N16">
        <v>1</v>
      </c>
      <c r="O16">
        <v>0</v>
      </c>
      <c r="P16">
        <v>1</v>
      </c>
      <c r="Q16" t="s">
        <v>7</v>
      </c>
      <c r="W16" t="s">
        <v>1021</v>
      </c>
      <c r="X16" t="s">
        <v>318</v>
      </c>
      <c r="Y16" t="s">
        <v>993</v>
      </c>
      <c r="AA16" t="s">
        <v>997</v>
      </c>
      <c r="AB16" t="s">
        <v>1022</v>
      </c>
    </row>
    <row r="17" spans="1:28">
      <c r="A17" t="s">
        <v>867</v>
      </c>
      <c r="B17" t="s">
        <v>762</v>
      </c>
      <c r="C17">
        <v>0</v>
      </c>
      <c r="E17" t="s">
        <v>869</v>
      </c>
      <c r="F17" t="s">
        <v>869</v>
      </c>
      <c r="G17" t="s">
        <v>943</v>
      </c>
      <c r="H17">
        <v>1.36</v>
      </c>
      <c r="J17" s="600" t="s">
        <v>769</v>
      </c>
      <c r="K17">
        <v>107479858</v>
      </c>
      <c r="L17" s="2">
        <v>45191</v>
      </c>
      <c r="M17">
        <v>31</v>
      </c>
      <c r="N17">
        <v>1</v>
      </c>
      <c r="O17">
        <v>0</v>
      </c>
      <c r="P17">
        <v>1</v>
      </c>
      <c r="Q17" t="s">
        <v>7</v>
      </c>
      <c r="W17" t="s">
        <v>1023</v>
      </c>
      <c r="X17" t="s">
        <v>318</v>
      </c>
      <c r="Y17" t="s">
        <v>993</v>
      </c>
      <c r="Z17" t="s">
        <v>768</v>
      </c>
      <c r="AA17" t="s">
        <v>997</v>
      </c>
      <c r="AB17" t="s">
        <v>1024</v>
      </c>
    </row>
    <row r="18" spans="1:28">
      <c r="A18" t="s">
        <v>867</v>
      </c>
      <c r="B18" t="s">
        <v>762</v>
      </c>
      <c r="C18">
        <v>0</v>
      </c>
      <c r="E18" t="s">
        <v>869</v>
      </c>
      <c r="F18" t="s">
        <v>869</v>
      </c>
      <c r="G18" t="s">
        <v>943</v>
      </c>
      <c r="H18">
        <v>1.36</v>
      </c>
      <c r="J18" s="600" t="s">
        <v>769</v>
      </c>
      <c r="K18">
        <v>107674222</v>
      </c>
      <c r="L18" s="2">
        <v>45384</v>
      </c>
      <c r="M18">
        <v>30</v>
      </c>
      <c r="N18">
        <v>1</v>
      </c>
      <c r="O18">
        <v>0</v>
      </c>
      <c r="P18">
        <v>1</v>
      </c>
      <c r="Q18" t="s">
        <v>7</v>
      </c>
      <c r="W18" t="s">
        <v>1025</v>
      </c>
      <c r="X18" t="s">
        <v>318</v>
      </c>
      <c r="Y18" t="s">
        <v>993</v>
      </c>
      <c r="Z18" t="s">
        <v>768</v>
      </c>
      <c r="AA18" t="s">
        <v>997</v>
      </c>
      <c r="AB18" t="s">
        <v>1026</v>
      </c>
    </row>
    <row r="19" spans="1:28">
      <c r="A19" t="s">
        <v>867</v>
      </c>
      <c r="B19" t="s">
        <v>762</v>
      </c>
      <c r="C19">
        <v>0</v>
      </c>
      <c r="E19" t="s">
        <v>869</v>
      </c>
      <c r="F19" t="s">
        <v>762</v>
      </c>
      <c r="G19" t="s">
        <v>943</v>
      </c>
      <c r="H19">
        <v>1.36</v>
      </c>
      <c r="J19" s="600" t="s">
        <v>769</v>
      </c>
      <c r="K19">
        <v>107817083</v>
      </c>
      <c r="L19" s="2">
        <v>45505</v>
      </c>
      <c r="M19">
        <v>21</v>
      </c>
      <c r="N19">
        <v>1</v>
      </c>
      <c r="O19">
        <v>0</v>
      </c>
      <c r="P19">
        <v>1</v>
      </c>
      <c r="Q19" t="s">
        <v>7</v>
      </c>
      <c r="W19" t="s">
        <v>1027</v>
      </c>
      <c r="X19" t="s">
        <v>318</v>
      </c>
      <c r="Y19" t="s">
        <v>993</v>
      </c>
      <c r="Z19" t="s">
        <v>768</v>
      </c>
      <c r="AA19" t="s">
        <v>997</v>
      </c>
      <c r="AB19" t="s">
        <v>1028</v>
      </c>
    </row>
    <row r="20" spans="1:28">
      <c r="A20" t="s">
        <v>867</v>
      </c>
      <c r="B20" t="s">
        <v>762</v>
      </c>
      <c r="C20">
        <v>1.9E-2</v>
      </c>
      <c r="D20" t="s">
        <v>761</v>
      </c>
      <c r="E20" t="s">
        <v>869</v>
      </c>
      <c r="F20" t="s">
        <v>968</v>
      </c>
      <c r="G20" t="s">
        <v>943</v>
      </c>
      <c r="H20">
        <v>1.379</v>
      </c>
      <c r="J20" s="600" t="s">
        <v>769</v>
      </c>
      <c r="K20">
        <v>108004793</v>
      </c>
      <c r="L20" s="2">
        <v>45682</v>
      </c>
      <c r="M20">
        <v>30</v>
      </c>
      <c r="N20">
        <v>1</v>
      </c>
      <c r="O20">
        <v>0</v>
      </c>
      <c r="P20">
        <v>1</v>
      </c>
      <c r="Q20" t="s">
        <v>7</v>
      </c>
      <c r="W20" t="s">
        <v>1029</v>
      </c>
      <c r="X20" t="s">
        <v>318</v>
      </c>
      <c r="Y20" t="s">
        <v>993</v>
      </c>
      <c r="AA20" t="s">
        <v>997</v>
      </c>
      <c r="AB20" t="s">
        <v>1030</v>
      </c>
    </row>
    <row r="21" spans="1:28">
      <c r="A21" t="s">
        <v>867</v>
      </c>
      <c r="B21" t="s">
        <v>762</v>
      </c>
      <c r="C21">
        <v>0</v>
      </c>
      <c r="E21" t="s">
        <v>869</v>
      </c>
      <c r="F21" t="s">
        <v>891</v>
      </c>
      <c r="G21" t="s">
        <v>943</v>
      </c>
      <c r="H21">
        <v>1.36</v>
      </c>
      <c r="J21" s="600" t="s">
        <v>769</v>
      </c>
      <c r="K21">
        <v>108089406</v>
      </c>
      <c r="L21" s="2">
        <v>45771</v>
      </c>
      <c r="M21">
        <v>31</v>
      </c>
      <c r="N21">
        <v>1</v>
      </c>
      <c r="O21">
        <v>0</v>
      </c>
      <c r="P21">
        <v>1</v>
      </c>
      <c r="Q21" t="s">
        <v>7</v>
      </c>
      <c r="W21" t="s">
        <v>1031</v>
      </c>
      <c r="X21" t="s">
        <v>318</v>
      </c>
      <c r="Z21" t="s">
        <v>993</v>
      </c>
      <c r="AA21" t="s">
        <v>994</v>
      </c>
      <c r="AB21" t="s">
        <v>1032</v>
      </c>
    </row>
    <row r="22" spans="1:28" s="605" customFormat="1">
      <c r="A22" s="604" t="s">
        <v>773</v>
      </c>
      <c r="L22" s="606"/>
    </row>
    <row r="23" spans="1:28">
      <c r="A23" t="s">
        <v>867</v>
      </c>
      <c r="B23" t="s">
        <v>762</v>
      </c>
      <c r="C23">
        <v>1.9E-2</v>
      </c>
      <c r="D23" t="s">
        <v>6</v>
      </c>
      <c r="E23" t="s">
        <v>903</v>
      </c>
      <c r="F23" t="s">
        <v>891</v>
      </c>
      <c r="G23" t="s">
        <v>943</v>
      </c>
      <c r="H23">
        <v>1.149</v>
      </c>
      <c r="J23" s="600" t="s">
        <v>767</v>
      </c>
      <c r="K23">
        <v>105034371</v>
      </c>
      <c r="L23" s="2">
        <v>42804</v>
      </c>
      <c r="M23">
        <v>31</v>
      </c>
      <c r="N23">
        <v>1</v>
      </c>
      <c r="O23">
        <v>0</v>
      </c>
      <c r="P23">
        <v>1</v>
      </c>
      <c r="Q23" t="s">
        <v>7</v>
      </c>
      <c r="W23" t="s">
        <v>1033</v>
      </c>
      <c r="X23" t="s">
        <v>318</v>
      </c>
      <c r="Y23" t="s">
        <v>993</v>
      </c>
      <c r="AA23" t="s">
        <v>997</v>
      </c>
      <c r="AB23" t="s">
        <v>1034</v>
      </c>
    </row>
    <row r="24" spans="1:28">
      <c r="A24" t="s">
        <v>867</v>
      </c>
      <c r="B24" t="s">
        <v>869</v>
      </c>
      <c r="C24">
        <v>0</v>
      </c>
      <c r="E24" t="s">
        <v>869</v>
      </c>
      <c r="F24" t="s">
        <v>930</v>
      </c>
      <c r="G24" t="s">
        <v>869</v>
      </c>
      <c r="H24">
        <v>999.99900000000002</v>
      </c>
      <c r="J24" s="600" t="s">
        <v>767</v>
      </c>
      <c r="K24">
        <v>105202508</v>
      </c>
      <c r="L24" s="2">
        <v>42965</v>
      </c>
      <c r="M24">
        <v>21</v>
      </c>
      <c r="N24">
        <v>1</v>
      </c>
      <c r="O24">
        <v>0</v>
      </c>
      <c r="P24">
        <v>1</v>
      </c>
      <c r="Q24" t="s">
        <v>3</v>
      </c>
      <c r="W24" t="s">
        <v>1035</v>
      </c>
      <c r="X24" t="s">
        <v>311</v>
      </c>
      <c r="Y24" t="s">
        <v>771</v>
      </c>
      <c r="Z24" t="s">
        <v>1010</v>
      </c>
      <c r="AA24" t="s">
        <v>997</v>
      </c>
      <c r="AB24" t="s">
        <v>1036</v>
      </c>
    </row>
    <row r="25" spans="1:28">
      <c r="A25" t="s">
        <v>751</v>
      </c>
      <c r="B25" t="s">
        <v>943</v>
      </c>
      <c r="C25">
        <v>8.9999999999999993E-3</v>
      </c>
      <c r="D25" t="s">
        <v>6</v>
      </c>
      <c r="E25" t="s">
        <v>949</v>
      </c>
      <c r="F25" t="s">
        <v>966</v>
      </c>
      <c r="G25" t="s">
        <v>943</v>
      </c>
      <c r="H25">
        <v>1.4950000000000001</v>
      </c>
      <c r="J25" s="600" t="s">
        <v>767</v>
      </c>
      <c r="K25">
        <v>105220466</v>
      </c>
      <c r="L25" s="2">
        <v>42991</v>
      </c>
      <c r="M25">
        <v>21</v>
      </c>
      <c r="N25">
        <v>1</v>
      </c>
      <c r="O25">
        <v>7</v>
      </c>
      <c r="P25">
        <v>1</v>
      </c>
      <c r="Q25" t="s">
        <v>7</v>
      </c>
      <c r="W25" t="s">
        <v>1037</v>
      </c>
      <c r="X25" t="s">
        <v>311</v>
      </c>
      <c r="Y25" t="s">
        <v>1038</v>
      </c>
      <c r="Z25" t="s">
        <v>1038</v>
      </c>
      <c r="AA25" t="s">
        <v>997</v>
      </c>
      <c r="AB25" t="s">
        <v>1039</v>
      </c>
    </row>
    <row r="26" spans="1:28">
      <c r="A26" t="s">
        <v>867</v>
      </c>
      <c r="B26" t="s">
        <v>762</v>
      </c>
      <c r="C26">
        <v>0.114</v>
      </c>
      <c r="D26" t="s">
        <v>6</v>
      </c>
      <c r="E26" t="s">
        <v>891</v>
      </c>
      <c r="F26" t="s">
        <v>869</v>
      </c>
      <c r="G26" t="s">
        <v>943</v>
      </c>
      <c r="H26">
        <v>1.39</v>
      </c>
      <c r="J26" s="600" t="s">
        <v>767</v>
      </c>
      <c r="K26">
        <v>105255322</v>
      </c>
      <c r="L26" s="2">
        <v>43025</v>
      </c>
      <c r="M26">
        <v>31</v>
      </c>
      <c r="N26">
        <v>1</v>
      </c>
      <c r="O26">
        <v>0</v>
      </c>
      <c r="P26">
        <v>1</v>
      </c>
      <c r="Q26" t="s">
        <v>7</v>
      </c>
      <c r="W26" t="s">
        <v>1040</v>
      </c>
      <c r="X26" t="s">
        <v>318</v>
      </c>
      <c r="Z26" t="s">
        <v>993</v>
      </c>
      <c r="AA26" t="s">
        <v>994</v>
      </c>
      <c r="AB26" t="s">
        <v>1041</v>
      </c>
    </row>
    <row r="27" spans="1:28">
      <c r="A27" t="s">
        <v>867</v>
      </c>
      <c r="B27" t="s">
        <v>762</v>
      </c>
      <c r="C27">
        <v>0</v>
      </c>
      <c r="D27" t="s">
        <v>753</v>
      </c>
      <c r="E27" t="s">
        <v>891</v>
      </c>
      <c r="F27" t="s">
        <v>869</v>
      </c>
      <c r="G27" t="s">
        <v>943</v>
      </c>
      <c r="H27">
        <v>1.504</v>
      </c>
      <c r="J27" s="600" t="s">
        <v>767</v>
      </c>
      <c r="K27">
        <v>105471861</v>
      </c>
      <c r="L27" s="2">
        <v>43228</v>
      </c>
      <c r="M27">
        <v>18</v>
      </c>
      <c r="N27">
        <v>1</v>
      </c>
      <c r="O27">
        <v>0</v>
      </c>
      <c r="P27">
        <v>1</v>
      </c>
      <c r="Q27" t="s">
        <v>7</v>
      </c>
      <c r="W27" t="s">
        <v>1042</v>
      </c>
      <c r="X27" t="s">
        <v>318</v>
      </c>
      <c r="Y27" t="s">
        <v>993</v>
      </c>
      <c r="Z27" t="s">
        <v>768</v>
      </c>
      <c r="AA27" t="s">
        <v>997</v>
      </c>
      <c r="AB27" t="s">
        <v>1043</v>
      </c>
    </row>
    <row r="28" spans="1:28">
      <c r="A28" t="s">
        <v>867</v>
      </c>
      <c r="B28" t="s">
        <v>762</v>
      </c>
      <c r="C28">
        <v>3.7999999999999999E-2</v>
      </c>
      <c r="D28" t="s">
        <v>754</v>
      </c>
      <c r="E28" t="s">
        <v>869</v>
      </c>
      <c r="F28" t="s">
        <v>968</v>
      </c>
      <c r="G28" t="s">
        <v>943</v>
      </c>
      <c r="H28">
        <v>1.3979999999999999</v>
      </c>
      <c r="J28" s="600" t="s">
        <v>767</v>
      </c>
      <c r="K28">
        <v>105555859</v>
      </c>
      <c r="L28" s="2">
        <v>43311</v>
      </c>
      <c r="M28">
        <v>20</v>
      </c>
      <c r="N28">
        <v>1</v>
      </c>
      <c r="O28">
        <v>0</v>
      </c>
      <c r="P28">
        <v>1</v>
      </c>
      <c r="W28" t="s">
        <v>1044</v>
      </c>
      <c r="X28" t="s">
        <v>318</v>
      </c>
      <c r="Y28" t="s">
        <v>784</v>
      </c>
      <c r="AA28" t="s">
        <v>997</v>
      </c>
      <c r="AB28" t="s">
        <v>1045</v>
      </c>
    </row>
    <row r="29" spans="1:28">
      <c r="A29" t="s">
        <v>751</v>
      </c>
      <c r="B29" t="s">
        <v>943</v>
      </c>
      <c r="C29">
        <v>0.6</v>
      </c>
      <c r="D29" t="s">
        <v>6</v>
      </c>
      <c r="E29" t="s">
        <v>949</v>
      </c>
      <c r="F29" t="s">
        <v>966</v>
      </c>
      <c r="G29" t="s">
        <v>943</v>
      </c>
      <c r="H29">
        <v>0.90400000000000003</v>
      </c>
      <c r="J29" s="600" t="s">
        <v>767</v>
      </c>
      <c r="K29">
        <v>105563645</v>
      </c>
      <c r="L29" s="2">
        <v>43315</v>
      </c>
      <c r="M29">
        <v>21</v>
      </c>
      <c r="N29">
        <v>2</v>
      </c>
      <c r="O29">
        <v>4</v>
      </c>
      <c r="P29">
        <v>1</v>
      </c>
      <c r="Q29" t="s">
        <v>7</v>
      </c>
      <c r="W29" t="s">
        <v>1046</v>
      </c>
      <c r="X29" t="s">
        <v>311</v>
      </c>
      <c r="Y29" t="s">
        <v>784</v>
      </c>
      <c r="Z29" t="s">
        <v>784</v>
      </c>
      <c r="AA29" t="s">
        <v>997</v>
      </c>
      <c r="AB29" t="s">
        <v>1047</v>
      </c>
    </row>
    <row r="30" spans="1:28">
      <c r="A30" t="s">
        <v>867</v>
      </c>
      <c r="B30" t="s">
        <v>762</v>
      </c>
      <c r="C30">
        <v>0</v>
      </c>
      <c r="E30" t="s">
        <v>968</v>
      </c>
      <c r="F30" t="s">
        <v>869</v>
      </c>
      <c r="G30" t="s">
        <v>943</v>
      </c>
      <c r="H30">
        <v>1.421</v>
      </c>
      <c r="J30" s="600" t="s">
        <v>767</v>
      </c>
      <c r="K30">
        <v>105733123</v>
      </c>
      <c r="L30" s="2">
        <v>43467</v>
      </c>
      <c r="M30">
        <v>30</v>
      </c>
      <c r="N30">
        <v>1</v>
      </c>
      <c r="O30">
        <v>0</v>
      </c>
      <c r="P30">
        <v>1</v>
      </c>
      <c r="Q30" t="s">
        <v>7</v>
      </c>
      <c r="W30" t="s">
        <v>1048</v>
      </c>
      <c r="X30" t="s">
        <v>318</v>
      </c>
      <c r="Y30" t="s">
        <v>783</v>
      </c>
      <c r="Z30" t="s">
        <v>993</v>
      </c>
      <c r="AA30" t="s">
        <v>310</v>
      </c>
      <c r="AB30" t="s">
        <v>1049</v>
      </c>
    </row>
    <row r="31" spans="1:28">
      <c r="A31" t="s">
        <v>867</v>
      </c>
      <c r="B31" t="s">
        <v>762</v>
      </c>
      <c r="C31">
        <v>1.0999999999999999E-2</v>
      </c>
      <c r="D31" t="s">
        <v>6</v>
      </c>
      <c r="E31" t="s">
        <v>891</v>
      </c>
      <c r="F31" t="s">
        <v>762</v>
      </c>
      <c r="G31" t="s">
        <v>943</v>
      </c>
      <c r="H31">
        <v>1.4930000000000001</v>
      </c>
      <c r="J31" s="600" t="s">
        <v>767</v>
      </c>
      <c r="K31">
        <v>105803061</v>
      </c>
      <c r="L31" s="2">
        <v>43540</v>
      </c>
      <c r="M31">
        <v>32</v>
      </c>
      <c r="N31">
        <v>1</v>
      </c>
      <c r="O31">
        <v>0</v>
      </c>
      <c r="P31">
        <v>1</v>
      </c>
      <c r="Q31" t="s">
        <v>7</v>
      </c>
      <c r="W31" t="s">
        <v>1050</v>
      </c>
      <c r="X31" t="s">
        <v>318</v>
      </c>
      <c r="Y31" t="s">
        <v>1038</v>
      </c>
      <c r="AA31" t="s">
        <v>997</v>
      </c>
      <c r="AB31" t="s">
        <v>1051</v>
      </c>
    </row>
    <row r="32" spans="1:28">
      <c r="A32" t="s">
        <v>867</v>
      </c>
      <c r="B32" t="s">
        <v>884</v>
      </c>
      <c r="C32">
        <v>0</v>
      </c>
      <c r="E32" t="s">
        <v>762</v>
      </c>
      <c r="F32" t="s">
        <v>869</v>
      </c>
      <c r="H32">
        <v>999.99900000000002</v>
      </c>
      <c r="J32" s="600" t="s">
        <v>767</v>
      </c>
      <c r="K32">
        <v>106017912</v>
      </c>
      <c r="L32" s="2">
        <v>43739</v>
      </c>
      <c r="M32">
        <v>31</v>
      </c>
      <c r="N32">
        <v>1</v>
      </c>
      <c r="O32">
        <v>0</v>
      </c>
      <c r="P32">
        <v>1</v>
      </c>
      <c r="Q32" t="s">
        <v>7</v>
      </c>
      <c r="W32" t="s">
        <v>1052</v>
      </c>
      <c r="X32" t="s">
        <v>318</v>
      </c>
      <c r="Y32" t="s">
        <v>993</v>
      </c>
      <c r="Z32" t="s">
        <v>784</v>
      </c>
      <c r="AA32" t="s">
        <v>997</v>
      </c>
      <c r="AB32" t="s">
        <v>1053</v>
      </c>
    </row>
    <row r="33" spans="1:28">
      <c r="A33" t="s">
        <v>867</v>
      </c>
      <c r="B33" t="s">
        <v>935</v>
      </c>
      <c r="C33">
        <v>4.0000000000000001E-3</v>
      </c>
      <c r="D33" t="s">
        <v>754</v>
      </c>
      <c r="E33" t="s">
        <v>869</v>
      </c>
      <c r="F33" t="s">
        <v>762</v>
      </c>
      <c r="G33" t="s">
        <v>869</v>
      </c>
      <c r="H33">
        <v>999.99900000000002</v>
      </c>
      <c r="J33" s="600" t="s">
        <v>767</v>
      </c>
      <c r="K33">
        <v>106036274</v>
      </c>
      <c r="L33" s="2">
        <v>43761</v>
      </c>
      <c r="M33">
        <v>20</v>
      </c>
      <c r="N33">
        <v>1</v>
      </c>
      <c r="O33">
        <v>4</v>
      </c>
      <c r="P33">
        <v>1</v>
      </c>
      <c r="Q33" t="s">
        <v>7</v>
      </c>
      <c r="W33" t="s">
        <v>1054</v>
      </c>
      <c r="X33" t="s">
        <v>318</v>
      </c>
      <c r="Z33" t="s">
        <v>993</v>
      </c>
      <c r="AA33" t="s">
        <v>994</v>
      </c>
      <c r="AB33" t="s">
        <v>1055</v>
      </c>
    </row>
    <row r="34" spans="1:28">
      <c r="A34" t="s">
        <v>867</v>
      </c>
      <c r="B34" t="s">
        <v>762</v>
      </c>
      <c r="C34">
        <v>9.5000000000000001E-2</v>
      </c>
      <c r="D34" t="s">
        <v>754</v>
      </c>
      <c r="E34" t="s">
        <v>869</v>
      </c>
      <c r="F34" t="s">
        <v>927</v>
      </c>
      <c r="G34" t="s">
        <v>943</v>
      </c>
      <c r="H34">
        <v>1.4550000000000001</v>
      </c>
      <c r="J34" s="600" t="s">
        <v>767</v>
      </c>
      <c r="K34">
        <v>106038134</v>
      </c>
      <c r="L34" s="2">
        <v>43763</v>
      </c>
      <c r="M34">
        <v>31</v>
      </c>
      <c r="N34">
        <v>1</v>
      </c>
      <c r="O34">
        <v>0</v>
      </c>
      <c r="P34">
        <v>1</v>
      </c>
      <c r="Q34" t="s">
        <v>7</v>
      </c>
      <c r="W34" t="s">
        <v>1056</v>
      </c>
      <c r="X34" t="s">
        <v>318</v>
      </c>
      <c r="Y34" t="s">
        <v>993</v>
      </c>
      <c r="Z34" t="s">
        <v>768</v>
      </c>
      <c r="AA34" t="s">
        <v>997</v>
      </c>
      <c r="AB34" t="s">
        <v>1057</v>
      </c>
    </row>
    <row r="35" spans="1:28">
      <c r="A35" t="s">
        <v>867</v>
      </c>
      <c r="B35" t="s">
        <v>762</v>
      </c>
      <c r="C35">
        <v>0</v>
      </c>
      <c r="E35" t="s">
        <v>968</v>
      </c>
      <c r="F35" t="s">
        <v>869</v>
      </c>
      <c r="G35" t="s">
        <v>943</v>
      </c>
      <c r="H35">
        <v>1.421</v>
      </c>
      <c r="J35" s="600" t="s">
        <v>767</v>
      </c>
      <c r="K35">
        <v>106197362</v>
      </c>
      <c r="L35" s="2">
        <v>43915</v>
      </c>
      <c r="M35">
        <v>21</v>
      </c>
      <c r="N35">
        <v>2</v>
      </c>
      <c r="O35">
        <v>8</v>
      </c>
      <c r="P35">
        <v>1</v>
      </c>
      <c r="Q35" t="s">
        <v>7</v>
      </c>
      <c r="W35" t="s">
        <v>1058</v>
      </c>
      <c r="X35" t="s">
        <v>311</v>
      </c>
      <c r="Y35" t="s">
        <v>768</v>
      </c>
      <c r="Z35" t="s">
        <v>768</v>
      </c>
      <c r="AA35" t="s">
        <v>997</v>
      </c>
      <c r="AB35" t="s">
        <v>1059</v>
      </c>
    </row>
    <row r="36" spans="1:28">
      <c r="A36" t="s">
        <v>867</v>
      </c>
      <c r="B36" t="s">
        <v>762</v>
      </c>
      <c r="C36">
        <v>0</v>
      </c>
      <c r="D36" t="s">
        <v>6</v>
      </c>
      <c r="E36" t="s">
        <v>881</v>
      </c>
      <c r="F36" t="s">
        <v>903</v>
      </c>
      <c r="G36" t="s">
        <v>762</v>
      </c>
      <c r="H36">
        <v>999.99900000000002</v>
      </c>
      <c r="J36" s="600" t="s">
        <v>767</v>
      </c>
      <c r="K36">
        <v>106558296</v>
      </c>
      <c r="L36" s="2">
        <v>44309</v>
      </c>
      <c r="M36">
        <v>30</v>
      </c>
      <c r="N36">
        <v>1</v>
      </c>
      <c r="O36">
        <v>0</v>
      </c>
      <c r="P36">
        <v>1</v>
      </c>
      <c r="Q36" t="s">
        <v>7</v>
      </c>
      <c r="W36" t="s">
        <v>1060</v>
      </c>
      <c r="X36" t="s">
        <v>311</v>
      </c>
      <c r="Y36" t="s">
        <v>768</v>
      </c>
      <c r="Z36" t="s">
        <v>768</v>
      </c>
      <c r="AA36" t="s">
        <v>997</v>
      </c>
      <c r="AB36" t="s">
        <v>1061</v>
      </c>
    </row>
    <row r="37" spans="1:28">
      <c r="A37" t="s">
        <v>867</v>
      </c>
      <c r="B37" t="s">
        <v>869</v>
      </c>
      <c r="C37">
        <v>0</v>
      </c>
      <c r="E37" t="s">
        <v>891</v>
      </c>
      <c r="F37" t="s">
        <v>869</v>
      </c>
      <c r="G37" t="s">
        <v>869</v>
      </c>
      <c r="H37">
        <v>999.99900000000002</v>
      </c>
      <c r="J37" s="600" t="s">
        <v>767</v>
      </c>
      <c r="K37">
        <v>106899128</v>
      </c>
      <c r="L37" s="2">
        <v>44578</v>
      </c>
      <c r="M37">
        <v>20</v>
      </c>
      <c r="N37">
        <v>1</v>
      </c>
      <c r="O37">
        <v>0</v>
      </c>
      <c r="P37">
        <v>1</v>
      </c>
      <c r="W37" t="s">
        <v>1062</v>
      </c>
      <c r="X37" t="s">
        <v>318</v>
      </c>
      <c r="Y37" t="s">
        <v>1003</v>
      </c>
      <c r="AA37" t="s">
        <v>997</v>
      </c>
      <c r="AB37" t="s">
        <v>1063</v>
      </c>
    </row>
    <row r="38" spans="1:28">
      <c r="A38" t="s">
        <v>867</v>
      </c>
      <c r="B38" t="s">
        <v>869</v>
      </c>
      <c r="C38">
        <v>0</v>
      </c>
      <c r="E38" t="s">
        <v>924</v>
      </c>
      <c r="F38" t="s">
        <v>762</v>
      </c>
      <c r="G38" t="s">
        <v>869</v>
      </c>
      <c r="H38">
        <v>999.99900000000002</v>
      </c>
      <c r="J38" s="600" t="s">
        <v>767</v>
      </c>
      <c r="K38">
        <v>106955408</v>
      </c>
      <c r="L38" s="2">
        <v>44683</v>
      </c>
      <c r="M38">
        <v>13</v>
      </c>
      <c r="N38">
        <v>1</v>
      </c>
      <c r="O38">
        <v>0</v>
      </c>
      <c r="P38">
        <v>1</v>
      </c>
      <c r="Q38" t="s">
        <v>10</v>
      </c>
      <c r="R38">
        <v>36.309199</v>
      </c>
      <c r="S38">
        <v>-78.590108999999998</v>
      </c>
      <c r="T38" t="s">
        <v>756</v>
      </c>
      <c r="V38">
        <v>0.16506981945358781</v>
      </c>
      <c r="W38" t="s">
        <v>1064</v>
      </c>
      <c r="X38" t="s">
        <v>714</v>
      </c>
      <c r="Y38" t="s">
        <v>771</v>
      </c>
      <c r="AA38" t="s">
        <v>997</v>
      </c>
      <c r="AB38" t="s">
        <v>1065</v>
      </c>
    </row>
    <row r="39" spans="1:28">
      <c r="A39" t="s">
        <v>867</v>
      </c>
      <c r="B39" t="s">
        <v>869</v>
      </c>
      <c r="C39">
        <v>0</v>
      </c>
      <c r="E39" t="s">
        <v>914</v>
      </c>
      <c r="F39" t="s">
        <v>869</v>
      </c>
      <c r="G39" t="s">
        <v>869</v>
      </c>
      <c r="H39">
        <v>999.99900000000002</v>
      </c>
      <c r="J39" s="600" t="s">
        <v>767</v>
      </c>
      <c r="K39">
        <v>107105886</v>
      </c>
      <c r="L39" s="2">
        <v>44835</v>
      </c>
      <c r="M39">
        <v>3</v>
      </c>
      <c r="N39">
        <v>2</v>
      </c>
      <c r="O39">
        <v>0</v>
      </c>
      <c r="P39">
        <v>6</v>
      </c>
      <c r="W39" t="s">
        <v>1066</v>
      </c>
      <c r="X39" t="s">
        <v>315</v>
      </c>
      <c r="Y39" t="s">
        <v>1067</v>
      </c>
      <c r="AA39" t="s">
        <v>997</v>
      </c>
      <c r="AB39" t="s">
        <v>1068</v>
      </c>
    </row>
    <row r="40" spans="1:28">
      <c r="A40" t="s">
        <v>867</v>
      </c>
      <c r="B40" t="s">
        <v>869</v>
      </c>
      <c r="C40">
        <v>0</v>
      </c>
      <c r="E40" t="s">
        <v>930</v>
      </c>
      <c r="G40" t="s">
        <v>869</v>
      </c>
      <c r="H40">
        <v>999.99900000000002</v>
      </c>
      <c r="J40" s="600" t="s">
        <v>767</v>
      </c>
      <c r="K40">
        <v>107195886</v>
      </c>
      <c r="L40" s="2">
        <v>44848</v>
      </c>
      <c r="M40">
        <v>28</v>
      </c>
      <c r="N40">
        <v>1</v>
      </c>
      <c r="O40">
        <v>0</v>
      </c>
      <c r="P40">
        <v>1</v>
      </c>
      <c r="Q40" t="s">
        <v>7</v>
      </c>
      <c r="W40" t="s">
        <v>1069</v>
      </c>
      <c r="X40" t="s">
        <v>717</v>
      </c>
      <c r="Y40" t="s">
        <v>770</v>
      </c>
      <c r="Z40" t="s">
        <v>784</v>
      </c>
      <c r="AA40" t="s">
        <v>997</v>
      </c>
      <c r="AB40" t="s">
        <v>1070</v>
      </c>
    </row>
    <row r="41" spans="1:28">
      <c r="A41" t="s">
        <v>751</v>
      </c>
      <c r="B41" t="s">
        <v>943</v>
      </c>
      <c r="C41">
        <v>0.1</v>
      </c>
      <c r="D41" t="s">
        <v>753</v>
      </c>
      <c r="E41" t="s">
        <v>949</v>
      </c>
      <c r="F41" t="s">
        <v>971</v>
      </c>
      <c r="G41" t="s">
        <v>943</v>
      </c>
      <c r="H41">
        <v>1.4039999999999999</v>
      </c>
      <c r="J41" s="600" t="s">
        <v>767</v>
      </c>
      <c r="K41">
        <v>107150708</v>
      </c>
      <c r="L41" s="2">
        <v>44880</v>
      </c>
      <c r="M41">
        <v>19</v>
      </c>
      <c r="N41">
        <v>1</v>
      </c>
      <c r="O41">
        <v>0</v>
      </c>
      <c r="P41">
        <v>4</v>
      </c>
      <c r="W41" t="s">
        <v>1071</v>
      </c>
      <c r="X41" t="s">
        <v>312</v>
      </c>
      <c r="Y41" t="s">
        <v>1003</v>
      </c>
      <c r="AA41" t="s">
        <v>997</v>
      </c>
      <c r="AB41" t="s">
        <v>1072</v>
      </c>
    </row>
    <row r="42" spans="1:28">
      <c r="A42" t="s">
        <v>867</v>
      </c>
      <c r="B42" t="s">
        <v>762</v>
      </c>
      <c r="C42">
        <v>2.8000000000000001E-2</v>
      </c>
      <c r="D42" t="s">
        <v>754</v>
      </c>
      <c r="E42" t="s">
        <v>968</v>
      </c>
      <c r="F42" t="s">
        <v>869</v>
      </c>
      <c r="G42" t="s">
        <v>943</v>
      </c>
      <c r="H42">
        <v>1.4490000000000001</v>
      </c>
      <c r="J42" s="600" t="s">
        <v>767</v>
      </c>
      <c r="K42">
        <v>107343387</v>
      </c>
      <c r="L42" s="2">
        <v>45063</v>
      </c>
      <c r="M42">
        <v>30</v>
      </c>
      <c r="N42">
        <v>1</v>
      </c>
      <c r="O42">
        <v>0</v>
      </c>
      <c r="P42">
        <v>1</v>
      </c>
      <c r="W42" t="s">
        <v>1073</v>
      </c>
      <c r="X42" t="s">
        <v>318</v>
      </c>
      <c r="Y42" t="s">
        <v>768</v>
      </c>
      <c r="AA42" t="s">
        <v>997</v>
      </c>
      <c r="AB42" t="s">
        <v>1074</v>
      </c>
    </row>
    <row r="43" spans="1:28">
      <c r="A43" t="s">
        <v>867</v>
      </c>
      <c r="B43" t="s">
        <v>872</v>
      </c>
      <c r="C43">
        <v>0</v>
      </c>
      <c r="E43" t="s">
        <v>969</v>
      </c>
      <c r="F43" t="s">
        <v>869</v>
      </c>
      <c r="G43" t="s">
        <v>943</v>
      </c>
      <c r="H43">
        <v>1.36</v>
      </c>
      <c r="J43" s="600" t="s">
        <v>767</v>
      </c>
      <c r="K43">
        <v>107433763</v>
      </c>
      <c r="L43" s="2">
        <v>45162</v>
      </c>
      <c r="M43">
        <v>31</v>
      </c>
      <c r="N43">
        <v>1</v>
      </c>
      <c r="O43">
        <v>0</v>
      </c>
      <c r="P43">
        <v>1</v>
      </c>
      <c r="W43" t="s">
        <v>1075</v>
      </c>
      <c r="X43" t="s">
        <v>318</v>
      </c>
      <c r="Y43" t="s">
        <v>993</v>
      </c>
      <c r="Z43" t="s">
        <v>1003</v>
      </c>
      <c r="AA43" t="s">
        <v>997</v>
      </c>
      <c r="AB43" t="s">
        <v>1076</v>
      </c>
    </row>
    <row r="44" spans="1:28">
      <c r="A44" t="s">
        <v>867</v>
      </c>
      <c r="B44" t="s">
        <v>762</v>
      </c>
      <c r="C44">
        <v>0</v>
      </c>
      <c r="E44" t="s">
        <v>968</v>
      </c>
      <c r="F44" t="s">
        <v>762</v>
      </c>
      <c r="G44" t="s">
        <v>943</v>
      </c>
      <c r="H44">
        <v>1.421</v>
      </c>
      <c r="J44" s="600" t="s">
        <v>767</v>
      </c>
      <c r="K44">
        <v>107470908</v>
      </c>
      <c r="L44" s="2">
        <v>45196</v>
      </c>
      <c r="M44">
        <v>21</v>
      </c>
      <c r="N44">
        <v>1</v>
      </c>
      <c r="O44">
        <v>0</v>
      </c>
      <c r="P44">
        <v>1</v>
      </c>
      <c r="Q44" t="s">
        <v>7</v>
      </c>
      <c r="W44" t="s">
        <v>1077</v>
      </c>
      <c r="X44" t="s">
        <v>311</v>
      </c>
      <c r="Y44" t="s">
        <v>784</v>
      </c>
      <c r="Z44" t="s">
        <v>784</v>
      </c>
      <c r="AA44" t="s">
        <v>997</v>
      </c>
      <c r="AB44" t="s">
        <v>1078</v>
      </c>
    </row>
    <row r="45" spans="1:28">
      <c r="A45" t="s">
        <v>867</v>
      </c>
      <c r="B45" t="s">
        <v>869</v>
      </c>
      <c r="C45">
        <v>0</v>
      </c>
      <c r="E45" t="s">
        <v>924</v>
      </c>
      <c r="F45" t="s">
        <v>869</v>
      </c>
      <c r="G45" t="s">
        <v>869</v>
      </c>
      <c r="H45">
        <v>999.99900000000002</v>
      </c>
      <c r="J45" s="600" t="s">
        <v>767</v>
      </c>
      <c r="K45">
        <v>107874844</v>
      </c>
      <c r="L45" s="2">
        <v>45572</v>
      </c>
      <c r="M45">
        <v>28</v>
      </c>
      <c r="N45">
        <v>1</v>
      </c>
      <c r="O45">
        <v>7</v>
      </c>
      <c r="P45">
        <v>1</v>
      </c>
      <c r="Q45" t="s">
        <v>7</v>
      </c>
      <c r="W45" t="s">
        <v>1079</v>
      </c>
      <c r="X45" t="s">
        <v>314</v>
      </c>
      <c r="Y45" t="s">
        <v>783</v>
      </c>
      <c r="Z45" t="s">
        <v>1003</v>
      </c>
      <c r="AA45" t="s">
        <v>994</v>
      </c>
      <c r="AB45" t="s">
        <v>1080</v>
      </c>
    </row>
    <row r="46" spans="1:28">
      <c r="A46" t="s">
        <v>867</v>
      </c>
      <c r="B46" t="s">
        <v>869</v>
      </c>
      <c r="C46">
        <v>0</v>
      </c>
      <c r="E46" t="s">
        <v>926</v>
      </c>
      <c r="F46" t="s">
        <v>762</v>
      </c>
      <c r="G46" t="s">
        <v>869</v>
      </c>
      <c r="H46">
        <v>0.09</v>
      </c>
      <c r="J46" s="600" t="s">
        <v>767</v>
      </c>
      <c r="K46">
        <v>107935640</v>
      </c>
      <c r="L46" s="2">
        <v>45608</v>
      </c>
      <c r="M46">
        <v>30</v>
      </c>
      <c r="N46">
        <v>1</v>
      </c>
      <c r="O46">
        <v>0</v>
      </c>
      <c r="P46">
        <v>4</v>
      </c>
      <c r="Q46" t="s">
        <v>7</v>
      </c>
      <c r="W46" t="s">
        <v>1081</v>
      </c>
      <c r="X46" t="s">
        <v>717</v>
      </c>
      <c r="Y46" t="s">
        <v>783</v>
      </c>
      <c r="Z46" t="s">
        <v>771</v>
      </c>
      <c r="AA46" t="s">
        <v>997</v>
      </c>
      <c r="AB46" t="s">
        <v>1082</v>
      </c>
    </row>
    <row r="47" spans="1:28">
      <c r="A47" t="s">
        <v>867</v>
      </c>
      <c r="B47" t="s">
        <v>869</v>
      </c>
      <c r="C47">
        <v>0</v>
      </c>
      <c r="E47" t="s">
        <v>869</v>
      </c>
      <c r="F47" t="s">
        <v>924</v>
      </c>
      <c r="G47" t="s">
        <v>869</v>
      </c>
      <c r="H47">
        <v>999.99900000000002</v>
      </c>
      <c r="J47" s="600" t="s">
        <v>767</v>
      </c>
      <c r="K47">
        <v>108080999</v>
      </c>
      <c r="L47" s="2">
        <v>45763</v>
      </c>
      <c r="M47">
        <v>31</v>
      </c>
      <c r="N47">
        <v>1</v>
      </c>
      <c r="O47">
        <v>13</v>
      </c>
      <c r="P47">
        <v>1</v>
      </c>
      <c r="Q47" t="s">
        <v>7</v>
      </c>
      <c r="W47" t="s">
        <v>1083</v>
      </c>
      <c r="X47" t="s">
        <v>318</v>
      </c>
      <c r="Y47" t="s">
        <v>993</v>
      </c>
      <c r="AA47" t="s">
        <v>997</v>
      </c>
      <c r="AB47" t="s">
        <v>1084</v>
      </c>
    </row>
    <row r="48" spans="1:28">
      <c r="A48" t="s">
        <v>867</v>
      </c>
      <c r="B48" t="s">
        <v>762</v>
      </c>
      <c r="C48">
        <v>0</v>
      </c>
      <c r="E48" t="s">
        <v>881</v>
      </c>
      <c r="F48" t="s">
        <v>869</v>
      </c>
      <c r="G48" t="s">
        <v>762</v>
      </c>
      <c r="H48">
        <v>999.99900000000002</v>
      </c>
      <c r="J48" s="600" t="s">
        <v>767</v>
      </c>
      <c r="K48">
        <v>108099425</v>
      </c>
      <c r="L48" s="2">
        <v>45782</v>
      </c>
      <c r="M48">
        <v>31</v>
      </c>
      <c r="N48">
        <v>1</v>
      </c>
      <c r="O48">
        <v>0</v>
      </c>
      <c r="P48">
        <v>1</v>
      </c>
      <c r="Q48" t="s">
        <v>7</v>
      </c>
      <c r="W48" t="s">
        <v>1085</v>
      </c>
      <c r="X48" t="s">
        <v>318</v>
      </c>
      <c r="Y48" t="s">
        <v>993</v>
      </c>
      <c r="Z48" t="s">
        <v>768</v>
      </c>
      <c r="AA48" t="s">
        <v>997</v>
      </c>
      <c r="AB48" t="s">
        <v>1086</v>
      </c>
    </row>
    <row r="49" spans="1:28">
      <c r="A49" t="s">
        <v>867</v>
      </c>
      <c r="B49" t="s">
        <v>869</v>
      </c>
      <c r="C49">
        <v>0</v>
      </c>
      <c r="E49" t="s">
        <v>896</v>
      </c>
      <c r="F49" t="s">
        <v>869</v>
      </c>
      <c r="H49">
        <v>999.99900000000002</v>
      </c>
      <c r="J49" s="600" t="s">
        <v>767</v>
      </c>
      <c r="K49">
        <v>108256216</v>
      </c>
      <c r="L49" s="2">
        <v>45929</v>
      </c>
      <c r="M49">
        <v>32</v>
      </c>
      <c r="N49">
        <v>2</v>
      </c>
      <c r="O49">
        <v>0</v>
      </c>
      <c r="P49">
        <v>1</v>
      </c>
      <c r="Q49" t="s">
        <v>7</v>
      </c>
      <c r="W49" t="s">
        <v>1087</v>
      </c>
      <c r="X49" t="s">
        <v>718</v>
      </c>
      <c r="Y49" t="s">
        <v>783</v>
      </c>
      <c r="Z49" t="s">
        <v>771</v>
      </c>
      <c r="AA49" t="s">
        <v>997</v>
      </c>
      <c r="AB49" t="s">
        <v>1088</v>
      </c>
    </row>
    <row r="50" spans="1:28">
      <c r="A50" t="s">
        <v>867</v>
      </c>
      <c r="B50" t="s">
        <v>934</v>
      </c>
      <c r="C50">
        <v>0</v>
      </c>
      <c r="E50" t="s">
        <v>934</v>
      </c>
      <c r="F50" t="s">
        <v>934</v>
      </c>
      <c r="G50" t="s">
        <v>869</v>
      </c>
      <c r="H50">
        <v>999.99900000000002</v>
      </c>
      <c r="J50" s="600" t="s">
        <v>767</v>
      </c>
      <c r="K50">
        <v>108526964</v>
      </c>
      <c r="L50" s="2">
        <v>46185</v>
      </c>
      <c r="M50">
        <v>31</v>
      </c>
      <c r="N50">
        <v>1</v>
      </c>
      <c r="O50">
        <v>0</v>
      </c>
      <c r="P50">
        <v>1</v>
      </c>
      <c r="W50" t="s">
        <v>1089</v>
      </c>
      <c r="X50" t="s">
        <v>318</v>
      </c>
      <c r="Y50" t="s">
        <v>993</v>
      </c>
      <c r="AA50" t="s">
        <v>997</v>
      </c>
      <c r="AB50" t="s">
        <v>1090</v>
      </c>
    </row>
    <row r="51" spans="1:28" s="601" customFormat="1">
      <c r="A51" s="603" t="s">
        <v>772</v>
      </c>
      <c r="L51" s="602"/>
    </row>
    <row r="52" spans="1:28">
      <c r="A52" t="s">
        <v>867</v>
      </c>
      <c r="B52" t="s">
        <v>924</v>
      </c>
      <c r="C52">
        <v>0</v>
      </c>
      <c r="E52" t="s">
        <v>869</v>
      </c>
      <c r="F52" t="s">
        <v>869</v>
      </c>
      <c r="G52" t="s">
        <v>925</v>
      </c>
      <c r="H52">
        <v>17.59</v>
      </c>
      <c r="J52" s="600" t="s">
        <v>767</v>
      </c>
      <c r="K52">
        <v>105030848</v>
      </c>
      <c r="L52" s="2">
        <v>42802</v>
      </c>
      <c r="M52">
        <v>32</v>
      </c>
      <c r="N52">
        <v>1</v>
      </c>
      <c r="O52">
        <v>7</v>
      </c>
      <c r="P52">
        <v>1</v>
      </c>
      <c r="Q52" t="s">
        <v>3</v>
      </c>
    </row>
    <row r="53" spans="1:28">
      <c r="A53" t="s">
        <v>850</v>
      </c>
      <c r="B53" t="s">
        <v>872</v>
      </c>
      <c r="C53">
        <v>0</v>
      </c>
      <c r="E53" t="s">
        <v>872</v>
      </c>
      <c r="G53" t="s">
        <v>940</v>
      </c>
      <c r="H53">
        <v>5.0730000000000004</v>
      </c>
      <c r="J53" s="600" t="s">
        <v>767</v>
      </c>
      <c r="K53">
        <v>105116773</v>
      </c>
      <c r="L53" s="2">
        <v>42804</v>
      </c>
      <c r="M53">
        <v>31</v>
      </c>
      <c r="N53">
        <v>1</v>
      </c>
      <c r="O53">
        <v>0</v>
      </c>
      <c r="P53">
        <v>1</v>
      </c>
      <c r="Q53" t="s">
        <v>7</v>
      </c>
    </row>
    <row r="54" spans="1:28">
      <c r="A54" t="s">
        <v>850</v>
      </c>
      <c r="B54" t="s">
        <v>864</v>
      </c>
      <c r="C54">
        <v>0</v>
      </c>
      <c r="E54" t="s">
        <v>762</v>
      </c>
      <c r="F54" t="s">
        <v>865</v>
      </c>
      <c r="H54">
        <v>999.99900000000002</v>
      </c>
      <c r="J54" s="600" t="s">
        <v>767</v>
      </c>
      <c r="K54">
        <v>105053293</v>
      </c>
      <c r="L54" s="2">
        <v>42812</v>
      </c>
      <c r="M54">
        <v>30</v>
      </c>
      <c r="N54">
        <v>1</v>
      </c>
      <c r="O54">
        <v>0</v>
      </c>
      <c r="P54">
        <v>4</v>
      </c>
      <c r="Q54" t="s">
        <v>7</v>
      </c>
    </row>
    <row r="55" spans="1:28">
      <c r="A55" t="s">
        <v>850</v>
      </c>
      <c r="B55" t="s">
        <v>762</v>
      </c>
      <c r="C55">
        <v>0</v>
      </c>
      <c r="E55" t="s">
        <v>976</v>
      </c>
      <c r="F55" t="s">
        <v>913</v>
      </c>
      <c r="G55" t="s">
        <v>975</v>
      </c>
      <c r="H55">
        <v>0.11</v>
      </c>
      <c r="J55" s="600" t="s">
        <v>767</v>
      </c>
      <c r="K55">
        <v>105053295</v>
      </c>
      <c r="L55" s="2">
        <v>42815</v>
      </c>
      <c r="M55">
        <v>17</v>
      </c>
      <c r="N55">
        <v>1</v>
      </c>
      <c r="O55">
        <v>0</v>
      </c>
      <c r="P55">
        <v>1</v>
      </c>
      <c r="Q55" t="s">
        <v>7</v>
      </c>
    </row>
    <row r="56" spans="1:28">
      <c r="A56" t="s">
        <v>751</v>
      </c>
      <c r="B56" t="s">
        <v>897</v>
      </c>
      <c r="C56">
        <v>0.2</v>
      </c>
      <c r="D56" t="s">
        <v>753</v>
      </c>
      <c r="E56" t="s">
        <v>964</v>
      </c>
      <c r="F56" t="s">
        <v>899</v>
      </c>
      <c r="G56" t="s">
        <v>897</v>
      </c>
      <c r="H56">
        <v>999.99900000000002</v>
      </c>
      <c r="J56" s="600" t="s">
        <v>767</v>
      </c>
      <c r="K56">
        <v>105058532</v>
      </c>
      <c r="L56" s="2">
        <v>42823</v>
      </c>
      <c r="M56">
        <v>21</v>
      </c>
      <c r="N56">
        <v>1</v>
      </c>
      <c r="O56">
        <v>0</v>
      </c>
      <c r="P56">
        <v>1</v>
      </c>
      <c r="Q56" t="s">
        <v>3</v>
      </c>
    </row>
    <row r="57" spans="1:28">
      <c r="A57" t="s">
        <v>867</v>
      </c>
      <c r="B57" t="s">
        <v>881</v>
      </c>
      <c r="C57">
        <v>4.0000000000000001E-3</v>
      </c>
      <c r="D57" t="s">
        <v>753</v>
      </c>
      <c r="E57" t="s">
        <v>869</v>
      </c>
      <c r="F57" t="s">
        <v>936</v>
      </c>
      <c r="G57" t="s">
        <v>938</v>
      </c>
      <c r="H57">
        <v>17.827999999999999</v>
      </c>
      <c r="J57" s="600" t="s">
        <v>767</v>
      </c>
      <c r="K57">
        <v>105070792</v>
      </c>
      <c r="L57" s="2">
        <v>42835</v>
      </c>
      <c r="M57">
        <v>1</v>
      </c>
      <c r="N57">
        <v>1</v>
      </c>
      <c r="O57">
        <v>0</v>
      </c>
      <c r="P57">
        <v>4</v>
      </c>
      <c r="Q57" t="s">
        <v>7</v>
      </c>
    </row>
    <row r="58" spans="1:28">
      <c r="A58" t="s">
        <v>850</v>
      </c>
      <c r="B58" t="s">
        <v>919</v>
      </c>
      <c r="C58">
        <v>0</v>
      </c>
      <c r="D58" t="s">
        <v>755</v>
      </c>
      <c r="E58" t="s">
        <v>762</v>
      </c>
      <c r="F58" t="s">
        <v>923</v>
      </c>
      <c r="G58" t="s">
        <v>909</v>
      </c>
      <c r="H58">
        <v>3.2850000000000001</v>
      </c>
      <c r="J58" s="600" t="s">
        <v>767</v>
      </c>
      <c r="K58">
        <v>105071492</v>
      </c>
      <c r="L58" s="2">
        <v>42843</v>
      </c>
      <c r="M58">
        <v>21</v>
      </c>
      <c r="N58">
        <v>1</v>
      </c>
      <c r="O58">
        <v>0</v>
      </c>
      <c r="P58">
        <v>1</v>
      </c>
      <c r="Q58" t="s">
        <v>7</v>
      </c>
    </row>
    <row r="59" spans="1:28">
      <c r="A59" t="s">
        <v>850</v>
      </c>
      <c r="B59" t="s">
        <v>872</v>
      </c>
      <c r="C59">
        <v>0</v>
      </c>
      <c r="D59" t="s">
        <v>6</v>
      </c>
      <c r="E59" t="s">
        <v>862</v>
      </c>
      <c r="F59" t="s">
        <v>865</v>
      </c>
      <c r="G59" t="s">
        <v>909</v>
      </c>
      <c r="H59">
        <v>2.8679999999999999</v>
      </c>
      <c r="J59" s="600" t="s">
        <v>767</v>
      </c>
      <c r="K59">
        <v>105071495</v>
      </c>
      <c r="L59" s="2">
        <v>42843</v>
      </c>
      <c r="M59">
        <v>31</v>
      </c>
      <c r="N59">
        <v>1</v>
      </c>
      <c r="O59">
        <v>4</v>
      </c>
      <c r="P59">
        <v>1</v>
      </c>
      <c r="Q59" t="s">
        <v>7</v>
      </c>
    </row>
    <row r="60" spans="1:28">
      <c r="A60" t="s">
        <v>867</v>
      </c>
      <c r="B60" t="s">
        <v>924</v>
      </c>
      <c r="C60">
        <v>0</v>
      </c>
      <c r="E60" t="s">
        <v>869</v>
      </c>
      <c r="F60" t="s">
        <v>928</v>
      </c>
      <c r="G60" t="s">
        <v>925</v>
      </c>
      <c r="H60">
        <v>17.59</v>
      </c>
      <c r="J60" s="600" t="s">
        <v>767</v>
      </c>
      <c r="K60">
        <v>105076245</v>
      </c>
      <c r="L60" s="2">
        <v>42850</v>
      </c>
      <c r="M60">
        <v>30</v>
      </c>
      <c r="N60">
        <v>1</v>
      </c>
      <c r="O60">
        <v>7</v>
      </c>
      <c r="P60">
        <v>1</v>
      </c>
      <c r="Q60" t="s">
        <v>7</v>
      </c>
    </row>
    <row r="61" spans="1:28">
      <c r="A61" t="s">
        <v>867</v>
      </c>
      <c r="B61" t="s">
        <v>869</v>
      </c>
      <c r="C61">
        <v>0</v>
      </c>
      <c r="E61" t="s">
        <v>936</v>
      </c>
      <c r="F61" t="s">
        <v>930</v>
      </c>
      <c r="G61" t="s">
        <v>869</v>
      </c>
      <c r="H61">
        <v>999.99900000000002</v>
      </c>
      <c r="J61" s="600" t="s">
        <v>767</v>
      </c>
      <c r="K61">
        <v>105077632</v>
      </c>
      <c r="L61" s="2">
        <v>42851</v>
      </c>
      <c r="M61">
        <v>24</v>
      </c>
      <c r="N61">
        <v>1</v>
      </c>
      <c r="O61">
        <v>7</v>
      </c>
      <c r="P61">
        <v>1</v>
      </c>
      <c r="Q61" t="s">
        <v>3</v>
      </c>
    </row>
    <row r="62" spans="1:28">
      <c r="A62" t="s">
        <v>867</v>
      </c>
      <c r="B62" t="s">
        <v>869</v>
      </c>
      <c r="C62">
        <v>0</v>
      </c>
      <c r="E62" t="s">
        <v>926</v>
      </c>
      <c r="F62" t="s">
        <v>924</v>
      </c>
      <c r="G62" t="s">
        <v>869</v>
      </c>
      <c r="H62">
        <v>0.09</v>
      </c>
      <c r="J62" s="600" t="s">
        <v>767</v>
      </c>
      <c r="K62">
        <v>105115267</v>
      </c>
      <c r="L62" s="2">
        <v>42852</v>
      </c>
      <c r="M62">
        <v>30</v>
      </c>
      <c r="N62">
        <v>1</v>
      </c>
      <c r="O62">
        <v>0</v>
      </c>
      <c r="P62">
        <v>1</v>
      </c>
      <c r="Q62" t="s">
        <v>3</v>
      </c>
    </row>
    <row r="63" spans="1:28">
      <c r="A63" t="s">
        <v>867</v>
      </c>
      <c r="B63" t="s">
        <v>891</v>
      </c>
      <c r="C63">
        <v>0</v>
      </c>
      <c r="E63" t="s">
        <v>762</v>
      </c>
      <c r="F63" t="s">
        <v>989</v>
      </c>
      <c r="G63" t="s">
        <v>953</v>
      </c>
      <c r="H63">
        <v>2.0550000000000002</v>
      </c>
      <c r="J63" s="600" t="s">
        <v>767</v>
      </c>
      <c r="K63">
        <v>105164921</v>
      </c>
      <c r="L63" s="2">
        <v>42852</v>
      </c>
      <c r="M63">
        <v>21</v>
      </c>
      <c r="N63">
        <v>1</v>
      </c>
      <c r="O63">
        <v>0</v>
      </c>
      <c r="P63">
        <v>1</v>
      </c>
      <c r="Q63" t="s">
        <v>7</v>
      </c>
    </row>
    <row r="64" spans="1:28">
      <c r="A64" t="s">
        <v>867</v>
      </c>
      <c r="B64" t="s">
        <v>762</v>
      </c>
      <c r="C64">
        <v>0</v>
      </c>
      <c r="E64" t="s">
        <v>762</v>
      </c>
      <c r="F64" t="s">
        <v>869</v>
      </c>
      <c r="G64" t="s">
        <v>940</v>
      </c>
      <c r="H64">
        <v>5.0730000000000004</v>
      </c>
      <c r="J64" s="600" t="s">
        <v>767</v>
      </c>
      <c r="K64">
        <v>105088904</v>
      </c>
      <c r="L64" s="2">
        <v>42861</v>
      </c>
      <c r="M64">
        <v>30</v>
      </c>
      <c r="N64">
        <v>1</v>
      </c>
      <c r="O64">
        <v>7</v>
      </c>
      <c r="P64">
        <v>1</v>
      </c>
      <c r="Q64" t="s">
        <v>7</v>
      </c>
    </row>
    <row r="65" spans="1:17">
      <c r="A65" t="s">
        <v>751</v>
      </c>
      <c r="B65" t="s">
        <v>897</v>
      </c>
      <c r="C65">
        <v>3.0000000000000001E-3</v>
      </c>
      <c r="D65" t="s">
        <v>6</v>
      </c>
      <c r="E65" t="s">
        <v>949</v>
      </c>
      <c r="F65" t="s">
        <v>954</v>
      </c>
      <c r="G65" t="s">
        <v>897</v>
      </c>
      <c r="H65">
        <v>0.879</v>
      </c>
      <c r="J65" s="600" t="s">
        <v>767</v>
      </c>
      <c r="K65">
        <v>105113138</v>
      </c>
      <c r="L65" s="2">
        <v>42873</v>
      </c>
      <c r="M65">
        <v>21</v>
      </c>
      <c r="N65">
        <v>1</v>
      </c>
      <c r="O65">
        <v>0</v>
      </c>
      <c r="P65">
        <v>1</v>
      </c>
      <c r="Q65" t="s">
        <v>7</v>
      </c>
    </row>
    <row r="66" spans="1:17">
      <c r="A66" t="s">
        <v>867</v>
      </c>
      <c r="B66" t="s">
        <v>924</v>
      </c>
      <c r="C66">
        <v>0</v>
      </c>
      <c r="E66" t="s">
        <v>869</v>
      </c>
      <c r="F66" t="s">
        <v>881</v>
      </c>
      <c r="G66" t="s">
        <v>925</v>
      </c>
      <c r="H66">
        <v>17.59</v>
      </c>
      <c r="J66" s="600" t="s">
        <v>767</v>
      </c>
      <c r="K66">
        <v>105115262</v>
      </c>
      <c r="L66" s="2">
        <v>42880</v>
      </c>
      <c r="M66">
        <v>24</v>
      </c>
      <c r="N66">
        <v>2</v>
      </c>
      <c r="O66">
        <v>0</v>
      </c>
      <c r="P66">
        <v>1</v>
      </c>
      <c r="Q66" t="s">
        <v>7</v>
      </c>
    </row>
    <row r="67" spans="1:17">
      <c r="A67" t="s">
        <v>751</v>
      </c>
      <c r="B67" t="s">
        <v>897</v>
      </c>
      <c r="C67">
        <v>0.2</v>
      </c>
      <c r="D67" t="s">
        <v>753</v>
      </c>
      <c r="E67" t="s">
        <v>965</v>
      </c>
      <c r="F67" t="s">
        <v>960</v>
      </c>
      <c r="G67" t="s">
        <v>897</v>
      </c>
      <c r="H67">
        <v>999.99900000000002</v>
      </c>
      <c r="J67" s="600" t="s">
        <v>767</v>
      </c>
      <c r="K67">
        <v>105123982</v>
      </c>
      <c r="L67" s="2">
        <v>42888</v>
      </c>
      <c r="M67">
        <v>23</v>
      </c>
      <c r="N67">
        <v>1</v>
      </c>
      <c r="O67">
        <v>5</v>
      </c>
      <c r="P67">
        <v>1</v>
      </c>
      <c r="Q67" t="s">
        <v>3</v>
      </c>
    </row>
    <row r="68" spans="1:17">
      <c r="A68" t="s">
        <v>751</v>
      </c>
      <c r="B68" t="s">
        <v>949</v>
      </c>
      <c r="C68">
        <v>0</v>
      </c>
      <c r="E68" t="s">
        <v>897</v>
      </c>
      <c r="F68" t="s">
        <v>954</v>
      </c>
      <c r="G68" t="s">
        <v>949</v>
      </c>
      <c r="H68">
        <v>14.055</v>
      </c>
      <c r="J68" s="600" t="s">
        <v>767</v>
      </c>
      <c r="K68">
        <v>105142851</v>
      </c>
      <c r="L68" s="2">
        <v>42892</v>
      </c>
      <c r="M68">
        <v>24</v>
      </c>
      <c r="N68">
        <v>1</v>
      </c>
      <c r="O68">
        <v>4</v>
      </c>
      <c r="P68">
        <v>1</v>
      </c>
      <c r="Q68" t="s">
        <v>8</v>
      </c>
    </row>
    <row r="69" spans="1:17">
      <c r="A69" t="s">
        <v>867</v>
      </c>
      <c r="B69" t="s">
        <v>762</v>
      </c>
      <c r="C69">
        <v>0</v>
      </c>
      <c r="E69" t="s">
        <v>762</v>
      </c>
      <c r="F69" t="s">
        <v>891</v>
      </c>
      <c r="G69" t="s">
        <v>940</v>
      </c>
      <c r="H69">
        <v>5.0730000000000004</v>
      </c>
      <c r="J69" s="600" t="s">
        <v>767</v>
      </c>
      <c r="K69">
        <v>105135600</v>
      </c>
      <c r="L69" s="2">
        <v>42898</v>
      </c>
      <c r="M69">
        <v>22</v>
      </c>
      <c r="N69">
        <v>1</v>
      </c>
      <c r="O69">
        <v>0</v>
      </c>
      <c r="P69">
        <v>1</v>
      </c>
      <c r="Q69" t="s">
        <v>7</v>
      </c>
    </row>
    <row r="70" spans="1:17">
      <c r="A70" t="s">
        <v>751</v>
      </c>
      <c r="B70" t="s">
        <v>897</v>
      </c>
      <c r="C70">
        <v>1.4E-2</v>
      </c>
      <c r="D70" t="s">
        <v>754</v>
      </c>
      <c r="E70" t="s">
        <v>949</v>
      </c>
      <c r="F70" t="s">
        <v>901</v>
      </c>
      <c r="G70" t="s">
        <v>897</v>
      </c>
      <c r="H70">
        <v>0.89600000000000002</v>
      </c>
      <c r="J70" s="600" t="s">
        <v>767</v>
      </c>
      <c r="K70">
        <v>105142894</v>
      </c>
      <c r="L70" s="2">
        <v>42910</v>
      </c>
      <c r="M70">
        <v>21</v>
      </c>
      <c r="N70">
        <v>1</v>
      </c>
      <c r="O70">
        <v>0</v>
      </c>
      <c r="P70">
        <v>1</v>
      </c>
      <c r="Q70" t="s">
        <v>7</v>
      </c>
    </row>
    <row r="71" spans="1:17">
      <c r="A71" t="s">
        <v>751</v>
      </c>
      <c r="B71" t="s">
        <v>938</v>
      </c>
      <c r="C71">
        <v>0</v>
      </c>
      <c r="E71" t="s">
        <v>762</v>
      </c>
      <c r="F71" t="s">
        <v>939</v>
      </c>
      <c r="G71" t="s">
        <v>938</v>
      </c>
      <c r="H71">
        <v>6.6040000000000001</v>
      </c>
      <c r="J71" s="600" t="s">
        <v>767</v>
      </c>
      <c r="K71">
        <v>105147018</v>
      </c>
      <c r="L71" s="2">
        <v>42915</v>
      </c>
      <c r="M71">
        <v>19</v>
      </c>
      <c r="N71">
        <v>1</v>
      </c>
      <c r="O71">
        <v>8</v>
      </c>
      <c r="P71">
        <v>1</v>
      </c>
      <c r="Q71" t="s">
        <v>7</v>
      </c>
    </row>
    <row r="72" spans="1:17">
      <c r="A72" t="s">
        <v>850</v>
      </c>
      <c r="B72" t="s">
        <v>762</v>
      </c>
      <c r="C72">
        <v>0</v>
      </c>
      <c r="D72" t="s">
        <v>6</v>
      </c>
      <c r="E72" t="s">
        <v>855</v>
      </c>
      <c r="F72" t="s">
        <v>911</v>
      </c>
      <c r="G72" t="s">
        <v>909</v>
      </c>
      <c r="H72">
        <v>2.996</v>
      </c>
      <c r="J72" s="600" t="s">
        <v>767</v>
      </c>
      <c r="K72">
        <v>105156577</v>
      </c>
      <c r="L72" s="2">
        <v>42926</v>
      </c>
      <c r="M72">
        <v>30</v>
      </c>
      <c r="N72">
        <v>1</v>
      </c>
      <c r="O72">
        <v>0</v>
      </c>
      <c r="P72">
        <v>1</v>
      </c>
      <c r="Q72" t="s">
        <v>3</v>
      </c>
    </row>
    <row r="73" spans="1:17">
      <c r="A73" t="s">
        <v>867</v>
      </c>
      <c r="B73" t="s">
        <v>936</v>
      </c>
      <c r="C73">
        <v>0</v>
      </c>
      <c r="E73" t="s">
        <v>869</v>
      </c>
      <c r="F73" t="s">
        <v>930</v>
      </c>
      <c r="G73" t="s">
        <v>883</v>
      </c>
      <c r="H73">
        <v>20.498000000000001</v>
      </c>
      <c r="J73" s="600" t="s">
        <v>767</v>
      </c>
      <c r="K73">
        <v>105180482</v>
      </c>
      <c r="L73" s="2">
        <v>42953</v>
      </c>
      <c r="M73">
        <v>30</v>
      </c>
      <c r="N73">
        <v>1</v>
      </c>
      <c r="O73">
        <v>7</v>
      </c>
      <c r="P73">
        <v>5</v>
      </c>
      <c r="Q73" t="s">
        <v>7</v>
      </c>
    </row>
    <row r="74" spans="1:17">
      <c r="A74" t="s">
        <v>850</v>
      </c>
      <c r="B74" t="s">
        <v>762</v>
      </c>
      <c r="C74">
        <v>1.9E-2</v>
      </c>
      <c r="D74" t="s">
        <v>6</v>
      </c>
      <c r="E74" t="s">
        <v>860</v>
      </c>
      <c r="F74" t="s">
        <v>914</v>
      </c>
      <c r="G74" t="s">
        <v>909</v>
      </c>
      <c r="H74">
        <v>2.9969999999999999</v>
      </c>
      <c r="J74" s="600" t="s">
        <v>767</v>
      </c>
      <c r="K74">
        <v>105185581</v>
      </c>
      <c r="L74" s="2">
        <v>42953</v>
      </c>
      <c r="M74">
        <v>28</v>
      </c>
      <c r="N74">
        <v>1</v>
      </c>
      <c r="O74">
        <v>0</v>
      </c>
      <c r="P74">
        <v>4</v>
      </c>
      <c r="Q74" t="s">
        <v>7</v>
      </c>
    </row>
    <row r="75" spans="1:17">
      <c r="A75" t="s">
        <v>850</v>
      </c>
      <c r="B75" t="s">
        <v>762</v>
      </c>
      <c r="C75">
        <v>0</v>
      </c>
      <c r="E75" t="s">
        <v>862</v>
      </c>
      <c r="F75" t="s">
        <v>911</v>
      </c>
      <c r="G75" t="s">
        <v>909</v>
      </c>
      <c r="H75">
        <v>2.8679999999999999</v>
      </c>
      <c r="J75" s="600" t="s">
        <v>767</v>
      </c>
      <c r="K75">
        <v>105507729</v>
      </c>
      <c r="L75" s="2">
        <v>42965</v>
      </c>
      <c r="M75">
        <v>30</v>
      </c>
      <c r="N75">
        <v>1</v>
      </c>
      <c r="O75">
        <v>7</v>
      </c>
      <c r="P75">
        <v>1</v>
      </c>
      <c r="Q75" t="s">
        <v>7</v>
      </c>
    </row>
    <row r="76" spans="1:17">
      <c r="A76" t="s">
        <v>850</v>
      </c>
      <c r="B76" t="s">
        <v>762</v>
      </c>
      <c r="C76">
        <v>7.0000000000000001E-3</v>
      </c>
      <c r="D76" t="s">
        <v>754</v>
      </c>
      <c r="E76" t="s">
        <v>860</v>
      </c>
      <c r="F76" t="s">
        <v>855</v>
      </c>
      <c r="G76" t="s">
        <v>909</v>
      </c>
      <c r="H76">
        <v>3.0230000000000001</v>
      </c>
      <c r="J76" s="600" t="s">
        <v>767</v>
      </c>
      <c r="K76">
        <v>105199106</v>
      </c>
      <c r="L76" s="2">
        <v>42969</v>
      </c>
      <c r="M76">
        <v>32</v>
      </c>
      <c r="N76">
        <v>1</v>
      </c>
      <c r="O76">
        <v>0</v>
      </c>
      <c r="P76">
        <v>1</v>
      </c>
      <c r="Q76" t="s">
        <v>7</v>
      </c>
    </row>
    <row r="77" spans="1:17">
      <c r="A77" t="s">
        <v>751</v>
      </c>
      <c r="B77" t="s">
        <v>897</v>
      </c>
      <c r="C77">
        <v>0.1</v>
      </c>
      <c r="D77" t="s">
        <v>6</v>
      </c>
      <c r="E77" t="s">
        <v>949</v>
      </c>
      <c r="F77" t="s">
        <v>891</v>
      </c>
      <c r="G77" t="s">
        <v>897</v>
      </c>
      <c r="H77">
        <v>0.78200000000000003</v>
      </c>
      <c r="J77" s="600" t="s">
        <v>767</v>
      </c>
      <c r="K77">
        <v>105206557</v>
      </c>
      <c r="L77" s="2">
        <v>42977</v>
      </c>
      <c r="M77">
        <v>27</v>
      </c>
      <c r="N77">
        <v>1</v>
      </c>
      <c r="O77">
        <v>0</v>
      </c>
      <c r="P77">
        <v>1</v>
      </c>
      <c r="Q77" t="s">
        <v>8</v>
      </c>
    </row>
    <row r="78" spans="1:17">
      <c r="A78" t="s">
        <v>751</v>
      </c>
      <c r="B78" t="s">
        <v>897</v>
      </c>
      <c r="C78">
        <v>0.5</v>
      </c>
      <c r="D78" t="s">
        <v>760</v>
      </c>
      <c r="E78" t="s">
        <v>899</v>
      </c>
      <c r="F78" t="s">
        <v>948</v>
      </c>
      <c r="G78" t="s">
        <v>897</v>
      </c>
      <c r="H78">
        <v>2.4129999999999998</v>
      </c>
      <c r="J78" s="600" t="s">
        <v>767</v>
      </c>
      <c r="K78">
        <v>105210501</v>
      </c>
      <c r="L78" s="2">
        <v>42979</v>
      </c>
      <c r="M78">
        <v>19</v>
      </c>
      <c r="N78">
        <v>2</v>
      </c>
      <c r="O78">
        <v>5</v>
      </c>
      <c r="P78">
        <v>2</v>
      </c>
      <c r="Q78" t="s">
        <v>3</v>
      </c>
    </row>
    <row r="79" spans="1:17">
      <c r="A79" t="s">
        <v>751</v>
      </c>
      <c r="B79" t="s">
        <v>897</v>
      </c>
      <c r="C79">
        <v>0</v>
      </c>
      <c r="E79" t="s">
        <v>949</v>
      </c>
      <c r="F79" t="s">
        <v>901</v>
      </c>
      <c r="G79" t="s">
        <v>897</v>
      </c>
      <c r="H79">
        <v>0.88200000000000001</v>
      </c>
      <c r="J79" s="600" t="s">
        <v>767</v>
      </c>
      <c r="K79">
        <v>105227631</v>
      </c>
      <c r="L79" s="2">
        <v>42995</v>
      </c>
      <c r="M79">
        <v>30</v>
      </c>
      <c r="N79">
        <v>1</v>
      </c>
      <c r="O79">
        <v>7</v>
      </c>
      <c r="P79">
        <v>1</v>
      </c>
      <c r="Q79" t="s">
        <v>7</v>
      </c>
    </row>
    <row r="80" spans="1:17">
      <c r="A80" t="s">
        <v>850</v>
      </c>
      <c r="B80" t="s">
        <v>872</v>
      </c>
      <c r="C80">
        <v>0</v>
      </c>
      <c r="E80" t="s">
        <v>874</v>
      </c>
      <c r="H80">
        <v>999.99900000000002</v>
      </c>
      <c r="J80" s="600" t="s">
        <v>767</v>
      </c>
      <c r="K80">
        <v>105230066</v>
      </c>
      <c r="L80" s="2">
        <v>42998</v>
      </c>
      <c r="M80">
        <v>20</v>
      </c>
      <c r="N80">
        <v>1</v>
      </c>
      <c r="O80">
        <v>0</v>
      </c>
      <c r="P80">
        <v>1</v>
      </c>
      <c r="Q80" t="s">
        <v>7</v>
      </c>
    </row>
    <row r="81" spans="1:22">
      <c r="A81" t="s">
        <v>850</v>
      </c>
      <c r="B81" t="s">
        <v>762</v>
      </c>
      <c r="C81">
        <v>0</v>
      </c>
      <c r="E81" t="s">
        <v>919</v>
      </c>
      <c r="F81" t="s">
        <v>914</v>
      </c>
      <c r="G81" t="s">
        <v>909</v>
      </c>
      <c r="H81">
        <v>3.2850000000000001</v>
      </c>
      <c r="J81" s="600" t="s">
        <v>767</v>
      </c>
      <c r="K81">
        <v>105230312</v>
      </c>
      <c r="L81" s="2">
        <v>43003</v>
      </c>
      <c r="M81">
        <v>21</v>
      </c>
      <c r="N81">
        <v>1</v>
      </c>
      <c r="O81">
        <v>0</v>
      </c>
      <c r="P81">
        <v>1</v>
      </c>
      <c r="Q81" t="s">
        <v>7</v>
      </c>
    </row>
    <row r="82" spans="1:22">
      <c r="A82" t="s">
        <v>850</v>
      </c>
      <c r="B82" t="s">
        <v>864</v>
      </c>
      <c r="C82">
        <v>0</v>
      </c>
      <c r="E82" t="s">
        <v>762</v>
      </c>
      <c r="F82" t="s">
        <v>865</v>
      </c>
      <c r="H82">
        <v>999.99900000000002</v>
      </c>
      <c r="J82" s="600" t="s">
        <v>767</v>
      </c>
      <c r="K82">
        <v>105250200</v>
      </c>
      <c r="L82" s="2">
        <v>43014</v>
      </c>
      <c r="M82">
        <v>31</v>
      </c>
      <c r="N82">
        <v>1</v>
      </c>
      <c r="O82">
        <v>0</v>
      </c>
      <c r="P82">
        <v>1</v>
      </c>
      <c r="Q82" t="s">
        <v>7</v>
      </c>
    </row>
    <row r="83" spans="1:22">
      <c r="A83" t="s">
        <v>867</v>
      </c>
      <c r="B83" t="s">
        <v>891</v>
      </c>
      <c r="C83">
        <v>0</v>
      </c>
      <c r="D83" t="s">
        <v>755</v>
      </c>
      <c r="E83" t="s">
        <v>762</v>
      </c>
      <c r="F83" t="s">
        <v>869</v>
      </c>
      <c r="G83" t="s">
        <v>953</v>
      </c>
      <c r="H83">
        <v>2.0550000000000002</v>
      </c>
      <c r="J83" s="600" t="s">
        <v>767</v>
      </c>
      <c r="K83">
        <v>105247665</v>
      </c>
      <c r="L83" s="2">
        <v>43018</v>
      </c>
      <c r="M83">
        <v>23</v>
      </c>
      <c r="N83">
        <v>1</v>
      </c>
      <c r="O83">
        <v>7</v>
      </c>
      <c r="P83">
        <v>1</v>
      </c>
      <c r="Q83" t="s">
        <v>7</v>
      </c>
    </row>
    <row r="84" spans="1:22">
      <c r="A84" t="s">
        <v>850</v>
      </c>
      <c r="B84" t="s">
        <v>861</v>
      </c>
      <c r="C84">
        <v>6.0000000000000001E-3</v>
      </c>
      <c r="D84" t="s">
        <v>755</v>
      </c>
      <c r="E84" t="s">
        <v>762</v>
      </c>
      <c r="F84" t="s">
        <v>862</v>
      </c>
      <c r="H84">
        <v>999.99900000000002</v>
      </c>
      <c r="J84" s="600" t="s">
        <v>767</v>
      </c>
      <c r="K84">
        <v>105984303</v>
      </c>
      <c r="L84" s="2">
        <v>43018</v>
      </c>
      <c r="M84">
        <v>31</v>
      </c>
      <c r="N84">
        <v>1</v>
      </c>
      <c r="O84">
        <v>0</v>
      </c>
      <c r="P84">
        <v>1</v>
      </c>
      <c r="Q84" t="s">
        <v>7</v>
      </c>
    </row>
    <row r="85" spans="1:22">
      <c r="A85" t="s">
        <v>850</v>
      </c>
      <c r="B85" t="s">
        <v>917</v>
      </c>
      <c r="C85">
        <v>0</v>
      </c>
      <c r="D85" t="s">
        <v>755</v>
      </c>
      <c r="E85" t="s">
        <v>916</v>
      </c>
      <c r="F85" t="s">
        <v>915</v>
      </c>
      <c r="G85" t="s">
        <v>909</v>
      </c>
      <c r="H85">
        <v>3.206</v>
      </c>
      <c r="J85" s="600" t="s">
        <v>767</v>
      </c>
      <c r="K85">
        <v>105251330</v>
      </c>
      <c r="L85" s="2">
        <v>43020</v>
      </c>
      <c r="M85">
        <v>31</v>
      </c>
      <c r="N85">
        <v>1</v>
      </c>
      <c r="O85">
        <v>4</v>
      </c>
      <c r="P85">
        <v>1</v>
      </c>
      <c r="Q85" t="s">
        <v>7</v>
      </c>
    </row>
    <row r="86" spans="1:22">
      <c r="A86" t="s">
        <v>850</v>
      </c>
      <c r="B86" t="s">
        <v>762</v>
      </c>
      <c r="C86">
        <v>0</v>
      </c>
      <c r="D86" t="s">
        <v>755</v>
      </c>
      <c r="E86" t="s">
        <v>907</v>
      </c>
      <c r="F86" t="s">
        <v>908</v>
      </c>
      <c r="G86" t="s">
        <v>909</v>
      </c>
      <c r="H86">
        <v>2.6</v>
      </c>
      <c r="J86" s="600" t="s">
        <v>767</v>
      </c>
      <c r="K86">
        <v>105251331</v>
      </c>
      <c r="L86" s="2">
        <v>43020</v>
      </c>
      <c r="M86">
        <v>21</v>
      </c>
      <c r="N86">
        <v>1</v>
      </c>
      <c r="O86">
        <v>0</v>
      </c>
      <c r="P86">
        <v>4</v>
      </c>
      <c r="Q86" t="s">
        <v>7</v>
      </c>
    </row>
    <row r="87" spans="1:22">
      <c r="A87" t="s">
        <v>850</v>
      </c>
      <c r="B87" t="s">
        <v>762</v>
      </c>
      <c r="C87">
        <v>5.7000000000000002E-2</v>
      </c>
      <c r="D87" t="s">
        <v>754</v>
      </c>
      <c r="E87" t="s">
        <v>922</v>
      </c>
      <c r="F87" t="s">
        <v>762</v>
      </c>
      <c r="G87" t="s">
        <v>975</v>
      </c>
      <c r="H87">
        <v>0.53500000000000003</v>
      </c>
      <c r="J87" s="600" t="s">
        <v>767</v>
      </c>
      <c r="K87">
        <v>105269639</v>
      </c>
      <c r="L87" s="2">
        <v>43035</v>
      </c>
      <c r="M87">
        <v>21</v>
      </c>
      <c r="N87">
        <v>1</v>
      </c>
      <c r="O87">
        <v>0</v>
      </c>
      <c r="P87">
        <v>1</v>
      </c>
      <c r="Q87" t="s">
        <v>7</v>
      </c>
    </row>
    <row r="88" spans="1:22">
      <c r="A88" t="s">
        <v>850</v>
      </c>
      <c r="B88" t="s">
        <v>762</v>
      </c>
      <c r="C88">
        <v>0</v>
      </c>
      <c r="E88" t="s">
        <v>860</v>
      </c>
      <c r="G88" t="s">
        <v>909</v>
      </c>
      <c r="H88">
        <v>3.016</v>
      </c>
      <c r="J88" s="600" t="s">
        <v>767</v>
      </c>
      <c r="K88">
        <v>105285187</v>
      </c>
      <c r="L88" s="2">
        <v>43049</v>
      </c>
      <c r="M88">
        <v>28</v>
      </c>
      <c r="N88">
        <v>1</v>
      </c>
      <c r="O88">
        <v>0</v>
      </c>
      <c r="P88">
        <v>2</v>
      </c>
      <c r="Q88" t="s">
        <v>7</v>
      </c>
    </row>
    <row r="89" spans="1:22">
      <c r="A89" t="s">
        <v>867</v>
      </c>
      <c r="B89" t="s">
        <v>869</v>
      </c>
      <c r="C89">
        <v>0</v>
      </c>
      <c r="E89" t="s">
        <v>930</v>
      </c>
      <c r="F89" t="s">
        <v>930</v>
      </c>
      <c r="G89" t="s">
        <v>869</v>
      </c>
      <c r="H89">
        <v>999.99900000000002</v>
      </c>
      <c r="J89" s="600" t="s">
        <v>767</v>
      </c>
      <c r="K89">
        <v>105297726</v>
      </c>
      <c r="L89" s="2">
        <v>43063</v>
      </c>
      <c r="M89">
        <v>30</v>
      </c>
      <c r="N89">
        <v>1</v>
      </c>
      <c r="O89">
        <v>0</v>
      </c>
      <c r="P89">
        <v>1</v>
      </c>
      <c r="Q89" t="s">
        <v>10</v>
      </c>
      <c r="R89">
        <v>36.308058000000003</v>
      </c>
      <c r="S89">
        <v>-78.592676999999995</v>
      </c>
      <c r="T89" t="s">
        <v>756</v>
      </c>
      <c r="V89">
        <v>0.3274226257464975</v>
      </c>
    </row>
    <row r="90" spans="1:22">
      <c r="A90" t="s">
        <v>867</v>
      </c>
      <c r="B90" t="s">
        <v>871</v>
      </c>
      <c r="C90">
        <v>0</v>
      </c>
      <c r="E90" t="s">
        <v>869</v>
      </c>
      <c r="F90" t="s">
        <v>869</v>
      </c>
      <c r="H90">
        <v>999.99900000000002</v>
      </c>
      <c r="J90" s="600" t="s">
        <v>767</v>
      </c>
      <c r="K90">
        <v>105310344</v>
      </c>
      <c r="L90" s="2">
        <v>43068</v>
      </c>
      <c r="M90">
        <v>18</v>
      </c>
      <c r="N90">
        <v>1</v>
      </c>
      <c r="O90">
        <v>0</v>
      </c>
      <c r="P90">
        <v>1</v>
      </c>
      <c r="Q90" t="s">
        <v>7</v>
      </c>
    </row>
    <row r="91" spans="1:22">
      <c r="A91" t="s">
        <v>850</v>
      </c>
      <c r="B91" t="s">
        <v>762</v>
      </c>
      <c r="C91">
        <v>2.3E-2</v>
      </c>
      <c r="D91" t="s">
        <v>754</v>
      </c>
      <c r="E91" t="s">
        <v>865</v>
      </c>
      <c r="F91" t="s">
        <v>854</v>
      </c>
      <c r="G91" t="s">
        <v>909</v>
      </c>
      <c r="H91">
        <v>2.96</v>
      </c>
      <c r="J91" s="600" t="s">
        <v>767</v>
      </c>
      <c r="K91">
        <v>105317302</v>
      </c>
      <c r="L91" s="2">
        <v>43074</v>
      </c>
      <c r="M91">
        <v>28</v>
      </c>
      <c r="N91">
        <v>1</v>
      </c>
      <c r="O91">
        <v>0</v>
      </c>
      <c r="P91">
        <v>1</v>
      </c>
    </row>
    <row r="92" spans="1:22">
      <c r="A92" t="s">
        <v>867</v>
      </c>
      <c r="B92" t="s">
        <v>888</v>
      </c>
      <c r="C92">
        <v>0</v>
      </c>
      <c r="D92" t="s">
        <v>755</v>
      </c>
      <c r="E92" t="s">
        <v>947</v>
      </c>
      <c r="F92" t="s">
        <v>892</v>
      </c>
      <c r="G92" t="s">
        <v>901</v>
      </c>
      <c r="H92">
        <v>10.077999999999999</v>
      </c>
      <c r="J92" s="600" t="s">
        <v>767</v>
      </c>
      <c r="K92">
        <v>105319066</v>
      </c>
      <c r="L92" s="2">
        <v>43082</v>
      </c>
      <c r="M92">
        <v>17</v>
      </c>
      <c r="N92">
        <v>1</v>
      </c>
      <c r="O92">
        <v>0</v>
      </c>
      <c r="P92">
        <v>4</v>
      </c>
      <c r="Q92" t="s">
        <v>7</v>
      </c>
    </row>
    <row r="93" spans="1:22">
      <c r="A93" t="s">
        <v>850</v>
      </c>
      <c r="B93" t="s">
        <v>762</v>
      </c>
      <c r="C93">
        <v>3.7999999999999999E-2</v>
      </c>
      <c r="D93" t="s">
        <v>6</v>
      </c>
      <c r="E93" t="s">
        <v>915</v>
      </c>
      <c r="F93" t="s">
        <v>860</v>
      </c>
      <c r="G93" t="s">
        <v>909</v>
      </c>
      <c r="H93">
        <v>3.0880000000000001</v>
      </c>
      <c r="J93" s="600" t="s">
        <v>767</v>
      </c>
      <c r="K93">
        <v>105334610</v>
      </c>
      <c r="L93" s="2">
        <v>43090</v>
      </c>
      <c r="M93">
        <v>28</v>
      </c>
      <c r="N93">
        <v>1</v>
      </c>
      <c r="O93">
        <v>0</v>
      </c>
      <c r="P93">
        <v>1</v>
      </c>
      <c r="Q93" t="s">
        <v>7</v>
      </c>
    </row>
    <row r="94" spans="1:22">
      <c r="A94" t="s">
        <v>867</v>
      </c>
      <c r="B94" t="s">
        <v>924</v>
      </c>
      <c r="C94">
        <v>0</v>
      </c>
      <c r="E94" t="s">
        <v>869</v>
      </c>
      <c r="F94" t="s">
        <v>926</v>
      </c>
      <c r="G94" t="s">
        <v>925</v>
      </c>
      <c r="H94">
        <v>17.59</v>
      </c>
      <c r="J94" s="600" t="s">
        <v>767</v>
      </c>
      <c r="K94">
        <v>105336080</v>
      </c>
      <c r="L94" s="2">
        <v>43099</v>
      </c>
      <c r="M94">
        <v>30</v>
      </c>
      <c r="N94">
        <v>1</v>
      </c>
      <c r="O94">
        <v>0</v>
      </c>
      <c r="P94">
        <v>4</v>
      </c>
      <c r="Q94" t="s">
        <v>7</v>
      </c>
    </row>
    <row r="95" spans="1:22">
      <c r="A95" t="s">
        <v>867</v>
      </c>
      <c r="B95" t="s">
        <v>869</v>
      </c>
      <c r="C95">
        <v>0</v>
      </c>
      <c r="E95" t="s">
        <v>881</v>
      </c>
      <c r="F95" t="s">
        <v>936</v>
      </c>
      <c r="G95" t="s">
        <v>869</v>
      </c>
      <c r="H95">
        <v>999.99900000000002</v>
      </c>
      <c r="J95" s="600" t="s">
        <v>767</v>
      </c>
      <c r="K95">
        <v>105375720</v>
      </c>
      <c r="L95" s="2">
        <v>43139</v>
      </c>
      <c r="M95">
        <v>30</v>
      </c>
      <c r="N95">
        <v>1</v>
      </c>
      <c r="O95">
        <v>7</v>
      </c>
      <c r="P95">
        <v>1</v>
      </c>
      <c r="Q95" t="s">
        <v>7</v>
      </c>
    </row>
    <row r="96" spans="1:22">
      <c r="A96" t="s">
        <v>850</v>
      </c>
      <c r="B96" t="s">
        <v>762</v>
      </c>
      <c r="C96">
        <v>0</v>
      </c>
      <c r="E96" t="s">
        <v>860</v>
      </c>
      <c r="F96" t="s">
        <v>915</v>
      </c>
      <c r="G96" t="s">
        <v>909</v>
      </c>
      <c r="H96">
        <v>3.016</v>
      </c>
      <c r="J96" s="600" t="s">
        <v>767</v>
      </c>
      <c r="K96">
        <v>105399346</v>
      </c>
      <c r="L96" s="2">
        <v>43142</v>
      </c>
      <c r="M96">
        <v>27</v>
      </c>
      <c r="N96">
        <v>2</v>
      </c>
      <c r="O96">
        <v>0</v>
      </c>
      <c r="P96">
        <v>3</v>
      </c>
      <c r="Q96" t="s">
        <v>3</v>
      </c>
    </row>
    <row r="97" spans="1:17">
      <c r="A97" t="s">
        <v>867</v>
      </c>
      <c r="B97" t="s">
        <v>924</v>
      </c>
      <c r="C97">
        <v>0</v>
      </c>
      <c r="E97" t="s">
        <v>869</v>
      </c>
      <c r="F97" t="s">
        <v>927</v>
      </c>
      <c r="G97" t="s">
        <v>925</v>
      </c>
      <c r="H97">
        <v>17.59</v>
      </c>
      <c r="J97" s="600" t="s">
        <v>767</v>
      </c>
      <c r="K97">
        <v>105397737</v>
      </c>
      <c r="L97" s="2">
        <v>43161</v>
      </c>
      <c r="M97">
        <v>30</v>
      </c>
      <c r="N97">
        <v>1</v>
      </c>
      <c r="O97">
        <v>0</v>
      </c>
      <c r="P97">
        <v>4</v>
      </c>
    </row>
    <row r="98" spans="1:17">
      <c r="A98" t="s">
        <v>867</v>
      </c>
      <c r="B98" t="s">
        <v>875</v>
      </c>
      <c r="C98">
        <v>0</v>
      </c>
      <c r="E98" t="s">
        <v>869</v>
      </c>
      <c r="F98" t="s">
        <v>869</v>
      </c>
      <c r="H98">
        <v>999.99900000000002</v>
      </c>
      <c r="J98" s="600" t="s">
        <v>767</v>
      </c>
      <c r="K98">
        <v>105402812</v>
      </c>
      <c r="L98" s="2">
        <v>43166</v>
      </c>
      <c r="M98">
        <v>21</v>
      </c>
      <c r="N98">
        <v>1</v>
      </c>
      <c r="O98">
        <v>0</v>
      </c>
      <c r="P98">
        <v>1</v>
      </c>
      <c r="Q98" t="s">
        <v>7</v>
      </c>
    </row>
    <row r="99" spans="1:17">
      <c r="A99" t="s">
        <v>850</v>
      </c>
      <c r="B99" t="s">
        <v>762</v>
      </c>
      <c r="C99">
        <v>8.9999999999999993E-3</v>
      </c>
      <c r="D99" t="s">
        <v>6</v>
      </c>
      <c r="E99" t="s">
        <v>914</v>
      </c>
      <c r="F99" t="s">
        <v>916</v>
      </c>
      <c r="G99" t="s">
        <v>909</v>
      </c>
      <c r="H99">
        <v>3.1469999999999998</v>
      </c>
      <c r="J99" s="600" t="s">
        <v>767</v>
      </c>
      <c r="K99">
        <v>105417620</v>
      </c>
      <c r="L99" s="2">
        <v>43174</v>
      </c>
      <c r="M99">
        <v>1</v>
      </c>
      <c r="N99">
        <v>1</v>
      </c>
      <c r="O99">
        <v>0</v>
      </c>
      <c r="P99">
        <v>1</v>
      </c>
      <c r="Q99" t="s">
        <v>7</v>
      </c>
    </row>
    <row r="100" spans="1:17">
      <c r="A100" t="s">
        <v>850</v>
      </c>
      <c r="B100" t="s">
        <v>762</v>
      </c>
      <c r="C100">
        <v>0</v>
      </c>
      <c r="E100" t="s">
        <v>913</v>
      </c>
      <c r="F100" t="s">
        <v>883</v>
      </c>
      <c r="G100" t="s">
        <v>909</v>
      </c>
      <c r="H100">
        <v>3.2839999999999998</v>
      </c>
      <c r="J100" s="600" t="s">
        <v>767</v>
      </c>
      <c r="K100">
        <v>105417622</v>
      </c>
      <c r="L100" s="2">
        <v>43174</v>
      </c>
      <c r="M100">
        <v>23</v>
      </c>
      <c r="N100">
        <v>1</v>
      </c>
      <c r="O100">
        <v>7</v>
      </c>
      <c r="P100">
        <v>1</v>
      </c>
      <c r="Q100" t="s">
        <v>7</v>
      </c>
    </row>
    <row r="101" spans="1:17">
      <c r="A101" t="s">
        <v>850</v>
      </c>
      <c r="B101" t="s">
        <v>876</v>
      </c>
      <c r="C101">
        <v>8.9999999999999993E-3</v>
      </c>
      <c r="D101" t="s">
        <v>753</v>
      </c>
      <c r="E101" t="s">
        <v>762</v>
      </c>
      <c r="F101" t="s">
        <v>877</v>
      </c>
      <c r="H101">
        <v>999.99900000000002</v>
      </c>
      <c r="J101" s="600" t="s">
        <v>767</v>
      </c>
      <c r="K101">
        <v>105984302</v>
      </c>
      <c r="L101" s="2">
        <v>43175</v>
      </c>
      <c r="M101">
        <v>31</v>
      </c>
      <c r="N101">
        <v>1</v>
      </c>
      <c r="O101">
        <v>0</v>
      </c>
      <c r="P101">
        <v>4</v>
      </c>
      <c r="Q101" t="s">
        <v>7</v>
      </c>
    </row>
    <row r="102" spans="1:17">
      <c r="A102" t="s">
        <v>867</v>
      </c>
      <c r="B102" t="s">
        <v>924</v>
      </c>
      <c r="C102">
        <v>0</v>
      </c>
      <c r="E102" t="s">
        <v>869</v>
      </c>
      <c r="F102" t="s">
        <v>881</v>
      </c>
      <c r="G102" t="s">
        <v>925</v>
      </c>
      <c r="H102">
        <v>17.59</v>
      </c>
      <c r="J102" s="600" t="s">
        <v>767</v>
      </c>
      <c r="K102">
        <v>105421874</v>
      </c>
      <c r="L102" s="2">
        <v>43183</v>
      </c>
      <c r="M102">
        <v>30</v>
      </c>
      <c r="N102">
        <v>6</v>
      </c>
      <c r="O102">
        <v>7</v>
      </c>
      <c r="P102">
        <v>4</v>
      </c>
      <c r="Q102" t="s">
        <v>3</v>
      </c>
    </row>
    <row r="103" spans="1:17">
      <c r="A103" t="s">
        <v>850</v>
      </c>
      <c r="B103" t="s">
        <v>762</v>
      </c>
      <c r="C103">
        <v>1.4999999999999999E-2</v>
      </c>
      <c r="D103" t="s">
        <v>6</v>
      </c>
      <c r="E103" t="s">
        <v>915</v>
      </c>
      <c r="F103" t="s">
        <v>914</v>
      </c>
      <c r="G103" t="s">
        <v>909</v>
      </c>
      <c r="H103">
        <v>3.1110000000000002</v>
      </c>
      <c r="J103" s="600" t="s">
        <v>767</v>
      </c>
      <c r="K103">
        <v>105433973</v>
      </c>
      <c r="L103" s="2">
        <v>43187</v>
      </c>
      <c r="M103">
        <v>21</v>
      </c>
      <c r="N103">
        <v>1</v>
      </c>
      <c r="O103">
        <v>0</v>
      </c>
      <c r="P103">
        <v>1</v>
      </c>
      <c r="Q103" t="s">
        <v>7</v>
      </c>
    </row>
    <row r="104" spans="1:17">
      <c r="A104" t="s">
        <v>850</v>
      </c>
      <c r="B104" t="s">
        <v>872</v>
      </c>
      <c r="C104">
        <v>8.9999999999999993E-3</v>
      </c>
      <c r="D104" t="s">
        <v>6</v>
      </c>
      <c r="E104" t="s">
        <v>862</v>
      </c>
      <c r="F104" t="s">
        <v>911</v>
      </c>
      <c r="G104" t="s">
        <v>909</v>
      </c>
      <c r="H104">
        <v>2.859</v>
      </c>
      <c r="J104" s="600" t="s">
        <v>767</v>
      </c>
      <c r="K104">
        <v>105433975</v>
      </c>
      <c r="L104" s="2">
        <v>43192</v>
      </c>
      <c r="M104">
        <v>20</v>
      </c>
      <c r="N104">
        <v>1</v>
      </c>
      <c r="P104">
        <v>1</v>
      </c>
      <c r="Q104" t="s">
        <v>7</v>
      </c>
    </row>
    <row r="105" spans="1:17">
      <c r="A105" t="s">
        <v>850</v>
      </c>
      <c r="B105" t="s">
        <v>762</v>
      </c>
      <c r="C105">
        <v>0</v>
      </c>
      <c r="E105" t="s">
        <v>862</v>
      </c>
      <c r="G105" t="s">
        <v>909</v>
      </c>
      <c r="H105">
        <v>2.8679999999999999</v>
      </c>
      <c r="J105" s="600" t="s">
        <v>767</v>
      </c>
      <c r="K105">
        <v>105449819</v>
      </c>
      <c r="L105" s="2">
        <v>43203</v>
      </c>
      <c r="M105">
        <v>30</v>
      </c>
      <c r="N105">
        <v>1</v>
      </c>
      <c r="O105">
        <v>7</v>
      </c>
      <c r="P105">
        <v>1</v>
      </c>
      <c r="Q105" t="s">
        <v>3</v>
      </c>
    </row>
    <row r="106" spans="1:17">
      <c r="A106" t="s">
        <v>850</v>
      </c>
      <c r="B106" t="s">
        <v>762</v>
      </c>
      <c r="C106">
        <v>0</v>
      </c>
      <c r="E106" t="s">
        <v>865</v>
      </c>
      <c r="F106" t="s">
        <v>862</v>
      </c>
      <c r="G106" t="s">
        <v>909</v>
      </c>
      <c r="H106">
        <v>2.9369999999999998</v>
      </c>
      <c r="J106" s="600" t="s">
        <v>767</v>
      </c>
      <c r="K106">
        <v>105449820</v>
      </c>
      <c r="L106" s="2">
        <v>43206</v>
      </c>
      <c r="M106">
        <v>24</v>
      </c>
      <c r="N106">
        <v>1</v>
      </c>
      <c r="O106">
        <v>12</v>
      </c>
      <c r="P106">
        <v>1</v>
      </c>
      <c r="Q106" t="s">
        <v>7</v>
      </c>
    </row>
    <row r="107" spans="1:17">
      <c r="A107" t="s">
        <v>867</v>
      </c>
      <c r="B107" t="s">
        <v>936</v>
      </c>
      <c r="C107">
        <v>0</v>
      </c>
      <c r="E107" t="s">
        <v>869</v>
      </c>
      <c r="F107" t="s">
        <v>881</v>
      </c>
      <c r="G107" t="s">
        <v>883</v>
      </c>
      <c r="H107">
        <v>20.498000000000001</v>
      </c>
      <c r="J107" s="600" t="s">
        <v>767</v>
      </c>
      <c r="K107">
        <v>105468703</v>
      </c>
      <c r="L107" s="2">
        <v>43218</v>
      </c>
      <c r="M107">
        <v>30</v>
      </c>
      <c r="N107">
        <v>1</v>
      </c>
      <c r="O107">
        <v>7</v>
      </c>
      <c r="P107">
        <v>1</v>
      </c>
      <c r="Q107" t="s">
        <v>7</v>
      </c>
    </row>
    <row r="108" spans="1:17">
      <c r="A108" t="s">
        <v>867</v>
      </c>
      <c r="B108" t="s">
        <v>880</v>
      </c>
      <c r="C108">
        <v>0</v>
      </c>
      <c r="E108" t="s">
        <v>869</v>
      </c>
      <c r="F108" t="s">
        <v>881</v>
      </c>
      <c r="H108">
        <v>999.99900000000002</v>
      </c>
      <c r="J108" s="600" t="s">
        <v>767</v>
      </c>
      <c r="K108">
        <v>105465888</v>
      </c>
      <c r="L108" s="2">
        <v>43222</v>
      </c>
      <c r="M108">
        <v>20</v>
      </c>
      <c r="N108">
        <v>1</v>
      </c>
      <c r="O108">
        <v>0</v>
      </c>
      <c r="P108">
        <v>1</v>
      </c>
      <c r="Q108" t="s">
        <v>7</v>
      </c>
    </row>
    <row r="109" spans="1:17">
      <c r="A109" t="s">
        <v>867</v>
      </c>
      <c r="B109" t="s">
        <v>762</v>
      </c>
      <c r="C109">
        <v>0</v>
      </c>
      <c r="E109" t="s">
        <v>968</v>
      </c>
      <c r="F109" t="s">
        <v>891</v>
      </c>
      <c r="G109" t="s">
        <v>943</v>
      </c>
      <c r="H109">
        <v>1.421</v>
      </c>
      <c r="J109" s="600" t="s">
        <v>767</v>
      </c>
      <c r="K109">
        <v>105481992</v>
      </c>
      <c r="L109" s="2">
        <v>43236</v>
      </c>
      <c r="M109">
        <v>28</v>
      </c>
      <c r="N109">
        <v>10</v>
      </c>
      <c r="O109">
        <v>0</v>
      </c>
      <c r="P109">
        <v>1</v>
      </c>
    </row>
    <row r="110" spans="1:17">
      <c r="A110" t="s">
        <v>850</v>
      </c>
      <c r="B110" t="s">
        <v>913</v>
      </c>
      <c r="C110">
        <v>0</v>
      </c>
      <c r="E110" t="s">
        <v>762</v>
      </c>
      <c r="F110" t="s">
        <v>913</v>
      </c>
      <c r="G110" t="s">
        <v>909</v>
      </c>
      <c r="H110">
        <v>3.2839999999999998</v>
      </c>
      <c r="J110" s="600" t="s">
        <v>767</v>
      </c>
      <c r="K110">
        <v>105508622</v>
      </c>
      <c r="L110" s="2">
        <v>43238</v>
      </c>
      <c r="M110">
        <v>23</v>
      </c>
      <c r="N110">
        <v>1</v>
      </c>
      <c r="O110">
        <v>7</v>
      </c>
      <c r="P110">
        <v>1</v>
      </c>
      <c r="Q110" t="s">
        <v>7</v>
      </c>
    </row>
    <row r="111" spans="1:17">
      <c r="A111" t="s">
        <v>867</v>
      </c>
      <c r="B111" t="s">
        <v>869</v>
      </c>
      <c r="C111">
        <v>0</v>
      </c>
      <c r="E111" t="s">
        <v>870</v>
      </c>
      <c r="F111" t="s">
        <v>870</v>
      </c>
      <c r="G111" t="s">
        <v>869</v>
      </c>
      <c r="H111">
        <v>0.62</v>
      </c>
      <c r="J111" s="600" t="s">
        <v>767</v>
      </c>
      <c r="K111">
        <v>105494799</v>
      </c>
      <c r="L111" s="2">
        <v>43241</v>
      </c>
      <c r="M111">
        <v>19</v>
      </c>
      <c r="N111">
        <v>1</v>
      </c>
      <c r="O111">
        <v>0</v>
      </c>
      <c r="P111">
        <v>1</v>
      </c>
      <c r="Q111" t="s">
        <v>7</v>
      </c>
    </row>
    <row r="112" spans="1:17">
      <c r="A112" t="s">
        <v>867</v>
      </c>
      <c r="B112" t="s">
        <v>891</v>
      </c>
      <c r="C112">
        <v>0</v>
      </c>
      <c r="E112" t="s">
        <v>869</v>
      </c>
      <c r="F112" t="s">
        <v>888</v>
      </c>
      <c r="G112" t="s">
        <v>953</v>
      </c>
      <c r="H112">
        <v>2.6850000000000001</v>
      </c>
      <c r="J112" s="600" t="s">
        <v>767</v>
      </c>
      <c r="K112">
        <v>105494802</v>
      </c>
      <c r="L112" s="2">
        <v>43242</v>
      </c>
      <c r="M112">
        <v>30</v>
      </c>
      <c r="N112">
        <v>1</v>
      </c>
      <c r="O112">
        <v>7</v>
      </c>
      <c r="P112">
        <v>1</v>
      </c>
      <c r="Q112" t="s">
        <v>7</v>
      </c>
    </row>
    <row r="113" spans="1:17">
      <c r="A113" t="s">
        <v>850</v>
      </c>
      <c r="B113" t="s">
        <v>762</v>
      </c>
      <c r="C113">
        <v>0</v>
      </c>
      <c r="E113" t="s">
        <v>916</v>
      </c>
      <c r="G113" t="s">
        <v>909</v>
      </c>
      <c r="H113">
        <v>3.206</v>
      </c>
      <c r="J113" s="600" t="s">
        <v>767</v>
      </c>
      <c r="K113">
        <v>105526147</v>
      </c>
      <c r="L113" s="2">
        <v>43280</v>
      </c>
      <c r="M113">
        <v>30</v>
      </c>
      <c r="N113">
        <v>1</v>
      </c>
      <c r="O113">
        <v>8</v>
      </c>
      <c r="P113">
        <v>1</v>
      </c>
      <c r="Q113" t="s">
        <v>7</v>
      </c>
    </row>
    <row r="114" spans="1:17">
      <c r="A114" t="s">
        <v>867</v>
      </c>
      <c r="B114" t="s">
        <v>891</v>
      </c>
      <c r="C114">
        <v>0</v>
      </c>
      <c r="E114" t="s">
        <v>762</v>
      </c>
      <c r="F114" t="s">
        <v>987</v>
      </c>
      <c r="G114" t="s">
        <v>953</v>
      </c>
      <c r="H114">
        <v>2.0550000000000002</v>
      </c>
      <c r="J114" s="600" t="s">
        <v>767</v>
      </c>
      <c r="K114">
        <v>105552281</v>
      </c>
      <c r="L114" s="2">
        <v>43291</v>
      </c>
      <c r="M114">
        <v>21</v>
      </c>
      <c r="N114">
        <v>1</v>
      </c>
      <c r="O114">
        <v>8</v>
      </c>
      <c r="P114">
        <v>1</v>
      </c>
      <c r="Q114" t="s">
        <v>7</v>
      </c>
    </row>
    <row r="115" spans="1:17">
      <c r="A115" t="s">
        <v>850</v>
      </c>
      <c r="B115" t="s">
        <v>762</v>
      </c>
      <c r="C115">
        <v>3.1E-2</v>
      </c>
      <c r="D115" t="s">
        <v>6</v>
      </c>
      <c r="E115" t="s">
        <v>865</v>
      </c>
      <c r="F115" t="s">
        <v>862</v>
      </c>
      <c r="G115" t="s">
        <v>909</v>
      </c>
      <c r="H115">
        <v>2.9060000000000001</v>
      </c>
      <c r="J115" s="600" t="s">
        <v>767</v>
      </c>
      <c r="K115">
        <v>105551538</v>
      </c>
      <c r="L115" s="2">
        <v>43307</v>
      </c>
      <c r="M115">
        <v>30</v>
      </c>
      <c r="N115">
        <v>1</v>
      </c>
      <c r="O115">
        <v>4</v>
      </c>
      <c r="P115">
        <v>1</v>
      </c>
      <c r="Q115" t="s">
        <v>7</v>
      </c>
    </row>
    <row r="116" spans="1:17">
      <c r="A116" t="s">
        <v>867</v>
      </c>
      <c r="B116" t="s">
        <v>926</v>
      </c>
      <c r="C116">
        <v>0</v>
      </c>
      <c r="E116" t="s">
        <v>869</v>
      </c>
      <c r="F116" t="s">
        <v>927</v>
      </c>
      <c r="G116" t="s">
        <v>869</v>
      </c>
      <c r="H116">
        <v>0.09</v>
      </c>
      <c r="J116" s="600" t="s">
        <v>767</v>
      </c>
      <c r="K116">
        <v>105573027</v>
      </c>
      <c r="L116" s="2">
        <v>43310</v>
      </c>
      <c r="M116">
        <v>30</v>
      </c>
      <c r="N116">
        <v>1</v>
      </c>
      <c r="O116">
        <v>0</v>
      </c>
      <c r="P116">
        <v>1</v>
      </c>
      <c r="Q116" t="s">
        <v>8</v>
      </c>
    </row>
    <row r="117" spans="1:17">
      <c r="A117" t="s">
        <v>867</v>
      </c>
      <c r="B117" t="s">
        <v>869</v>
      </c>
      <c r="C117">
        <v>0</v>
      </c>
      <c r="E117" t="s">
        <v>870</v>
      </c>
      <c r="F117" t="s">
        <v>931</v>
      </c>
      <c r="G117" t="s">
        <v>869</v>
      </c>
      <c r="H117">
        <v>0.62</v>
      </c>
      <c r="J117" s="600" t="s">
        <v>767</v>
      </c>
      <c r="K117">
        <v>105618961</v>
      </c>
      <c r="L117" s="2">
        <v>43337</v>
      </c>
      <c r="M117">
        <v>1</v>
      </c>
      <c r="N117">
        <v>1</v>
      </c>
      <c r="O117">
        <v>0</v>
      </c>
      <c r="P117">
        <v>4</v>
      </c>
      <c r="Q117" t="s">
        <v>3</v>
      </c>
    </row>
    <row r="118" spans="1:17">
      <c r="A118" t="s">
        <v>850</v>
      </c>
      <c r="B118" t="s">
        <v>762</v>
      </c>
      <c r="C118">
        <v>0.01</v>
      </c>
      <c r="D118" t="s">
        <v>6</v>
      </c>
      <c r="E118" t="s">
        <v>855</v>
      </c>
      <c r="F118" t="s">
        <v>853</v>
      </c>
      <c r="G118" t="s">
        <v>909</v>
      </c>
      <c r="H118">
        <v>2.9860000000000002</v>
      </c>
      <c r="J118" s="600" t="s">
        <v>767</v>
      </c>
      <c r="K118">
        <v>105601554</v>
      </c>
      <c r="L118" s="2">
        <v>43350</v>
      </c>
      <c r="M118">
        <v>28</v>
      </c>
      <c r="N118">
        <v>1</v>
      </c>
      <c r="O118">
        <v>0</v>
      </c>
      <c r="P118">
        <v>1</v>
      </c>
      <c r="Q118" t="s">
        <v>7</v>
      </c>
    </row>
    <row r="119" spans="1:17">
      <c r="A119" t="s">
        <v>850</v>
      </c>
      <c r="B119" t="s">
        <v>855</v>
      </c>
      <c r="C119">
        <v>1.9E-2</v>
      </c>
      <c r="D119" t="s">
        <v>755</v>
      </c>
      <c r="E119" t="s">
        <v>762</v>
      </c>
      <c r="F119" t="s">
        <v>858</v>
      </c>
      <c r="H119">
        <v>999.99900000000002</v>
      </c>
      <c r="J119" s="600" t="s">
        <v>767</v>
      </c>
      <c r="K119">
        <v>105601553</v>
      </c>
      <c r="L119" s="2">
        <v>43353</v>
      </c>
      <c r="M119">
        <v>31</v>
      </c>
      <c r="N119">
        <v>1</v>
      </c>
      <c r="O119">
        <v>0</v>
      </c>
      <c r="P119">
        <v>1</v>
      </c>
      <c r="Q119" t="s">
        <v>7</v>
      </c>
    </row>
    <row r="120" spans="1:17">
      <c r="A120" t="s">
        <v>850</v>
      </c>
      <c r="B120" t="s">
        <v>762</v>
      </c>
      <c r="C120">
        <v>0</v>
      </c>
      <c r="E120" t="s">
        <v>913</v>
      </c>
      <c r="F120" t="s">
        <v>918</v>
      </c>
      <c r="G120" t="s">
        <v>909</v>
      </c>
      <c r="H120">
        <v>3.2839999999999998</v>
      </c>
      <c r="J120" s="600" t="s">
        <v>767</v>
      </c>
      <c r="K120">
        <v>105601555</v>
      </c>
      <c r="L120" s="2">
        <v>43353</v>
      </c>
      <c r="M120">
        <v>26</v>
      </c>
      <c r="N120">
        <v>1</v>
      </c>
      <c r="O120">
        <v>7</v>
      </c>
      <c r="P120">
        <v>1</v>
      </c>
      <c r="Q120" t="s">
        <v>7</v>
      </c>
    </row>
    <row r="121" spans="1:17">
      <c r="A121" t="s">
        <v>867</v>
      </c>
      <c r="B121" t="s">
        <v>887</v>
      </c>
      <c r="C121">
        <v>0</v>
      </c>
      <c r="E121" t="s">
        <v>869</v>
      </c>
      <c r="F121" t="s">
        <v>881</v>
      </c>
      <c r="G121" t="s">
        <v>869</v>
      </c>
      <c r="H121">
        <v>0.22</v>
      </c>
      <c r="J121" s="600" t="s">
        <v>767</v>
      </c>
      <c r="K121">
        <v>105616476</v>
      </c>
      <c r="L121" s="2">
        <v>43370</v>
      </c>
      <c r="M121">
        <v>29</v>
      </c>
      <c r="N121">
        <v>2</v>
      </c>
      <c r="O121">
        <v>4</v>
      </c>
      <c r="P121">
        <v>1</v>
      </c>
      <c r="Q121" t="s">
        <v>7</v>
      </c>
    </row>
    <row r="122" spans="1:17">
      <c r="A122" t="s">
        <v>867</v>
      </c>
      <c r="B122" t="s">
        <v>869</v>
      </c>
      <c r="C122">
        <v>0</v>
      </c>
      <c r="E122" t="s">
        <v>931</v>
      </c>
      <c r="F122" t="s">
        <v>870</v>
      </c>
      <c r="G122" t="s">
        <v>869</v>
      </c>
      <c r="H122">
        <v>0.47</v>
      </c>
      <c r="J122" s="600" t="s">
        <v>767</v>
      </c>
      <c r="K122">
        <v>105656255</v>
      </c>
      <c r="L122" s="2">
        <v>43379</v>
      </c>
      <c r="M122">
        <v>30</v>
      </c>
      <c r="N122">
        <v>1</v>
      </c>
      <c r="O122">
        <v>0</v>
      </c>
      <c r="P122">
        <v>1</v>
      </c>
      <c r="Q122" t="s">
        <v>7</v>
      </c>
    </row>
    <row r="123" spans="1:17">
      <c r="A123" t="s">
        <v>850</v>
      </c>
      <c r="B123" t="s">
        <v>762</v>
      </c>
      <c r="C123">
        <v>0</v>
      </c>
      <c r="E123" t="s">
        <v>918</v>
      </c>
      <c r="F123" t="s">
        <v>916</v>
      </c>
      <c r="G123" t="s">
        <v>909</v>
      </c>
      <c r="H123">
        <v>3.226</v>
      </c>
      <c r="J123" s="600" t="s">
        <v>767</v>
      </c>
      <c r="K123">
        <v>105658855</v>
      </c>
      <c r="L123" s="2">
        <v>43396</v>
      </c>
      <c r="M123">
        <v>24</v>
      </c>
      <c r="N123">
        <v>1</v>
      </c>
      <c r="O123">
        <v>12</v>
      </c>
      <c r="P123">
        <v>1</v>
      </c>
      <c r="Q123" t="s">
        <v>7</v>
      </c>
    </row>
    <row r="124" spans="1:17">
      <c r="A124" t="s">
        <v>867</v>
      </c>
      <c r="B124" t="s">
        <v>891</v>
      </c>
      <c r="C124">
        <v>0</v>
      </c>
      <c r="D124" t="s">
        <v>6</v>
      </c>
      <c r="E124" t="s">
        <v>888</v>
      </c>
      <c r="F124" t="s">
        <v>991</v>
      </c>
      <c r="G124" t="s">
        <v>953</v>
      </c>
      <c r="H124">
        <v>2.6850000000000001</v>
      </c>
      <c r="J124" s="600" t="s">
        <v>767</v>
      </c>
      <c r="K124">
        <v>105765497</v>
      </c>
      <c r="L124" s="2">
        <v>43396</v>
      </c>
      <c r="M124">
        <v>18</v>
      </c>
      <c r="N124">
        <v>1</v>
      </c>
      <c r="O124">
        <v>0</v>
      </c>
      <c r="P124">
        <v>1</v>
      </c>
      <c r="Q124" t="s">
        <v>7</v>
      </c>
    </row>
    <row r="125" spans="1:17">
      <c r="A125" t="s">
        <v>867</v>
      </c>
      <c r="B125" t="s">
        <v>888</v>
      </c>
      <c r="C125">
        <v>0</v>
      </c>
      <c r="E125" t="s">
        <v>891</v>
      </c>
      <c r="F125" t="s">
        <v>869</v>
      </c>
      <c r="G125" t="s">
        <v>953</v>
      </c>
      <c r="H125">
        <v>2.6850000000000001</v>
      </c>
      <c r="J125" s="600" t="s">
        <v>767</v>
      </c>
      <c r="K125">
        <v>105650743</v>
      </c>
      <c r="L125" s="2">
        <v>43399</v>
      </c>
      <c r="M125">
        <v>18</v>
      </c>
      <c r="N125">
        <v>2</v>
      </c>
      <c r="O125">
        <v>0</v>
      </c>
      <c r="P125">
        <v>5</v>
      </c>
      <c r="Q125" t="s">
        <v>7</v>
      </c>
    </row>
    <row r="126" spans="1:17">
      <c r="A126" t="s">
        <v>751</v>
      </c>
      <c r="B126" t="s">
        <v>949</v>
      </c>
      <c r="C126">
        <v>0</v>
      </c>
      <c r="E126" t="s">
        <v>897</v>
      </c>
      <c r="F126" t="s">
        <v>901</v>
      </c>
      <c r="G126" t="s">
        <v>949</v>
      </c>
      <c r="H126">
        <v>14.055</v>
      </c>
      <c r="J126" s="600" t="s">
        <v>767</v>
      </c>
      <c r="K126">
        <v>105665237</v>
      </c>
      <c r="L126" s="2">
        <v>43404</v>
      </c>
      <c r="M126">
        <v>23</v>
      </c>
      <c r="N126">
        <v>1</v>
      </c>
      <c r="O126">
        <v>7</v>
      </c>
      <c r="P126">
        <v>1</v>
      </c>
      <c r="Q126" t="s">
        <v>3</v>
      </c>
    </row>
    <row r="127" spans="1:17">
      <c r="A127" t="s">
        <v>850</v>
      </c>
      <c r="B127" t="s">
        <v>917</v>
      </c>
      <c r="C127">
        <v>0</v>
      </c>
      <c r="E127" t="s">
        <v>762</v>
      </c>
      <c r="F127" t="s">
        <v>860</v>
      </c>
      <c r="G127" t="s">
        <v>940</v>
      </c>
      <c r="H127">
        <v>5.0730000000000004</v>
      </c>
      <c r="J127" s="600" t="s">
        <v>767</v>
      </c>
      <c r="K127">
        <v>105662698</v>
      </c>
      <c r="L127" s="2">
        <v>43405</v>
      </c>
      <c r="M127">
        <v>21</v>
      </c>
      <c r="N127">
        <v>1</v>
      </c>
      <c r="O127">
        <v>0</v>
      </c>
      <c r="P127">
        <v>4</v>
      </c>
      <c r="Q127" t="s">
        <v>7</v>
      </c>
    </row>
    <row r="128" spans="1:17">
      <c r="A128" t="s">
        <v>867</v>
      </c>
      <c r="B128" t="s">
        <v>930</v>
      </c>
      <c r="C128">
        <v>0</v>
      </c>
      <c r="E128" t="s">
        <v>869</v>
      </c>
      <c r="F128" t="s">
        <v>930</v>
      </c>
      <c r="G128" t="s">
        <v>869</v>
      </c>
      <c r="H128">
        <v>999.99900000000002</v>
      </c>
      <c r="J128" s="600" t="s">
        <v>767</v>
      </c>
      <c r="K128">
        <v>105663384</v>
      </c>
      <c r="L128" s="2">
        <v>43410</v>
      </c>
      <c r="M128">
        <v>1</v>
      </c>
      <c r="N128">
        <v>2</v>
      </c>
      <c r="O128">
        <v>0</v>
      </c>
      <c r="P128">
        <v>1</v>
      </c>
      <c r="Q128" t="s">
        <v>7</v>
      </c>
    </row>
    <row r="129" spans="1:17">
      <c r="A129" t="s">
        <v>850</v>
      </c>
      <c r="B129" t="s">
        <v>762</v>
      </c>
      <c r="C129">
        <v>0.15</v>
      </c>
      <c r="D129" t="s">
        <v>754</v>
      </c>
      <c r="E129" t="s">
        <v>865</v>
      </c>
      <c r="F129" t="s">
        <v>860</v>
      </c>
      <c r="G129" t="s">
        <v>909</v>
      </c>
      <c r="H129">
        <v>3.0870000000000002</v>
      </c>
      <c r="J129" s="600" t="s">
        <v>767</v>
      </c>
      <c r="K129">
        <v>105680090</v>
      </c>
      <c r="L129" s="2">
        <v>43412</v>
      </c>
      <c r="M129">
        <v>23</v>
      </c>
      <c r="N129">
        <v>1</v>
      </c>
      <c r="O129">
        <v>0</v>
      </c>
      <c r="P129">
        <v>1</v>
      </c>
      <c r="Q129" t="s">
        <v>7</v>
      </c>
    </row>
    <row r="130" spans="1:17">
      <c r="A130" t="s">
        <v>867</v>
      </c>
      <c r="B130" t="s">
        <v>891</v>
      </c>
      <c r="C130">
        <v>1.9E-2</v>
      </c>
      <c r="D130" t="s">
        <v>753</v>
      </c>
      <c r="E130" t="s">
        <v>762</v>
      </c>
      <c r="F130" t="s">
        <v>902</v>
      </c>
      <c r="G130" t="s">
        <v>953</v>
      </c>
      <c r="H130">
        <v>2.0739999999999998</v>
      </c>
      <c r="J130" s="600" t="s">
        <v>767</v>
      </c>
      <c r="K130">
        <v>105684376</v>
      </c>
      <c r="L130" s="2">
        <v>43420</v>
      </c>
      <c r="M130">
        <v>20</v>
      </c>
      <c r="N130">
        <v>1</v>
      </c>
      <c r="O130">
        <v>0</v>
      </c>
      <c r="P130">
        <v>2</v>
      </c>
      <c r="Q130" t="s">
        <v>7</v>
      </c>
    </row>
    <row r="131" spans="1:17">
      <c r="A131" t="s">
        <v>850</v>
      </c>
      <c r="B131" t="s">
        <v>762</v>
      </c>
      <c r="C131">
        <v>4.7E-2</v>
      </c>
      <c r="D131" t="s">
        <v>754</v>
      </c>
      <c r="E131" t="s">
        <v>941</v>
      </c>
      <c r="F131" t="s">
        <v>922</v>
      </c>
      <c r="G131" t="s">
        <v>975</v>
      </c>
      <c r="H131">
        <v>0.47199999999999998</v>
      </c>
      <c r="J131" s="600" t="s">
        <v>767</v>
      </c>
      <c r="K131">
        <v>105984781</v>
      </c>
      <c r="L131" s="2">
        <v>43427</v>
      </c>
      <c r="M131">
        <v>17</v>
      </c>
      <c r="N131">
        <v>1</v>
      </c>
      <c r="P131">
        <v>4</v>
      </c>
      <c r="Q131" t="s">
        <v>7</v>
      </c>
    </row>
    <row r="132" spans="1:17">
      <c r="A132" t="s">
        <v>751</v>
      </c>
      <c r="B132" t="s">
        <v>897</v>
      </c>
      <c r="C132">
        <v>6.6000000000000003E-2</v>
      </c>
      <c r="D132" t="s">
        <v>6</v>
      </c>
      <c r="E132" t="s">
        <v>949</v>
      </c>
      <c r="F132" t="s">
        <v>954</v>
      </c>
      <c r="G132" t="s">
        <v>897</v>
      </c>
      <c r="H132">
        <v>0.81599999999999995</v>
      </c>
      <c r="J132" s="600" t="s">
        <v>767</v>
      </c>
      <c r="K132">
        <v>105715890</v>
      </c>
      <c r="L132" s="2">
        <v>43450</v>
      </c>
      <c r="M132">
        <v>19</v>
      </c>
      <c r="N132">
        <v>1</v>
      </c>
      <c r="O132">
        <v>0</v>
      </c>
      <c r="P132">
        <v>1</v>
      </c>
      <c r="Q132" t="s">
        <v>7</v>
      </c>
    </row>
    <row r="133" spans="1:17">
      <c r="A133" t="s">
        <v>850</v>
      </c>
      <c r="B133" t="s">
        <v>919</v>
      </c>
      <c r="C133">
        <v>0</v>
      </c>
      <c r="E133" t="s">
        <v>762</v>
      </c>
      <c r="F133" t="s">
        <v>922</v>
      </c>
      <c r="G133" t="s">
        <v>909</v>
      </c>
      <c r="H133">
        <v>3.2850000000000001</v>
      </c>
      <c r="J133" s="600" t="s">
        <v>767</v>
      </c>
      <c r="K133">
        <v>105750544</v>
      </c>
      <c r="L133" s="2">
        <v>43479</v>
      </c>
      <c r="M133">
        <v>28</v>
      </c>
      <c r="N133">
        <v>1</v>
      </c>
      <c r="O133">
        <v>7</v>
      </c>
      <c r="P133">
        <v>3</v>
      </c>
      <c r="Q133" t="s">
        <v>7</v>
      </c>
    </row>
    <row r="134" spans="1:17">
      <c r="A134" t="s">
        <v>850</v>
      </c>
      <c r="B134" t="s">
        <v>917</v>
      </c>
      <c r="C134">
        <v>0</v>
      </c>
      <c r="E134" t="s">
        <v>913</v>
      </c>
      <c r="F134" t="s">
        <v>913</v>
      </c>
      <c r="G134" t="s">
        <v>909</v>
      </c>
      <c r="H134">
        <v>3.2839999999999998</v>
      </c>
      <c r="J134" s="600" t="s">
        <v>767</v>
      </c>
      <c r="K134">
        <v>105762325</v>
      </c>
      <c r="L134" s="2">
        <v>43497</v>
      </c>
      <c r="M134">
        <v>19</v>
      </c>
      <c r="N134">
        <v>1</v>
      </c>
      <c r="O134">
        <v>0</v>
      </c>
      <c r="P134">
        <v>1</v>
      </c>
      <c r="Q134" t="s">
        <v>7</v>
      </c>
    </row>
    <row r="135" spans="1:17">
      <c r="A135" t="s">
        <v>867</v>
      </c>
      <c r="B135" t="s">
        <v>869</v>
      </c>
      <c r="C135">
        <v>0</v>
      </c>
      <c r="E135" t="s">
        <v>926</v>
      </c>
      <c r="F135" t="s">
        <v>924</v>
      </c>
      <c r="G135" t="s">
        <v>869</v>
      </c>
      <c r="H135">
        <v>0.09</v>
      </c>
      <c r="J135" s="600" t="s">
        <v>767</v>
      </c>
      <c r="K135">
        <v>105771423</v>
      </c>
      <c r="L135" s="2">
        <v>43501</v>
      </c>
      <c r="M135">
        <v>21</v>
      </c>
      <c r="N135">
        <v>1</v>
      </c>
      <c r="O135">
        <v>0</v>
      </c>
      <c r="P135">
        <v>1</v>
      </c>
      <c r="Q135" t="s">
        <v>3</v>
      </c>
    </row>
    <row r="136" spans="1:17">
      <c r="A136" t="s">
        <v>751</v>
      </c>
      <c r="B136" t="s">
        <v>948</v>
      </c>
      <c r="C136">
        <v>8.9999999999999993E-3</v>
      </c>
      <c r="D136" t="s">
        <v>6</v>
      </c>
      <c r="E136" t="s">
        <v>897</v>
      </c>
      <c r="F136" t="s">
        <v>950</v>
      </c>
      <c r="G136" t="s">
        <v>948</v>
      </c>
      <c r="H136">
        <v>3.298</v>
      </c>
      <c r="J136" s="600" t="s">
        <v>767</v>
      </c>
      <c r="K136">
        <v>105770209</v>
      </c>
      <c r="L136" s="2">
        <v>43505</v>
      </c>
      <c r="M136">
        <v>29</v>
      </c>
      <c r="N136">
        <v>1</v>
      </c>
      <c r="O136">
        <v>0</v>
      </c>
      <c r="P136">
        <v>1</v>
      </c>
      <c r="Q136" t="s">
        <v>3</v>
      </c>
    </row>
    <row r="137" spans="1:17">
      <c r="A137" t="s">
        <v>751</v>
      </c>
      <c r="B137" t="s">
        <v>949</v>
      </c>
      <c r="C137">
        <v>0.01</v>
      </c>
      <c r="D137" t="s">
        <v>755</v>
      </c>
      <c r="E137" t="s">
        <v>897</v>
      </c>
      <c r="F137" t="s">
        <v>883</v>
      </c>
      <c r="G137" t="s">
        <v>949</v>
      </c>
      <c r="H137">
        <v>14.045</v>
      </c>
      <c r="J137" s="600" t="s">
        <v>767</v>
      </c>
      <c r="K137">
        <v>105790343</v>
      </c>
      <c r="L137" s="2">
        <v>43523</v>
      </c>
      <c r="M137">
        <v>21</v>
      </c>
      <c r="N137">
        <v>1</v>
      </c>
      <c r="O137">
        <v>0</v>
      </c>
      <c r="P137">
        <v>1</v>
      </c>
      <c r="Q137" t="s">
        <v>8</v>
      </c>
    </row>
    <row r="138" spans="1:17">
      <c r="A138" t="s">
        <v>867</v>
      </c>
      <c r="B138" t="s">
        <v>878</v>
      </c>
      <c r="C138">
        <v>0</v>
      </c>
      <c r="E138" t="s">
        <v>869</v>
      </c>
      <c r="F138" t="s">
        <v>879</v>
      </c>
      <c r="H138">
        <v>999.99900000000002</v>
      </c>
      <c r="J138" s="600" t="s">
        <v>767</v>
      </c>
      <c r="K138">
        <v>105808057</v>
      </c>
      <c r="L138" s="2">
        <v>43526</v>
      </c>
      <c r="M138">
        <v>5</v>
      </c>
      <c r="N138">
        <v>1</v>
      </c>
      <c r="O138">
        <v>0</v>
      </c>
      <c r="P138">
        <v>1</v>
      </c>
    </row>
    <row r="139" spans="1:17">
      <c r="A139" t="s">
        <v>850</v>
      </c>
      <c r="B139" t="s">
        <v>919</v>
      </c>
      <c r="C139">
        <v>8.0000000000000002E-3</v>
      </c>
      <c r="D139" t="s">
        <v>755</v>
      </c>
      <c r="E139" t="s">
        <v>762</v>
      </c>
      <c r="F139" t="s">
        <v>883</v>
      </c>
      <c r="G139" t="s">
        <v>909</v>
      </c>
      <c r="H139">
        <v>3.2930000000000001</v>
      </c>
      <c r="J139" s="600" t="s">
        <v>767</v>
      </c>
      <c r="K139">
        <v>105924216</v>
      </c>
      <c r="L139" s="2">
        <v>43526</v>
      </c>
      <c r="M139">
        <v>2</v>
      </c>
      <c r="N139">
        <v>1</v>
      </c>
      <c r="O139">
        <v>7</v>
      </c>
      <c r="P139">
        <v>4</v>
      </c>
      <c r="Q139" t="s">
        <v>7</v>
      </c>
    </row>
    <row r="140" spans="1:17">
      <c r="A140" t="s">
        <v>867</v>
      </c>
      <c r="B140" t="s">
        <v>762</v>
      </c>
      <c r="C140">
        <v>2.8000000000000001E-2</v>
      </c>
      <c r="D140" t="s">
        <v>6</v>
      </c>
      <c r="E140" t="s">
        <v>891</v>
      </c>
      <c r="F140" t="s">
        <v>970</v>
      </c>
      <c r="G140" t="s">
        <v>943</v>
      </c>
      <c r="H140">
        <v>1.476</v>
      </c>
      <c r="J140" s="600" t="s">
        <v>767</v>
      </c>
      <c r="K140">
        <v>105799613</v>
      </c>
      <c r="L140" s="2">
        <v>43535</v>
      </c>
      <c r="M140">
        <v>31</v>
      </c>
      <c r="N140">
        <v>1</v>
      </c>
      <c r="O140">
        <v>0</v>
      </c>
      <c r="P140">
        <v>1</v>
      </c>
      <c r="Q140" t="s">
        <v>7</v>
      </c>
    </row>
    <row r="141" spans="1:17">
      <c r="A141" t="s">
        <v>850</v>
      </c>
      <c r="B141" t="s">
        <v>762</v>
      </c>
      <c r="C141">
        <v>0</v>
      </c>
      <c r="E141" t="s">
        <v>862</v>
      </c>
      <c r="F141" t="s">
        <v>911</v>
      </c>
      <c r="G141" t="s">
        <v>909</v>
      </c>
      <c r="H141">
        <v>2.8679999999999999</v>
      </c>
      <c r="J141" s="600" t="s">
        <v>767</v>
      </c>
      <c r="K141">
        <v>105801665</v>
      </c>
      <c r="L141" s="2">
        <v>43536</v>
      </c>
      <c r="M141">
        <v>21</v>
      </c>
      <c r="N141">
        <v>1</v>
      </c>
      <c r="O141">
        <v>7</v>
      </c>
      <c r="P141">
        <v>1</v>
      </c>
      <c r="Q141" t="s">
        <v>7</v>
      </c>
    </row>
    <row r="142" spans="1:17">
      <c r="A142" t="s">
        <v>867</v>
      </c>
      <c r="B142" t="s">
        <v>869</v>
      </c>
      <c r="C142">
        <v>0</v>
      </c>
      <c r="E142" t="s">
        <v>924</v>
      </c>
      <c r="F142" t="s">
        <v>887</v>
      </c>
      <c r="G142" t="s">
        <v>869</v>
      </c>
      <c r="H142">
        <v>999.99900000000002</v>
      </c>
      <c r="J142" s="600" t="s">
        <v>767</v>
      </c>
      <c r="K142">
        <v>105801662</v>
      </c>
      <c r="L142" s="2">
        <v>43537</v>
      </c>
      <c r="M142">
        <v>31</v>
      </c>
      <c r="N142">
        <v>1</v>
      </c>
      <c r="O142">
        <v>0</v>
      </c>
      <c r="P142">
        <v>1</v>
      </c>
      <c r="Q142" t="s">
        <v>7</v>
      </c>
    </row>
    <row r="143" spans="1:17">
      <c r="A143" t="s">
        <v>751</v>
      </c>
      <c r="B143" t="s">
        <v>897</v>
      </c>
      <c r="C143">
        <v>0</v>
      </c>
      <c r="E143" t="s">
        <v>899</v>
      </c>
      <c r="F143" t="s">
        <v>948</v>
      </c>
      <c r="G143" t="s">
        <v>897</v>
      </c>
      <c r="H143">
        <v>1.913</v>
      </c>
      <c r="J143" s="600" t="s">
        <v>767</v>
      </c>
      <c r="K143">
        <v>105807326</v>
      </c>
      <c r="L143" s="2">
        <v>43543</v>
      </c>
      <c r="M143">
        <v>21</v>
      </c>
      <c r="N143">
        <v>1</v>
      </c>
      <c r="O143">
        <v>8</v>
      </c>
      <c r="P143">
        <v>1</v>
      </c>
      <c r="Q143" t="s">
        <v>7</v>
      </c>
    </row>
    <row r="144" spans="1:17">
      <c r="A144" t="s">
        <v>850</v>
      </c>
      <c r="B144" t="s">
        <v>762</v>
      </c>
      <c r="C144">
        <v>1.4E-2</v>
      </c>
      <c r="D144" t="s">
        <v>754</v>
      </c>
      <c r="E144" t="s">
        <v>865</v>
      </c>
      <c r="F144" t="s">
        <v>855</v>
      </c>
      <c r="G144" t="s">
        <v>909</v>
      </c>
      <c r="H144">
        <v>2.9510000000000001</v>
      </c>
      <c r="J144" s="600" t="s">
        <v>767</v>
      </c>
      <c r="K144">
        <v>105822297</v>
      </c>
      <c r="L144" s="2">
        <v>43551</v>
      </c>
      <c r="M144">
        <v>28</v>
      </c>
      <c r="N144">
        <v>1</v>
      </c>
      <c r="O144">
        <v>0</v>
      </c>
      <c r="P144">
        <v>1</v>
      </c>
    </row>
    <row r="145" spans="1:22">
      <c r="A145" t="s">
        <v>867</v>
      </c>
      <c r="B145" t="s">
        <v>891</v>
      </c>
      <c r="C145">
        <v>0</v>
      </c>
      <c r="E145" t="s">
        <v>888</v>
      </c>
      <c r="F145" t="s">
        <v>990</v>
      </c>
      <c r="G145" t="s">
        <v>953</v>
      </c>
      <c r="H145">
        <v>2.6850000000000001</v>
      </c>
      <c r="J145" s="600" t="s">
        <v>767</v>
      </c>
      <c r="K145">
        <v>105836651</v>
      </c>
      <c r="L145" s="2">
        <v>43557</v>
      </c>
      <c r="M145">
        <v>30</v>
      </c>
      <c r="N145">
        <v>2</v>
      </c>
      <c r="O145">
        <v>0</v>
      </c>
      <c r="P145">
        <v>1</v>
      </c>
      <c r="Q145" t="s">
        <v>3</v>
      </c>
    </row>
    <row r="146" spans="1:22">
      <c r="A146" t="s">
        <v>751</v>
      </c>
      <c r="B146" t="s">
        <v>949</v>
      </c>
      <c r="C146">
        <v>0</v>
      </c>
      <c r="E146" t="s">
        <v>943</v>
      </c>
      <c r="F146" t="s">
        <v>897</v>
      </c>
      <c r="G146" t="s">
        <v>949</v>
      </c>
      <c r="H146">
        <v>999.99900000000002</v>
      </c>
      <c r="J146" s="600" t="s">
        <v>767</v>
      </c>
      <c r="K146">
        <v>105825638</v>
      </c>
      <c r="L146" s="2">
        <v>43562</v>
      </c>
      <c r="M146">
        <v>23</v>
      </c>
      <c r="N146">
        <v>1</v>
      </c>
      <c r="O146">
        <v>7</v>
      </c>
      <c r="P146">
        <v>1</v>
      </c>
      <c r="Q146" t="s">
        <v>8</v>
      </c>
    </row>
    <row r="147" spans="1:22">
      <c r="A147" t="s">
        <v>867</v>
      </c>
      <c r="B147" t="s">
        <v>891</v>
      </c>
      <c r="C147">
        <v>0</v>
      </c>
      <c r="E147" t="s">
        <v>762</v>
      </c>
      <c r="G147" t="s">
        <v>953</v>
      </c>
      <c r="H147">
        <v>2.0550000000000002</v>
      </c>
      <c r="J147" s="600" t="s">
        <v>767</v>
      </c>
      <c r="K147">
        <v>105849892</v>
      </c>
      <c r="L147" s="2">
        <v>43587</v>
      </c>
      <c r="M147">
        <v>21</v>
      </c>
      <c r="N147">
        <v>1</v>
      </c>
      <c r="O147">
        <v>0</v>
      </c>
      <c r="P147">
        <v>1</v>
      </c>
      <c r="Q147" t="s">
        <v>7</v>
      </c>
    </row>
    <row r="148" spans="1:22">
      <c r="A148" t="s">
        <v>850</v>
      </c>
      <c r="B148" t="s">
        <v>762</v>
      </c>
      <c r="C148">
        <v>8.9999999999999993E-3</v>
      </c>
      <c r="D148" t="s">
        <v>754</v>
      </c>
      <c r="E148" t="s">
        <v>865</v>
      </c>
      <c r="F148" t="s">
        <v>853</v>
      </c>
      <c r="G148" t="s">
        <v>909</v>
      </c>
      <c r="H148">
        <v>2.9460000000000002</v>
      </c>
      <c r="J148" s="600" t="s">
        <v>767</v>
      </c>
      <c r="K148">
        <v>105860727</v>
      </c>
      <c r="L148" s="2">
        <v>43595</v>
      </c>
      <c r="M148">
        <v>28</v>
      </c>
      <c r="N148">
        <v>1</v>
      </c>
      <c r="P148">
        <v>1</v>
      </c>
      <c r="Q148" t="s">
        <v>7</v>
      </c>
    </row>
    <row r="149" spans="1:22">
      <c r="A149" t="s">
        <v>751</v>
      </c>
      <c r="B149" t="s">
        <v>897</v>
      </c>
      <c r="C149">
        <v>0</v>
      </c>
      <c r="E149" t="s">
        <v>963</v>
      </c>
      <c r="F149" t="s">
        <v>899</v>
      </c>
      <c r="G149" t="s">
        <v>897</v>
      </c>
      <c r="H149">
        <v>999.99900000000002</v>
      </c>
      <c r="J149" s="600" t="s">
        <v>767</v>
      </c>
      <c r="K149">
        <v>105865220</v>
      </c>
      <c r="L149" s="2">
        <v>43599</v>
      </c>
      <c r="M149">
        <v>30</v>
      </c>
      <c r="N149">
        <v>1</v>
      </c>
      <c r="O149">
        <v>7</v>
      </c>
      <c r="P149">
        <v>1</v>
      </c>
      <c r="Q149" t="s">
        <v>8</v>
      </c>
    </row>
    <row r="150" spans="1:22">
      <c r="A150" t="s">
        <v>751</v>
      </c>
      <c r="B150" t="s">
        <v>949</v>
      </c>
      <c r="C150">
        <v>0</v>
      </c>
      <c r="E150" t="s">
        <v>897</v>
      </c>
      <c r="F150" t="s">
        <v>883</v>
      </c>
      <c r="G150" t="s">
        <v>949</v>
      </c>
      <c r="H150">
        <v>14.055</v>
      </c>
      <c r="J150" s="600" t="s">
        <v>767</v>
      </c>
      <c r="K150">
        <v>105890212</v>
      </c>
      <c r="L150" s="2">
        <v>43620</v>
      </c>
      <c r="M150">
        <v>30</v>
      </c>
      <c r="N150">
        <v>1</v>
      </c>
      <c r="O150">
        <v>7</v>
      </c>
      <c r="P150">
        <v>1</v>
      </c>
      <c r="Q150" t="s">
        <v>7</v>
      </c>
    </row>
    <row r="151" spans="1:22">
      <c r="A151" t="s">
        <v>751</v>
      </c>
      <c r="B151" t="s">
        <v>897</v>
      </c>
      <c r="C151">
        <v>0.3</v>
      </c>
      <c r="D151" t="s">
        <v>753</v>
      </c>
      <c r="E151" t="s">
        <v>948</v>
      </c>
      <c r="F151" t="s">
        <v>958</v>
      </c>
      <c r="G151" t="s">
        <v>897</v>
      </c>
      <c r="H151">
        <v>3.4039999999999999</v>
      </c>
      <c r="J151" s="600" t="s">
        <v>767</v>
      </c>
      <c r="K151">
        <v>105890878</v>
      </c>
      <c r="L151" s="2">
        <v>43622</v>
      </c>
      <c r="M151">
        <v>27</v>
      </c>
      <c r="N151">
        <v>1</v>
      </c>
      <c r="O151">
        <v>0</v>
      </c>
      <c r="P151">
        <v>1</v>
      </c>
      <c r="Q151" t="s">
        <v>8</v>
      </c>
    </row>
    <row r="152" spans="1:22">
      <c r="A152" t="s">
        <v>867</v>
      </c>
      <c r="B152" t="s">
        <v>869</v>
      </c>
      <c r="C152">
        <v>0</v>
      </c>
      <c r="D152" t="s">
        <v>753</v>
      </c>
      <c r="E152" t="s">
        <v>936</v>
      </c>
      <c r="F152" t="s">
        <v>862</v>
      </c>
      <c r="G152" t="s">
        <v>869</v>
      </c>
      <c r="H152">
        <v>999.99900000000002</v>
      </c>
      <c r="J152" s="600" t="s">
        <v>767</v>
      </c>
      <c r="K152">
        <v>106104024</v>
      </c>
      <c r="L152" s="2">
        <v>43629</v>
      </c>
      <c r="M152">
        <v>19</v>
      </c>
      <c r="N152">
        <v>2</v>
      </c>
      <c r="O152">
        <v>0</v>
      </c>
      <c r="P152">
        <v>2</v>
      </c>
      <c r="Q152" t="s">
        <v>7</v>
      </c>
    </row>
    <row r="153" spans="1:22">
      <c r="A153" t="s">
        <v>850</v>
      </c>
      <c r="B153" t="s">
        <v>762</v>
      </c>
      <c r="C153">
        <v>3.7999999999999999E-2</v>
      </c>
      <c r="D153" t="s">
        <v>6</v>
      </c>
      <c r="E153" t="s">
        <v>911</v>
      </c>
      <c r="F153" t="s">
        <v>907</v>
      </c>
      <c r="G153" t="s">
        <v>909</v>
      </c>
      <c r="H153">
        <v>2.7010000000000001</v>
      </c>
      <c r="J153" s="600" t="s">
        <v>767</v>
      </c>
      <c r="K153">
        <v>105898070</v>
      </c>
      <c r="L153" s="2">
        <v>43633</v>
      </c>
      <c r="M153">
        <v>29</v>
      </c>
      <c r="N153">
        <v>1</v>
      </c>
      <c r="O153">
        <v>0</v>
      </c>
      <c r="P153">
        <v>1</v>
      </c>
      <c r="Q153" t="s">
        <v>7</v>
      </c>
    </row>
    <row r="154" spans="1:22">
      <c r="A154" t="s">
        <v>850</v>
      </c>
      <c r="B154" t="s">
        <v>762</v>
      </c>
      <c r="C154">
        <v>3.2000000000000001E-2</v>
      </c>
      <c r="D154" t="s">
        <v>755</v>
      </c>
      <c r="E154" t="s">
        <v>853</v>
      </c>
      <c r="F154" t="s">
        <v>912</v>
      </c>
      <c r="G154" t="s">
        <v>909</v>
      </c>
      <c r="H154">
        <v>2.9340000000000002</v>
      </c>
      <c r="J154" s="600" t="s">
        <v>767</v>
      </c>
      <c r="K154">
        <v>106032449</v>
      </c>
      <c r="L154" s="2">
        <v>43635</v>
      </c>
      <c r="M154">
        <v>30</v>
      </c>
      <c r="N154">
        <v>1</v>
      </c>
      <c r="O154">
        <v>0</v>
      </c>
      <c r="P154">
        <v>1</v>
      </c>
      <c r="Q154" t="s">
        <v>7</v>
      </c>
    </row>
    <row r="155" spans="1:22">
      <c r="A155" t="s">
        <v>850</v>
      </c>
      <c r="B155" t="s">
        <v>762</v>
      </c>
      <c r="C155">
        <v>0</v>
      </c>
      <c r="E155" t="s">
        <v>856</v>
      </c>
      <c r="F155" t="s">
        <v>857</v>
      </c>
      <c r="H155">
        <v>999.99900000000002</v>
      </c>
      <c r="J155" s="600" t="s">
        <v>767</v>
      </c>
      <c r="K155">
        <v>105908438</v>
      </c>
      <c r="L155" s="2">
        <v>43642</v>
      </c>
      <c r="M155">
        <v>22</v>
      </c>
      <c r="N155">
        <v>1</v>
      </c>
      <c r="O155">
        <v>0</v>
      </c>
      <c r="P155">
        <v>1</v>
      </c>
      <c r="Q155" t="s">
        <v>3</v>
      </c>
      <c r="R155">
        <v>36.111494</v>
      </c>
      <c r="S155">
        <v>-78.687768000000005</v>
      </c>
      <c r="T155" t="s">
        <v>757</v>
      </c>
      <c r="V155">
        <v>14.816118007701826</v>
      </c>
    </row>
    <row r="156" spans="1:22">
      <c r="A156" t="s">
        <v>751</v>
      </c>
      <c r="B156" t="s">
        <v>897</v>
      </c>
      <c r="C156">
        <v>0</v>
      </c>
      <c r="E156" t="s">
        <v>949</v>
      </c>
      <c r="F156" t="s">
        <v>901</v>
      </c>
      <c r="G156" t="s">
        <v>897</v>
      </c>
      <c r="H156">
        <v>0.88200000000000001</v>
      </c>
      <c r="J156" s="600" t="s">
        <v>767</v>
      </c>
      <c r="K156">
        <v>105921384</v>
      </c>
      <c r="L156" s="2">
        <v>43655</v>
      </c>
      <c r="M156">
        <v>30</v>
      </c>
      <c r="N156">
        <v>1</v>
      </c>
      <c r="O156">
        <v>7</v>
      </c>
      <c r="P156">
        <v>1</v>
      </c>
      <c r="Q156" t="s">
        <v>8</v>
      </c>
    </row>
    <row r="157" spans="1:22">
      <c r="A157" t="s">
        <v>850</v>
      </c>
      <c r="B157" t="s">
        <v>762</v>
      </c>
      <c r="C157">
        <v>1.9E-2</v>
      </c>
      <c r="D157" t="s">
        <v>6</v>
      </c>
      <c r="E157" t="s">
        <v>915</v>
      </c>
      <c r="F157" t="s">
        <v>860</v>
      </c>
      <c r="G157" t="s">
        <v>909</v>
      </c>
      <c r="H157">
        <v>3.1070000000000002</v>
      </c>
      <c r="J157" s="600" t="s">
        <v>767</v>
      </c>
      <c r="K157">
        <v>105924215</v>
      </c>
      <c r="L157" s="2">
        <v>43660</v>
      </c>
      <c r="M157">
        <v>19</v>
      </c>
      <c r="N157">
        <v>1</v>
      </c>
      <c r="O157">
        <v>0</v>
      </c>
      <c r="P157">
        <v>4</v>
      </c>
      <c r="Q157" t="s">
        <v>7</v>
      </c>
    </row>
    <row r="158" spans="1:22">
      <c r="A158" t="s">
        <v>867</v>
      </c>
      <c r="B158" t="s">
        <v>762</v>
      </c>
      <c r="C158">
        <v>1.0999999999999999E-2</v>
      </c>
      <c r="D158" t="s">
        <v>754</v>
      </c>
      <c r="E158" t="s">
        <v>904</v>
      </c>
      <c r="F158" t="s">
        <v>881</v>
      </c>
      <c r="G158" t="s">
        <v>762</v>
      </c>
      <c r="H158">
        <v>999.99900000000002</v>
      </c>
      <c r="J158" s="600" t="s">
        <v>767</v>
      </c>
      <c r="K158">
        <v>105928354</v>
      </c>
      <c r="L158" s="2">
        <v>43663</v>
      </c>
      <c r="M158">
        <v>20</v>
      </c>
      <c r="N158">
        <v>1</v>
      </c>
      <c r="O158">
        <v>0</v>
      </c>
      <c r="P158">
        <v>1</v>
      </c>
      <c r="Q158" t="s">
        <v>7</v>
      </c>
    </row>
    <row r="159" spans="1:22">
      <c r="A159" t="s">
        <v>751</v>
      </c>
      <c r="B159" t="s">
        <v>949</v>
      </c>
      <c r="C159">
        <v>0</v>
      </c>
      <c r="E159" t="s">
        <v>897</v>
      </c>
      <c r="F159" t="s">
        <v>883</v>
      </c>
      <c r="G159" t="s">
        <v>949</v>
      </c>
      <c r="H159">
        <v>14.055</v>
      </c>
      <c r="J159" s="600" t="s">
        <v>767</v>
      </c>
      <c r="K159">
        <v>105930374</v>
      </c>
      <c r="L159" s="2">
        <v>43665</v>
      </c>
      <c r="M159">
        <v>30</v>
      </c>
      <c r="N159">
        <v>1</v>
      </c>
      <c r="O159">
        <v>7</v>
      </c>
      <c r="P159">
        <v>1</v>
      </c>
      <c r="Q159" t="s">
        <v>7</v>
      </c>
    </row>
    <row r="160" spans="1:22">
      <c r="A160" t="s">
        <v>850</v>
      </c>
      <c r="B160" t="s">
        <v>762</v>
      </c>
      <c r="C160">
        <v>4.0000000000000001E-3</v>
      </c>
      <c r="D160" t="s">
        <v>6</v>
      </c>
      <c r="E160" t="s">
        <v>862</v>
      </c>
      <c r="F160" t="s">
        <v>907</v>
      </c>
      <c r="G160" t="s">
        <v>909</v>
      </c>
      <c r="H160">
        <v>2.8639999999999999</v>
      </c>
      <c r="J160" s="600" t="s">
        <v>767</v>
      </c>
      <c r="K160">
        <v>105943302</v>
      </c>
      <c r="L160" s="2">
        <v>43676</v>
      </c>
      <c r="M160">
        <v>30</v>
      </c>
      <c r="N160">
        <v>1</v>
      </c>
      <c r="O160">
        <v>4</v>
      </c>
      <c r="P160">
        <v>1</v>
      </c>
      <c r="Q160" t="s">
        <v>3</v>
      </c>
    </row>
    <row r="161" spans="1:17">
      <c r="A161" t="s">
        <v>867</v>
      </c>
      <c r="B161" t="s">
        <v>886</v>
      </c>
      <c r="C161">
        <v>6.0000000000000001E-3</v>
      </c>
      <c r="D161" t="s">
        <v>754</v>
      </c>
      <c r="E161" t="s">
        <v>869</v>
      </c>
      <c r="F161" t="s">
        <v>887</v>
      </c>
      <c r="H161">
        <v>999.99900000000002</v>
      </c>
      <c r="J161" s="600" t="s">
        <v>767</v>
      </c>
      <c r="K161">
        <v>105975736</v>
      </c>
      <c r="L161" s="2">
        <v>43701</v>
      </c>
      <c r="M161">
        <v>31</v>
      </c>
      <c r="N161">
        <v>1</v>
      </c>
      <c r="O161">
        <v>0</v>
      </c>
      <c r="P161">
        <v>1</v>
      </c>
      <c r="Q161" t="s">
        <v>7</v>
      </c>
    </row>
    <row r="162" spans="1:17">
      <c r="A162" t="s">
        <v>867</v>
      </c>
      <c r="B162" t="s">
        <v>762</v>
      </c>
      <c r="C162">
        <v>1.9E-2</v>
      </c>
      <c r="D162" t="s">
        <v>6</v>
      </c>
      <c r="E162" t="s">
        <v>932</v>
      </c>
      <c r="F162" t="s">
        <v>903</v>
      </c>
      <c r="G162" t="s">
        <v>943</v>
      </c>
      <c r="H162">
        <v>1.214</v>
      </c>
      <c r="J162" s="600" t="s">
        <v>767</v>
      </c>
      <c r="K162">
        <v>105988532</v>
      </c>
      <c r="L162" s="2">
        <v>43722</v>
      </c>
      <c r="M162">
        <v>30</v>
      </c>
      <c r="N162">
        <v>1</v>
      </c>
      <c r="O162">
        <v>0</v>
      </c>
      <c r="P162">
        <v>1</v>
      </c>
      <c r="Q162" t="s">
        <v>7</v>
      </c>
    </row>
    <row r="163" spans="1:17">
      <c r="A163" t="s">
        <v>867</v>
      </c>
      <c r="B163" t="s">
        <v>869</v>
      </c>
      <c r="C163">
        <v>0</v>
      </c>
      <c r="E163" t="s">
        <v>902</v>
      </c>
      <c r="F163" t="s">
        <v>931</v>
      </c>
      <c r="G163" t="s">
        <v>869</v>
      </c>
      <c r="H163">
        <v>0.4</v>
      </c>
      <c r="J163" s="600" t="s">
        <v>767</v>
      </c>
      <c r="K163">
        <v>105988533</v>
      </c>
      <c r="L163" s="2">
        <v>43722</v>
      </c>
      <c r="M163">
        <v>0</v>
      </c>
      <c r="N163">
        <v>1</v>
      </c>
      <c r="O163">
        <v>0</v>
      </c>
      <c r="P163">
        <v>1</v>
      </c>
    </row>
    <row r="164" spans="1:17">
      <c r="A164" t="s">
        <v>751</v>
      </c>
      <c r="B164" t="s">
        <v>897</v>
      </c>
      <c r="C164">
        <v>1</v>
      </c>
      <c r="D164" t="s">
        <v>753</v>
      </c>
      <c r="E164" t="s">
        <v>949</v>
      </c>
      <c r="F164" t="s">
        <v>945</v>
      </c>
      <c r="G164" t="s">
        <v>897</v>
      </c>
      <c r="H164">
        <v>1.8819999999999999</v>
      </c>
      <c r="J164" s="600" t="s">
        <v>767</v>
      </c>
      <c r="K164">
        <v>105994366</v>
      </c>
      <c r="L164" s="2">
        <v>43725</v>
      </c>
      <c r="M164">
        <v>17</v>
      </c>
      <c r="N164">
        <v>1</v>
      </c>
      <c r="O164">
        <v>0</v>
      </c>
      <c r="P164">
        <v>5</v>
      </c>
      <c r="Q164" t="s">
        <v>7</v>
      </c>
    </row>
    <row r="165" spans="1:17">
      <c r="A165" t="s">
        <v>867</v>
      </c>
      <c r="B165" t="s">
        <v>942</v>
      </c>
      <c r="C165">
        <v>0</v>
      </c>
      <c r="E165" t="s">
        <v>943</v>
      </c>
      <c r="F165" t="s">
        <v>944</v>
      </c>
      <c r="G165" t="s">
        <v>942</v>
      </c>
      <c r="H165">
        <v>999.99900000000002</v>
      </c>
      <c r="J165" s="600" t="s">
        <v>767</v>
      </c>
      <c r="K165">
        <v>106009333</v>
      </c>
      <c r="L165" s="2">
        <v>43732</v>
      </c>
      <c r="M165">
        <v>19</v>
      </c>
      <c r="N165">
        <v>1</v>
      </c>
      <c r="O165">
        <v>8</v>
      </c>
      <c r="P165">
        <v>4</v>
      </c>
      <c r="Q165" t="s">
        <v>3</v>
      </c>
    </row>
    <row r="166" spans="1:17">
      <c r="A166" t="s">
        <v>751</v>
      </c>
      <c r="B166" t="s">
        <v>897</v>
      </c>
      <c r="C166">
        <v>1.2</v>
      </c>
      <c r="D166" t="s">
        <v>754</v>
      </c>
      <c r="E166" t="s">
        <v>948</v>
      </c>
      <c r="F166" t="s">
        <v>951</v>
      </c>
      <c r="G166" t="s">
        <v>897</v>
      </c>
      <c r="H166">
        <v>4.3040000000000003</v>
      </c>
      <c r="J166" s="600" t="s">
        <v>767</v>
      </c>
      <c r="K166">
        <v>106014443</v>
      </c>
      <c r="L166" s="2">
        <v>43741</v>
      </c>
      <c r="M166">
        <v>28</v>
      </c>
      <c r="N166">
        <v>1</v>
      </c>
      <c r="O166">
        <v>0</v>
      </c>
      <c r="P166">
        <v>1</v>
      </c>
      <c r="Q166" t="s">
        <v>7</v>
      </c>
    </row>
    <row r="167" spans="1:17">
      <c r="A167" t="s">
        <v>751</v>
      </c>
      <c r="B167" t="s">
        <v>897</v>
      </c>
      <c r="C167">
        <v>0</v>
      </c>
      <c r="E167" t="s">
        <v>949</v>
      </c>
      <c r="F167" t="s">
        <v>901</v>
      </c>
      <c r="G167" t="s">
        <v>897</v>
      </c>
      <c r="H167">
        <v>0.88200000000000001</v>
      </c>
      <c r="J167" s="600" t="s">
        <v>767</v>
      </c>
      <c r="K167">
        <v>106039704</v>
      </c>
      <c r="L167" s="2">
        <v>43762</v>
      </c>
      <c r="M167">
        <v>25</v>
      </c>
      <c r="N167">
        <v>1</v>
      </c>
      <c r="O167">
        <v>7</v>
      </c>
      <c r="P167">
        <v>1</v>
      </c>
      <c r="Q167" t="s">
        <v>7</v>
      </c>
    </row>
    <row r="168" spans="1:17">
      <c r="A168" t="s">
        <v>751</v>
      </c>
      <c r="B168" t="s">
        <v>949</v>
      </c>
      <c r="C168">
        <v>4.0000000000000001E-3</v>
      </c>
      <c r="D168" t="s">
        <v>753</v>
      </c>
      <c r="E168" t="s">
        <v>943</v>
      </c>
      <c r="F168" t="s">
        <v>988</v>
      </c>
      <c r="G168" t="s">
        <v>949</v>
      </c>
      <c r="H168">
        <v>999.99900000000002</v>
      </c>
      <c r="J168" s="600" t="s">
        <v>767</v>
      </c>
      <c r="K168">
        <v>106048164</v>
      </c>
      <c r="L168" s="2">
        <v>43768</v>
      </c>
      <c r="M168">
        <v>21</v>
      </c>
      <c r="N168">
        <v>1</v>
      </c>
      <c r="O168">
        <v>0</v>
      </c>
      <c r="P168">
        <v>5</v>
      </c>
      <c r="Q168" t="s">
        <v>7</v>
      </c>
    </row>
    <row r="169" spans="1:17">
      <c r="A169" t="s">
        <v>850</v>
      </c>
      <c r="B169" t="s">
        <v>762</v>
      </c>
      <c r="C169">
        <v>6.3E-2</v>
      </c>
      <c r="D169" t="s">
        <v>6</v>
      </c>
      <c r="E169" t="s">
        <v>941</v>
      </c>
      <c r="F169" t="s">
        <v>978</v>
      </c>
      <c r="G169" t="s">
        <v>975</v>
      </c>
      <c r="H169">
        <v>0.36199999999999999</v>
      </c>
      <c r="J169" s="600" t="s">
        <v>767</v>
      </c>
      <c r="K169">
        <v>106064139</v>
      </c>
      <c r="L169" s="2">
        <v>43774</v>
      </c>
      <c r="M169">
        <v>17</v>
      </c>
      <c r="N169">
        <v>1</v>
      </c>
      <c r="O169">
        <v>0</v>
      </c>
      <c r="P169">
        <v>4</v>
      </c>
      <c r="Q169" t="s">
        <v>7</v>
      </c>
    </row>
    <row r="170" spans="1:17">
      <c r="A170" t="s">
        <v>867</v>
      </c>
      <c r="B170" t="s">
        <v>924</v>
      </c>
      <c r="C170">
        <v>0</v>
      </c>
      <c r="E170" t="s">
        <v>869</v>
      </c>
      <c r="F170" t="s">
        <v>924</v>
      </c>
      <c r="G170" t="s">
        <v>925</v>
      </c>
      <c r="H170">
        <v>17.59</v>
      </c>
      <c r="J170" s="600" t="s">
        <v>767</v>
      </c>
      <c r="K170">
        <v>106061382</v>
      </c>
      <c r="L170" s="2">
        <v>43783</v>
      </c>
      <c r="M170">
        <v>28</v>
      </c>
      <c r="N170">
        <v>1</v>
      </c>
      <c r="O170">
        <v>0</v>
      </c>
      <c r="P170">
        <v>1</v>
      </c>
      <c r="Q170" t="s">
        <v>7</v>
      </c>
    </row>
    <row r="171" spans="1:17">
      <c r="A171" t="s">
        <v>867</v>
      </c>
      <c r="B171" t="s">
        <v>924</v>
      </c>
      <c r="C171">
        <v>0</v>
      </c>
      <c r="E171" t="s">
        <v>869</v>
      </c>
      <c r="F171" t="s">
        <v>869</v>
      </c>
      <c r="G171" t="s">
        <v>925</v>
      </c>
      <c r="H171">
        <v>17.59</v>
      </c>
      <c r="J171" s="600" t="s">
        <v>767</v>
      </c>
      <c r="K171">
        <v>106097128</v>
      </c>
      <c r="L171" s="2">
        <v>43801</v>
      </c>
      <c r="M171">
        <v>21</v>
      </c>
      <c r="N171">
        <v>1</v>
      </c>
      <c r="O171">
        <v>0</v>
      </c>
      <c r="P171">
        <v>1</v>
      </c>
      <c r="Q171" t="s">
        <v>7</v>
      </c>
    </row>
    <row r="172" spans="1:17">
      <c r="A172" t="s">
        <v>850</v>
      </c>
      <c r="B172" t="s">
        <v>919</v>
      </c>
      <c r="C172">
        <v>0</v>
      </c>
      <c r="E172" t="s">
        <v>762</v>
      </c>
      <c r="F172" t="s">
        <v>918</v>
      </c>
      <c r="G172" t="s">
        <v>909</v>
      </c>
      <c r="H172">
        <v>3.2850000000000001</v>
      </c>
      <c r="J172" s="600" t="s">
        <v>767</v>
      </c>
      <c r="K172">
        <v>106108451</v>
      </c>
      <c r="L172" s="2">
        <v>43823</v>
      </c>
      <c r="M172">
        <v>21</v>
      </c>
      <c r="N172">
        <v>1</v>
      </c>
      <c r="O172">
        <v>0</v>
      </c>
      <c r="P172">
        <v>1</v>
      </c>
      <c r="Q172" t="s">
        <v>3</v>
      </c>
    </row>
    <row r="173" spans="1:17">
      <c r="A173" t="s">
        <v>850</v>
      </c>
      <c r="B173" t="s">
        <v>762</v>
      </c>
      <c r="C173">
        <v>0</v>
      </c>
      <c r="E173" t="s">
        <v>862</v>
      </c>
      <c r="F173" t="s">
        <v>911</v>
      </c>
      <c r="G173" t="s">
        <v>909</v>
      </c>
      <c r="H173">
        <v>2.8679999999999999</v>
      </c>
      <c r="J173" s="600" t="s">
        <v>767</v>
      </c>
      <c r="K173">
        <v>106125842</v>
      </c>
      <c r="L173" s="2">
        <v>43845</v>
      </c>
      <c r="M173">
        <v>30</v>
      </c>
      <c r="N173">
        <v>1</v>
      </c>
      <c r="O173">
        <v>7</v>
      </c>
      <c r="P173">
        <v>1</v>
      </c>
      <c r="Q173" t="s">
        <v>3</v>
      </c>
    </row>
    <row r="174" spans="1:17">
      <c r="A174" t="s">
        <v>867</v>
      </c>
      <c r="B174" t="s">
        <v>930</v>
      </c>
      <c r="C174">
        <v>0</v>
      </c>
      <c r="E174" t="s">
        <v>869</v>
      </c>
      <c r="F174" t="s">
        <v>869</v>
      </c>
      <c r="G174" t="s">
        <v>869</v>
      </c>
      <c r="H174">
        <v>999.99900000000002</v>
      </c>
      <c r="J174" s="600" t="s">
        <v>767</v>
      </c>
      <c r="K174">
        <v>106147279</v>
      </c>
      <c r="L174" s="2">
        <v>43867</v>
      </c>
      <c r="M174">
        <v>30</v>
      </c>
      <c r="N174">
        <v>2</v>
      </c>
      <c r="O174">
        <v>0</v>
      </c>
      <c r="P174">
        <v>1</v>
      </c>
      <c r="Q174" t="s">
        <v>7</v>
      </c>
    </row>
    <row r="175" spans="1:17">
      <c r="A175" t="s">
        <v>850</v>
      </c>
      <c r="B175" t="s">
        <v>762</v>
      </c>
      <c r="C175">
        <v>0</v>
      </c>
      <c r="E175" t="s">
        <v>860</v>
      </c>
      <c r="F175" t="s">
        <v>915</v>
      </c>
      <c r="G175" t="s">
        <v>909</v>
      </c>
      <c r="H175">
        <v>3.016</v>
      </c>
      <c r="J175" s="600" t="s">
        <v>767</v>
      </c>
      <c r="K175">
        <v>106157107</v>
      </c>
      <c r="L175" s="2">
        <v>43875</v>
      </c>
      <c r="M175">
        <v>30</v>
      </c>
      <c r="N175">
        <v>1</v>
      </c>
      <c r="O175">
        <v>8</v>
      </c>
      <c r="P175">
        <v>1</v>
      </c>
      <c r="Q175" t="s">
        <v>7</v>
      </c>
    </row>
    <row r="176" spans="1:17">
      <c r="A176" t="s">
        <v>850</v>
      </c>
      <c r="B176" t="s">
        <v>913</v>
      </c>
      <c r="C176">
        <v>0</v>
      </c>
      <c r="E176" t="s">
        <v>762</v>
      </c>
      <c r="F176" t="s">
        <v>883</v>
      </c>
      <c r="G176" t="s">
        <v>909</v>
      </c>
      <c r="H176">
        <v>3.2839999999999998</v>
      </c>
      <c r="J176" s="600" t="s">
        <v>767</v>
      </c>
      <c r="K176">
        <v>106186679</v>
      </c>
      <c r="L176" s="2">
        <v>43907</v>
      </c>
      <c r="M176">
        <v>30</v>
      </c>
      <c r="N176">
        <v>1</v>
      </c>
      <c r="O176">
        <v>7</v>
      </c>
      <c r="P176">
        <v>1</v>
      </c>
      <c r="Q176" t="s">
        <v>7</v>
      </c>
    </row>
    <row r="177" spans="1:17">
      <c r="A177" t="s">
        <v>751</v>
      </c>
      <c r="B177" t="s">
        <v>897</v>
      </c>
      <c r="C177">
        <v>0.3</v>
      </c>
      <c r="D177" t="s">
        <v>755</v>
      </c>
      <c r="E177" t="s">
        <v>956</v>
      </c>
      <c r="F177" t="s">
        <v>948</v>
      </c>
      <c r="G177" t="s">
        <v>897</v>
      </c>
      <c r="H177">
        <v>3.806</v>
      </c>
      <c r="J177" s="600" t="s">
        <v>767</v>
      </c>
      <c r="K177">
        <v>106189866</v>
      </c>
      <c r="L177" s="2">
        <v>43911</v>
      </c>
      <c r="M177">
        <v>19</v>
      </c>
      <c r="N177">
        <v>1</v>
      </c>
      <c r="O177">
        <v>0</v>
      </c>
      <c r="P177">
        <v>1</v>
      </c>
      <c r="Q177" t="s">
        <v>8</v>
      </c>
    </row>
    <row r="178" spans="1:17">
      <c r="A178" t="s">
        <v>751</v>
      </c>
      <c r="B178" t="s">
        <v>949</v>
      </c>
      <c r="C178">
        <v>2.1000000000000001E-2</v>
      </c>
      <c r="D178" t="s">
        <v>755</v>
      </c>
      <c r="E178" t="s">
        <v>897</v>
      </c>
      <c r="F178" t="s">
        <v>883</v>
      </c>
      <c r="G178" t="s">
        <v>949</v>
      </c>
      <c r="H178">
        <v>14.034000000000001</v>
      </c>
      <c r="J178" s="600" t="s">
        <v>767</v>
      </c>
      <c r="K178">
        <v>106194763</v>
      </c>
      <c r="L178" s="2">
        <v>43917</v>
      </c>
      <c r="M178">
        <v>5</v>
      </c>
      <c r="N178">
        <v>1</v>
      </c>
      <c r="O178">
        <v>7</v>
      </c>
      <c r="P178">
        <v>5</v>
      </c>
      <c r="Q178" t="s">
        <v>7</v>
      </c>
    </row>
    <row r="179" spans="1:17">
      <c r="A179" t="s">
        <v>850</v>
      </c>
      <c r="B179" t="s">
        <v>762</v>
      </c>
      <c r="C179">
        <v>2.1000000000000001E-2</v>
      </c>
      <c r="D179" t="s">
        <v>754</v>
      </c>
      <c r="E179" t="s">
        <v>862</v>
      </c>
      <c r="F179" t="s">
        <v>911</v>
      </c>
      <c r="G179" t="s">
        <v>909</v>
      </c>
      <c r="H179">
        <v>2.8889999999999998</v>
      </c>
      <c r="J179" s="600" t="s">
        <v>767</v>
      </c>
      <c r="K179">
        <v>106205408</v>
      </c>
      <c r="L179" s="2">
        <v>43930</v>
      </c>
      <c r="M179">
        <v>21</v>
      </c>
      <c r="N179">
        <v>2</v>
      </c>
      <c r="O179">
        <v>0</v>
      </c>
      <c r="P179">
        <v>1</v>
      </c>
      <c r="Q179" t="s">
        <v>7</v>
      </c>
    </row>
    <row r="180" spans="1:17">
      <c r="A180" t="s">
        <v>850</v>
      </c>
      <c r="B180" t="s">
        <v>862</v>
      </c>
      <c r="C180">
        <v>0</v>
      </c>
      <c r="E180" t="s">
        <v>762</v>
      </c>
      <c r="F180" t="s">
        <v>762</v>
      </c>
      <c r="G180" t="s">
        <v>983</v>
      </c>
      <c r="H180">
        <v>6.9850000000000003</v>
      </c>
      <c r="J180" s="600" t="s">
        <v>767</v>
      </c>
      <c r="K180">
        <v>106205409</v>
      </c>
      <c r="L180" s="2">
        <v>43937</v>
      </c>
      <c r="M180">
        <v>24</v>
      </c>
      <c r="N180">
        <v>1</v>
      </c>
      <c r="O180">
        <v>0</v>
      </c>
      <c r="P180">
        <v>1</v>
      </c>
      <c r="Q180" t="s">
        <v>7</v>
      </c>
    </row>
    <row r="181" spans="1:17">
      <c r="A181" t="s">
        <v>850</v>
      </c>
      <c r="B181" t="s">
        <v>853</v>
      </c>
      <c r="C181">
        <v>5.0000000000000001E-3</v>
      </c>
      <c r="D181" t="s">
        <v>753</v>
      </c>
      <c r="E181" t="s">
        <v>762</v>
      </c>
      <c r="F181" t="s">
        <v>762</v>
      </c>
      <c r="H181">
        <v>999.99900000000002</v>
      </c>
      <c r="J181" s="600" t="s">
        <v>767</v>
      </c>
      <c r="K181">
        <v>106206844</v>
      </c>
      <c r="L181" s="2">
        <v>43937</v>
      </c>
      <c r="M181">
        <v>21</v>
      </c>
      <c r="N181">
        <v>1</v>
      </c>
      <c r="O181">
        <v>0</v>
      </c>
      <c r="P181">
        <v>1</v>
      </c>
      <c r="Q181" t="s">
        <v>7</v>
      </c>
    </row>
    <row r="182" spans="1:17">
      <c r="A182" t="s">
        <v>867</v>
      </c>
      <c r="B182" t="s">
        <v>931</v>
      </c>
      <c r="C182">
        <v>0</v>
      </c>
      <c r="E182" t="s">
        <v>869</v>
      </c>
      <c r="F182" t="s">
        <v>932</v>
      </c>
      <c r="G182" t="s">
        <v>869</v>
      </c>
      <c r="H182">
        <v>0.47</v>
      </c>
      <c r="J182" s="600" t="s">
        <v>767</v>
      </c>
      <c r="K182">
        <v>106209839</v>
      </c>
      <c r="L182" s="2">
        <v>43942</v>
      </c>
      <c r="M182">
        <v>21</v>
      </c>
      <c r="N182">
        <v>1</v>
      </c>
      <c r="O182">
        <v>0</v>
      </c>
      <c r="P182">
        <v>1</v>
      </c>
      <c r="Q182" t="s">
        <v>3</v>
      </c>
    </row>
    <row r="183" spans="1:17">
      <c r="A183" t="s">
        <v>751</v>
      </c>
      <c r="B183" t="s">
        <v>897</v>
      </c>
      <c r="C183">
        <v>0.3</v>
      </c>
      <c r="D183" t="s">
        <v>760</v>
      </c>
      <c r="E183" t="s">
        <v>948</v>
      </c>
      <c r="F183" t="s">
        <v>956</v>
      </c>
      <c r="G183" t="s">
        <v>897</v>
      </c>
      <c r="H183">
        <v>3.4039999999999999</v>
      </c>
      <c r="J183" s="600" t="s">
        <v>767</v>
      </c>
      <c r="K183">
        <v>106224797</v>
      </c>
      <c r="L183" s="2">
        <v>43964</v>
      </c>
      <c r="M183">
        <v>17</v>
      </c>
      <c r="N183">
        <v>1</v>
      </c>
      <c r="O183">
        <v>0</v>
      </c>
      <c r="P183">
        <v>1</v>
      </c>
      <c r="Q183" t="s">
        <v>7</v>
      </c>
    </row>
    <row r="184" spans="1:17">
      <c r="A184" t="s">
        <v>867</v>
      </c>
      <c r="B184" t="s">
        <v>924</v>
      </c>
      <c r="C184">
        <v>0</v>
      </c>
      <c r="E184" t="s">
        <v>869</v>
      </c>
      <c r="F184" t="s">
        <v>881</v>
      </c>
      <c r="G184" t="s">
        <v>925</v>
      </c>
      <c r="H184">
        <v>17.59</v>
      </c>
      <c r="J184" s="600" t="s">
        <v>767</v>
      </c>
      <c r="K184">
        <v>106238022</v>
      </c>
      <c r="L184" s="2">
        <v>43980</v>
      </c>
      <c r="M184">
        <v>30</v>
      </c>
      <c r="N184">
        <v>1</v>
      </c>
      <c r="O184">
        <v>7</v>
      </c>
      <c r="P184">
        <v>1</v>
      </c>
      <c r="Q184" t="s">
        <v>3</v>
      </c>
    </row>
    <row r="185" spans="1:17">
      <c r="A185" t="s">
        <v>850</v>
      </c>
      <c r="B185" t="s">
        <v>762</v>
      </c>
      <c r="C185">
        <v>9.5000000000000001E-2</v>
      </c>
      <c r="D185" t="s">
        <v>754</v>
      </c>
      <c r="E185" t="s">
        <v>919</v>
      </c>
      <c r="F185" t="s">
        <v>941</v>
      </c>
      <c r="G185" t="s">
        <v>975</v>
      </c>
      <c r="H185">
        <v>9.5000000000000001E-2</v>
      </c>
      <c r="J185" s="600" t="s">
        <v>767</v>
      </c>
      <c r="K185">
        <v>106258582</v>
      </c>
      <c r="L185" s="2">
        <v>44001</v>
      </c>
      <c r="M185">
        <v>21</v>
      </c>
      <c r="N185">
        <v>1</v>
      </c>
      <c r="O185">
        <v>0</v>
      </c>
      <c r="P185">
        <v>1</v>
      </c>
      <c r="Q185" t="s">
        <v>7</v>
      </c>
    </row>
    <row r="186" spans="1:17">
      <c r="A186" t="s">
        <v>850</v>
      </c>
      <c r="B186" t="s">
        <v>762</v>
      </c>
      <c r="C186">
        <v>8.9999999999999993E-3</v>
      </c>
      <c r="D186" t="s">
        <v>754</v>
      </c>
      <c r="E186" t="s">
        <v>853</v>
      </c>
      <c r="F186" t="s">
        <v>865</v>
      </c>
      <c r="G186" t="s">
        <v>909</v>
      </c>
      <c r="H186">
        <v>2.9750000000000001</v>
      </c>
      <c r="J186" s="600" t="s">
        <v>767</v>
      </c>
      <c r="K186">
        <v>106258584</v>
      </c>
      <c r="L186" s="2">
        <v>44004</v>
      </c>
      <c r="M186">
        <v>28</v>
      </c>
      <c r="N186">
        <v>1</v>
      </c>
      <c r="O186">
        <v>0</v>
      </c>
      <c r="P186">
        <v>1</v>
      </c>
      <c r="Q186" t="s">
        <v>7</v>
      </c>
    </row>
    <row r="187" spans="1:17">
      <c r="A187" t="s">
        <v>981</v>
      </c>
      <c r="B187" t="s">
        <v>762</v>
      </c>
      <c r="C187">
        <v>1</v>
      </c>
      <c r="D187" t="s">
        <v>753</v>
      </c>
      <c r="E187" t="s">
        <v>883</v>
      </c>
      <c r="F187" t="s">
        <v>982</v>
      </c>
      <c r="G187" t="s">
        <v>975</v>
      </c>
      <c r="H187">
        <v>0.53500000000000003</v>
      </c>
      <c r="J187" s="600" t="s">
        <v>767</v>
      </c>
      <c r="K187">
        <v>106269194</v>
      </c>
      <c r="L187" s="2">
        <v>44015</v>
      </c>
      <c r="M187">
        <v>21</v>
      </c>
      <c r="N187">
        <v>1</v>
      </c>
      <c r="O187">
        <v>5</v>
      </c>
      <c r="P187">
        <v>1</v>
      </c>
      <c r="Q187" t="s">
        <v>7</v>
      </c>
    </row>
    <row r="188" spans="1:17">
      <c r="A188" t="s">
        <v>751</v>
      </c>
      <c r="B188" t="s">
        <v>897</v>
      </c>
      <c r="C188">
        <v>0</v>
      </c>
      <c r="E188" t="s">
        <v>949</v>
      </c>
      <c r="F188" t="s">
        <v>883</v>
      </c>
      <c r="G188" t="s">
        <v>897</v>
      </c>
      <c r="H188">
        <v>0.88200000000000001</v>
      </c>
      <c r="J188" s="600" t="s">
        <v>767</v>
      </c>
      <c r="K188">
        <v>106301368</v>
      </c>
      <c r="L188" s="2">
        <v>44047</v>
      </c>
      <c r="M188">
        <v>30</v>
      </c>
      <c r="N188">
        <v>1</v>
      </c>
      <c r="O188">
        <v>7</v>
      </c>
      <c r="P188">
        <v>1</v>
      </c>
      <c r="Q188" t="s">
        <v>3</v>
      </c>
    </row>
    <row r="189" spans="1:17">
      <c r="A189" t="s">
        <v>867</v>
      </c>
      <c r="B189" t="s">
        <v>762</v>
      </c>
      <c r="C189">
        <v>0</v>
      </c>
      <c r="D189" t="s">
        <v>753</v>
      </c>
      <c r="E189" t="s">
        <v>903</v>
      </c>
      <c r="F189" t="s">
        <v>762</v>
      </c>
      <c r="G189" t="s">
        <v>943</v>
      </c>
      <c r="H189">
        <v>1.149</v>
      </c>
      <c r="J189" s="600" t="s">
        <v>767</v>
      </c>
      <c r="K189">
        <v>106307253</v>
      </c>
      <c r="L189" s="2">
        <v>44053</v>
      </c>
      <c r="M189">
        <v>1</v>
      </c>
      <c r="N189">
        <v>1</v>
      </c>
      <c r="O189">
        <v>0</v>
      </c>
      <c r="P189">
        <v>1</v>
      </c>
      <c r="Q189" t="s">
        <v>7</v>
      </c>
    </row>
    <row r="190" spans="1:17">
      <c r="A190" t="s">
        <v>850</v>
      </c>
      <c r="B190" t="s">
        <v>762</v>
      </c>
      <c r="C190">
        <v>0</v>
      </c>
      <c r="E190" t="s">
        <v>911</v>
      </c>
      <c r="F190" t="s">
        <v>862</v>
      </c>
      <c r="G190" t="s">
        <v>909</v>
      </c>
      <c r="H190">
        <v>2.7389999999999999</v>
      </c>
      <c r="J190" s="600" t="s">
        <v>767</v>
      </c>
      <c r="K190">
        <v>106312212</v>
      </c>
      <c r="L190" s="2">
        <v>44056</v>
      </c>
      <c r="M190">
        <v>25</v>
      </c>
      <c r="N190">
        <v>1</v>
      </c>
      <c r="O190">
        <v>0</v>
      </c>
      <c r="P190">
        <v>1</v>
      </c>
      <c r="Q190" t="s">
        <v>7</v>
      </c>
    </row>
    <row r="191" spans="1:17">
      <c r="A191" t="s">
        <v>751</v>
      </c>
      <c r="B191" t="s">
        <v>897</v>
      </c>
      <c r="C191">
        <v>0.8</v>
      </c>
      <c r="D191" t="s">
        <v>753</v>
      </c>
      <c r="E191" t="s">
        <v>901</v>
      </c>
      <c r="F191" t="s">
        <v>899</v>
      </c>
      <c r="G191" t="s">
        <v>897</v>
      </c>
      <c r="H191">
        <v>2.008</v>
      </c>
      <c r="J191" s="600" t="s">
        <v>767</v>
      </c>
      <c r="K191">
        <v>106313586</v>
      </c>
      <c r="L191" s="2">
        <v>44058</v>
      </c>
      <c r="M191">
        <v>19</v>
      </c>
      <c r="N191">
        <v>2</v>
      </c>
      <c r="O191">
        <v>0</v>
      </c>
      <c r="P191">
        <v>5</v>
      </c>
      <c r="Q191" t="s">
        <v>8</v>
      </c>
    </row>
    <row r="192" spans="1:17">
      <c r="A192" t="s">
        <v>751</v>
      </c>
      <c r="B192" t="s">
        <v>945</v>
      </c>
      <c r="C192">
        <v>0</v>
      </c>
      <c r="E192" t="s">
        <v>897</v>
      </c>
      <c r="F192" t="s">
        <v>883</v>
      </c>
      <c r="G192" t="s">
        <v>945</v>
      </c>
      <c r="H192">
        <v>999.99900000000002</v>
      </c>
      <c r="J192" s="600" t="s">
        <v>767</v>
      </c>
      <c r="K192">
        <v>106311206</v>
      </c>
      <c r="L192" s="2">
        <v>44061</v>
      </c>
      <c r="M192">
        <v>30</v>
      </c>
      <c r="N192">
        <v>1</v>
      </c>
      <c r="O192">
        <v>7</v>
      </c>
      <c r="P192">
        <v>1</v>
      </c>
      <c r="Q192" t="s">
        <v>7</v>
      </c>
    </row>
    <row r="193" spans="1:17">
      <c r="A193" t="s">
        <v>751</v>
      </c>
      <c r="B193" t="s">
        <v>945</v>
      </c>
      <c r="C193">
        <v>0</v>
      </c>
      <c r="E193" t="s">
        <v>897</v>
      </c>
      <c r="F193" t="s">
        <v>883</v>
      </c>
      <c r="G193" t="s">
        <v>945</v>
      </c>
      <c r="H193">
        <v>999.99900000000002</v>
      </c>
      <c r="J193" s="600" t="s">
        <v>767</v>
      </c>
      <c r="K193">
        <v>106320590</v>
      </c>
      <c r="L193" s="2">
        <v>44068</v>
      </c>
      <c r="M193">
        <v>23</v>
      </c>
      <c r="N193">
        <v>1</v>
      </c>
      <c r="O193">
        <v>7</v>
      </c>
      <c r="P193">
        <v>1</v>
      </c>
      <c r="Q193" t="s">
        <v>7</v>
      </c>
    </row>
    <row r="194" spans="1:17">
      <c r="A194" t="s">
        <v>850</v>
      </c>
      <c r="B194" t="s">
        <v>762</v>
      </c>
      <c r="C194">
        <v>1.7999999999999999E-2</v>
      </c>
      <c r="D194" t="s">
        <v>754</v>
      </c>
      <c r="E194" t="s">
        <v>860</v>
      </c>
      <c r="F194" t="s">
        <v>915</v>
      </c>
      <c r="G194" t="s">
        <v>909</v>
      </c>
      <c r="H194">
        <v>3.0339999999999998</v>
      </c>
      <c r="J194" s="600" t="s">
        <v>767</v>
      </c>
      <c r="K194">
        <v>106398136</v>
      </c>
      <c r="L194" s="2">
        <v>44069</v>
      </c>
      <c r="M194">
        <v>0</v>
      </c>
      <c r="N194">
        <v>1</v>
      </c>
      <c r="O194">
        <v>0</v>
      </c>
      <c r="P194">
        <v>1</v>
      </c>
      <c r="Q194" t="s">
        <v>7</v>
      </c>
    </row>
    <row r="195" spans="1:17">
      <c r="A195" t="s">
        <v>850</v>
      </c>
      <c r="B195" t="s">
        <v>762</v>
      </c>
      <c r="C195">
        <v>2.4E-2</v>
      </c>
      <c r="D195" t="s">
        <v>754</v>
      </c>
      <c r="E195" t="s">
        <v>860</v>
      </c>
      <c r="F195" t="s">
        <v>915</v>
      </c>
      <c r="G195" t="s">
        <v>909</v>
      </c>
      <c r="H195">
        <v>3.04</v>
      </c>
      <c r="J195" s="600" t="s">
        <v>767</v>
      </c>
      <c r="K195">
        <v>106398133</v>
      </c>
      <c r="L195" s="2">
        <v>44071</v>
      </c>
      <c r="M195">
        <v>20</v>
      </c>
      <c r="N195">
        <v>1</v>
      </c>
      <c r="O195">
        <v>0</v>
      </c>
      <c r="P195">
        <v>4</v>
      </c>
      <c r="Q195" t="s">
        <v>7</v>
      </c>
    </row>
    <row r="196" spans="1:17">
      <c r="A196" t="s">
        <v>867</v>
      </c>
      <c r="B196" t="s">
        <v>891</v>
      </c>
      <c r="C196">
        <v>0</v>
      </c>
      <c r="E196" t="s">
        <v>762</v>
      </c>
      <c r="F196" t="s">
        <v>987</v>
      </c>
      <c r="G196" t="s">
        <v>953</v>
      </c>
      <c r="H196">
        <v>2.0550000000000002</v>
      </c>
      <c r="J196" s="600" t="s">
        <v>767</v>
      </c>
      <c r="K196">
        <v>106342283</v>
      </c>
      <c r="L196" s="2">
        <v>44076</v>
      </c>
      <c r="M196">
        <v>21</v>
      </c>
      <c r="N196">
        <v>1</v>
      </c>
      <c r="O196">
        <v>0</v>
      </c>
      <c r="P196">
        <v>1</v>
      </c>
      <c r="Q196" t="s">
        <v>7</v>
      </c>
    </row>
    <row r="197" spans="1:17">
      <c r="A197" t="s">
        <v>850</v>
      </c>
      <c r="B197" t="s">
        <v>919</v>
      </c>
      <c r="C197">
        <v>1.4E-2</v>
      </c>
      <c r="D197" t="s">
        <v>755</v>
      </c>
      <c r="E197" t="s">
        <v>762</v>
      </c>
      <c r="F197" t="s">
        <v>922</v>
      </c>
      <c r="G197" t="s">
        <v>909</v>
      </c>
      <c r="H197">
        <v>3.2989999999999999</v>
      </c>
      <c r="J197" s="600" t="s">
        <v>767</v>
      </c>
      <c r="K197">
        <v>106335625</v>
      </c>
      <c r="L197" s="2">
        <v>44078</v>
      </c>
      <c r="M197">
        <v>21</v>
      </c>
      <c r="N197">
        <v>1</v>
      </c>
      <c r="O197">
        <v>0</v>
      </c>
      <c r="P197">
        <v>1</v>
      </c>
      <c r="Q197" t="s">
        <v>7</v>
      </c>
    </row>
    <row r="198" spans="1:17">
      <c r="A198" t="s">
        <v>867</v>
      </c>
      <c r="B198" t="s">
        <v>762</v>
      </c>
      <c r="C198">
        <v>1.9E-2</v>
      </c>
      <c r="D198" t="s">
        <v>754</v>
      </c>
      <c r="E198" t="s">
        <v>927</v>
      </c>
      <c r="F198" t="s">
        <v>762</v>
      </c>
      <c r="G198" t="s">
        <v>943</v>
      </c>
      <c r="H198">
        <v>1.2749999999999999</v>
      </c>
      <c r="J198" s="600" t="s">
        <v>767</v>
      </c>
      <c r="K198">
        <v>106352948</v>
      </c>
      <c r="L198" s="2">
        <v>44096</v>
      </c>
      <c r="M198">
        <v>20</v>
      </c>
      <c r="N198">
        <v>1</v>
      </c>
      <c r="O198">
        <v>0</v>
      </c>
      <c r="P198">
        <v>1</v>
      </c>
      <c r="Q198" t="s">
        <v>7</v>
      </c>
    </row>
    <row r="199" spans="1:17">
      <c r="A199" t="s">
        <v>867</v>
      </c>
      <c r="B199" t="s">
        <v>762</v>
      </c>
      <c r="C199">
        <v>6.0000000000000001E-3</v>
      </c>
      <c r="D199" t="s">
        <v>6</v>
      </c>
      <c r="E199" t="s">
        <v>970</v>
      </c>
      <c r="F199" t="s">
        <v>970</v>
      </c>
      <c r="G199" t="s">
        <v>943</v>
      </c>
      <c r="H199">
        <v>1.4710000000000001</v>
      </c>
      <c r="J199" s="600" t="s">
        <v>767</v>
      </c>
      <c r="K199">
        <v>106346459</v>
      </c>
      <c r="L199" s="2">
        <v>44097</v>
      </c>
      <c r="M199">
        <v>30</v>
      </c>
      <c r="N199">
        <v>1</v>
      </c>
      <c r="O199">
        <v>0</v>
      </c>
      <c r="P199">
        <v>1</v>
      </c>
    </row>
    <row r="200" spans="1:17">
      <c r="A200" t="s">
        <v>751</v>
      </c>
      <c r="B200" t="s">
        <v>945</v>
      </c>
      <c r="C200">
        <v>0</v>
      </c>
      <c r="E200" t="s">
        <v>897</v>
      </c>
      <c r="F200" t="s">
        <v>883</v>
      </c>
      <c r="G200" t="s">
        <v>945</v>
      </c>
      <c r="H200">
        <v>999.99900000000002</v>
      </c>
      <c r="J200" s="600" t="s">
        <v>767</v>
      </c>
      <c r="K200">
        <v>106369050</v>
      </c>
      <c r="L200" s="2">
        <v>44118</v>
      </c>
      <c r="M200">
        <v>30</v>
      </c>
      <c r="N200">
        <v>1</v>
      </c>
      <c r="O200">
        <v>7</v>
      </c>
      <c r="P200">
        <v>1</v>
      </c>
      <c r="Q200" t="s">
        <v>7</v>
      </c>
    </row>
    <row r="201" spans="1:17">
      <c r="A201" t="s">
        <v>850</v>
      </c>
      <c r="B201" t="s">
        <v>859</v>
      </c>
      <c r="C201">
        <v>2.8000000000000001E-2</v>
      </c>
      <c r="D201" t="s">
        <v>753</v>
      </c>
      <c r="E201" t="s">
        <v>762</v>
      </c>
      <c r="F201" t="s">
        <v>860</v>
      </c>
      <c r="H201">
        <v>999.99900000000002</v>
      </c>
      <c r="J201" s="600" t="s">
        <v>767</v>
      </c>
      <c r="K201">
        <v>106415098</v>
      </c>
      <c r="L201" s="2">
        <v>44158</v>
      </c>
      <c r="M201">
        <v>21</v>
      </c>
      <c r="N201">
        <v>1</v>
      </c>
      <c r="O201">
        <v>0</v>
      </c>
      <c r="P201">
        <v>1</v>
      </c>
      <c r="Q201" t="s">
        <v>7</v>
      </c>
    </row>
    <row r="202" spans="1:17">
      <c r="A202" t="s">
        <v>850</v>
      </c>
      <c r="B202" t="s">
        <v>762</v>
      </c>
      <c r="C202">
        <v>0</v>
      </c>
      <c r="E202" t="s">
        <v>852</v>
      </c>
      <c r="F202" t="s">
        <v>853</v>
      </c>
      <c r="H202">
        <v>999.99900000000002</v>
      </c>
      <c r="J202" s="600" t="s">
        <v>767</v>
      </c>
      <c r="K202">
        <v>106415662</v>
      </c>
      <c r="L202" s="2">
        <v>44159</v>
      </c>
      <c r="M202">
        <v>28</v>
      </c>
      <c r="N202">
        <v>1</v>
      </c>
      <c r="O202">
        <v>0</v>
      </c>
      <c r="P202">
        <v>1</v>
      </c>
      <c r="Q202" t="s">
        <v>7</v>
      </c>
    </row>
    <row r="203" spans="1:17">
      <c r="A203" t="s">
        <v>751</v>
      </c>
      <c r="B203" t="s">
        <v>897</v>
      </c>
      <c r="C203">
        <v>0.3</v>
      </c>
      <c r="D203" t="s">
        <v>6</v>
      </c>
      <c r="E203" t="s">
        <v>949</v>
      </c>
      <c r="F203" t="s">
        <v>953</v>
      </c>
      <c r="G203" t="s">
        <v>897</v>
      </c>
      <c r="H203">
        <v>0.58199999999999996</v>
      </c>
      <c r="J203" s="600" t="s">
        <v>767</v>
      </c>
      <c r="K203">
        <v>106418480</v>
      </c>
      <c r="L203" s="2">
        <v>44161</v>
      </c>
      <c r="M203">
        <v>17</v>
      </c>
      <c r="N203">
        <v>2</v>
      </c>
      <c r="O203">
        <v>0</v>
      </c>
      <c r="P203">
        <v>5</v>
      </c>
      <c r="Q203" t="s">
        <v>7</v>
      </c>
    </row>
    <row r="204" spans="1:17">
      <c r="A204" t="s">
        <v>850</v>
      </c>
      <c r="B204" t="s">
        <v>762</v>
      </c>
      <c r="C204">
        <v>0</v>
      </c>
      <c r="E204" t="s">
        <v>883</v>
      </c>
      <c r="F204" t="s">
        <v>980</v>
      </c>
      <c r="G204" t="s">
        <v>975</v>
      </c>
      <c r="H204">
        <v>0.53500000000000003</v>
      </c>
      <c r="J204" s="600" t="s">
        <v>767</v>
      </c>
      <c r="K204">
        <v>106427602</v>
      </c>
      <c r="L204" s="2">
        <v>44169</v>
      </c>
      <c r="M204">
        <v>21</v>
      </c>
      <c r="N204">
        <v>1</v>
      </c>
      <c r="O204">
        <v>8</v>
      </c>
      <c r="P204">
        <v>1</v>
      </c>
      <c r="Q204" t="s">
        <v>7</v>
      </c>
    </row>
    <row r="205" spans="1:17">
      <c r="A205" t="s">
        <v>751</v>
      </c>
      <c r="B205" t="s">
        <v>949</v>
      </c>
      <c r="C205">
        <v>0</v>
      </c>
      <c r="E205" t="s">
        <v>897</v>
      </c>
      <c r="F205" t="s">
        <v>883</v>
      </c>
      <c r="G205" t="s">
        <v>949</v>
      </c>
      <c r="H205">
        <v>14.055</v>
      </c>
      <c r="J205" s="600" t="s">
        <v>767</v>
      </c>
      <c r="K205">
        <v>106435224</v>
      </c>
      <c r="L205" s="2">
        <v>44176</v>
      </c>
      <c r="M205">
        <v>19</v>
      </c>
      <c r="N205">
        <v>1</v>
      </c>
      <c r="O205">
        <v>7</v>
      </c>
      <c r="P205">
        <v>1</v>
      </c>
      <c r="Q205" t="s">
        <v>7</v>
      </c>
    </row>
    <row r="206" spans="1:17">
      <c r="A206" t="s">
        <v>867</v>
      </c>
      <c r="B206" t="s">
        <v>891</v>
      </c>
      <c r="C206">
        <v>4.0000000000000001E-3</v>
      </c>
      <c r="D206" t="s">
        <v>755</v>
      </c>
      <c r="E206" t="s">
        <v>762</v>
      </c>
      <c r="F206" t="s">
        <v>891</v>
      </c>
      <c r="G206" t="s">
        <v>953</v>
      </c>
      <c r="H206">
        <v>2.0510000000000002</v>
      </c>
      <c r="J206" s="600" t="s">
        <v>767</v>
      </c>
      <c r="K206">
        <v>106463140</v>
      </c>
      <c r="L206" s="2">
        <v>44201</v>
      </c>
      <c r="M206">
        <v>31</v>
      </c>
      <c r="N206">
        <v>1</v>
      </c>
      <c r="O206">
        <v>0</v>
      </c>
      <c r="P206">
        <v>1</v>
      </c>
      <c r="Q206" t="s">
        <v>7</v>
      </c>
    </row>
    <row r="207" spans="1:17">
      <c r="A207" t="s">
        <v>867</v>
      </c>
      <c r="B207" t="s">
        <v>924</v>
      </c>
      <c r="C207">
        <v>0</v>
      </c>
      <c r="E207" t="s">
        <v>869</v>
      </c>
      <c r="F207" t="s">
        <v>869</v>
      </c>
      <c r="G207" t="s">
        <v>925</v>
      </c>
      <c r="H207">
        <v>17.59</v>
      </c>
      <c r="J207" s="600" t="s">
        <v>767</v>
      </c>
      <c r="K207">
        <v>106464535</v>
      </c>
      <c r="L207" s="2">
        <v>44203</v>
      </c>
      <c r="M207">
        <v>30</v>
      </c>
      <c r="N207">
        <v>1</v>
      </c>
      <c r="O207">
        <v>0</v>
      </c>
      <c r="P207">
        <v>1</v>
      </c>
      <c r="Q207" t="s">
        <v>8</v>
      </c>
    </row>
    <row r="208" spans="1:17">
      <c r="A208" t="s">
        <v>867</v>
      </c>
      <c r="B208" t="s">
        <v>936</v>
      </c>
      <c r="C208">
        <v>0</v>
      </c>
      <c r="E208" t="s">
        <v>869</v>
      </c>
      <c r="F208" t="s">
        <v>881</v>
      </c>
      <c r="G208" t="s">
        <v>883</v>
      </c>
      <c r="H208">
        <v>20.498000000000001</v>
      </c>
      <c r="J208" s="600" t="s">
        <v>767</v>
      </c>
      <c r="K208">
        <v>106464531</v>
      </c>
      <c r="L208" s="2">
        <v>44206</v>
      </c>
      <c r="M208">
        <v>30</v>
      </c>
      <c r="N208">
        <v>1</v>
      </c>
      <c r="O208">
        <v>0</v>
      </c>
      <c r="P208">
        <v>1</v>
      </c>
      <c r="Q208" t="s">
        <v>3</v>
      </c>
    </row>
    <row r="209" spans="1:22">
      <c r="A209" t="s">
        <v>867</v>
      </c>
      <c r="B209" t="s">
        <v>949</v>
      </c>
      <c r="C209">
        <v>0</v>
      </c>
      <c r="E209" t="s">
        <v>897</v>
      </c>
      <c r="F209" t="s">
        <v>883</v>
      </c>
      <c r="G209" t="s">
        <v>949</v>
      </c>
      <c r="H209">
        <v>14.055</v>
      </c>
      <c r="J209" s="600" t="s">
        <v>767</v>
      </c>
      <c r="K209">
        <v>106471444</v>
      </c>
      <c r="L209" s="2">
        <v>44219</v>
      </c>
      <c r="M209">
        <v>30</v>
      </c>
      <c r="N209">
        <v>1</v>
      </c>
      <c r="O209">
        <v>7</v>
      </c>
      <c r="P209">
        <v>5</v>
      </c>
      <c r="Q209" t="s">
        <v>7</v>
      </c>
    </row>
    <row r="210" spans="1:22">
      <c r="A210" t="s">
        <v>751</v>
      </c>
      <c r="B210" t="s">
        <v>949</v>
      </c>
      <c r="C210">
        <v>0</v>
      </c>
      <c r="E210" t="s">
        <v>897</v>
      </c>
      <c r="F210" t="s">
        <v>883</v>
      </c>
      <c r="G210" t="s">
        <v>949</v>
      </c>
      <c r="H210">
        <v>14.055</v>
      </c>
      <c r="J210" s="600" t="s">
        <v>767</v>
      </c>
      <c r="K210">
        <v>106482608</v>
      </c>
      <c r="L210" s="2">
        <v>44230</v>
      </c>
      <c r="M210">
        <v>30</v>
      </c>
      <c r="N210">
        <v>1</v>
      </c>
      <c r="O210">
        <v>7</v>
      </c>
      <c r="P210">
        <v>1</v>
      </c>
      <c r="Q210" t="s">
        <v>7</v>
      </c>
    </row>
    <row r="211" spans="1:22">
      <c r="A211" t="s">
        <v>867</v>
      </c>
      <c r="B211" t="s">
        <v>867</v>
      </c>
      <c r="C211">
        <v>0</v>
      </c>
      <c r="E211" t="s">
        <v>888</v>
      </c>
      <c r="F211" t="s">
        <v>987</v>
      </c>
      <c r="G211" t="s">
        <v>949</v>
      </c>
      <c r="H211">
        <v>14.055</v>
      </c>
      <c r="J211" s="600" t="s">
        <v>767</v>
      </c>
      <c r="K211">
        <v>106500195</v>
      </c>
      <c r="L211" s="2">
        <v>44254</v>
      </c>
      <c r="M211">
        <v>1</v>
      </c>
      <c r="N211">
        <v>2</v>
      </c>
      <c r="O211">
        <v>0</v>
      </c>
      <c r="P211">
        <v>5</v>
      </c>
      <c r="Q211" t="s">
        <v>7</v>
      </c>
    </row>
    <row r="212" spans="1:22">
      <c r="A212" t="s">
        <v>751</v>
      </c>
      <c r="B212" t="s">
        <v>949</v>
      </c>
      <c r="C212">
        <v>0</v>
      </c>
      <c r="E212" t="s">
        <v>897</v>
      </c>
      <c r="F212" t="s">
        <v>883</v>
      </c>
      <c r="G212" t="s">
        <v>949</v>
      </c>
      <c r="H212">
        <v>14.055</v>
      </c>
      <c r="J212" s="600" t="s">
        <v>767</v>
      </c>
      <c r="K212">
        <v>106508286</v>
      </c>
      <c r="L212" s="2">
        <v>44260</v>
      </c>
      <c r="M212">
        <v>30</v>
      </c>
      <c r="N212">
        <v>1</v>
      </c>
      <c r="O212">
        <v>7</v>
      </c>
      <c r="P212">
        <v>5</v>
      </c>
      <c r="Q212" t="s">
        <v>8</v>
      </c>
    </row>
    <row r="213" spans="1:22">
      <c r="A213" t="s">
        <v>867</v>
      </c>
      <c r="B213" t="s">
        <v>891</v>
      </c>
      <c r="C213">
        <v>0</v>
      </c>
      <c r="E213" t="s">
        <v>869</v>
      </c>
      <c r="F213" t="s">
        <v>907</v>
      </c>
      <c r="G213" t="s">
        <v>953</v>
      </c>
      <c r="H213">
        <v>2.6850000000000001</v>
      </c>
      <c r="J213" s="600" t="s">
        <v>767</v>
      </c>
      <c r="K213">
        <v>106510965</v>
      </c>
      <c r="L213" s="2">
        <v>44265</v>
      </c>
      <c r="M213">
        <v>23</v>
      </c>
      <c r="N213">
        <v>1</v>
      </c>
      <c r="O213">
        <v>0</v>
      </c>
      <c r="P213">
        <v>1</v>
      </c>
      <c r="Q213" t="s">
        <v>3</v>
      </c>
    </row>
    <row r="214" spans="1:22">
      <c r="A214" t="s">
        <v>751</v>
      </c>
      <c r="B214" t="s">
        <v>897</v>
      </c>
      <c r="C214">
        <v>0.1</v>
      </c>
      <c r="D214" t="s">
        <v>755</v>
      </c>
      <c r="E214" t="s">
        <v>948</v>
      </c>
      <c r="F214" t="s">
        <v>956</v>
      </c>
      <c r="G214" t="s">
        <v>897</v>
      </c>
      <c r="H214">
        <v>3.004</v>
      </c>
      <c r="J214" s="600" t="s">
        <v>767</v>
      </c>
      <c r="K214">
        <v>106533831</v>
      </c>
      <c r="L214" s="2">
        <v>44283</v>
      </c>
      <c r="M214">
        <v>19</v>
      </c>
      <c r="N214">
        <v>1</v>
      </c>
      <c r="O214">
        <v>0</v>
      </c>
      <c r="P214">
        <v>5</v>
      </c>
      <c r="Q214" t="s">
        <v>7</v>
      </c>
    </row>
    <row r="215" spans="1:22">
      <c r="A215" t="s">
        <v>751</v>
      </c>
      <c r="B215" t="s">
        <v>897</v>
      </c>
      <c r="C215">
        <v>4.0000000000000001E-3</v>
      </c>
      <c r="D215" t="s">
        <v>754</v>
      </c>
      <c r="E215" t="s">
        <v>949</v>
      </c>
      <c r="F215" t="s">
        <v>901</v>
      </c>
      <c r="G215" t="s">
        <v>897</v>
      </c>
      <c r="H215">
        <v>0.88600000000000001</v>
      </c>
      <c r="J215" s="600" t="s">
        <v>767</v>
      </c>
      <c r="K215">
        <v>106540370</v>
      </c>
      <c r="L215" s="2">
        <v>44295</v>
      </c>
      <c r="M215">
        <v>21</v>
      </c>
      <c r="N215">
        <v>1</v>
      </c>
      <c r="O215">
        <v>0</v>
      </c>
      <c r="P215">
        <v>1</v>
      </c>
      <c r="Q215" t="s">
        <v>7</v>
      </c>
    </row>
    <row r="216" spans="1:22">
      <c r="A216" t="s">
        <v>867</v>
      </c>
      <c r="B216" t="s">
        <v>930</v>
      </c>
      <c r="C216">
        <v>0</v>
      </c>
      <c r="E216" t="s">
        <v>869</v>
      </c>
      <c r="F216" t="s">
        <v>881</v>
      </c>
      <c r="G216" t="s">
        <v>869</v>
      </c>
      <c r="H216">
        <v>999.99900000000002</v>
      </c>
      <c r="J216" s="600" t="s">
        <v>767</v>
      </c>
      <c r="K216">
        <v>106579086</v>
      </c>
      <c r="L216" s="2">
        <v>44318</v>
      </c>
      <c r="M216">
        <v>30</v>
      </c>
      <c r="N216">
        <v>1</v>
      </c>
      <c r="O216">
        <v>0</v>
      </c>
      <c r="P216">
        <v>1</v>
      </c>
      <c r="Q216" t="s">
        <v>7</v>
      </c>
    </row>
    <row r="217" spans="1:22">
      <c r="A217" t="s">
        <v>867</v>
      </c>
      <c r="B217" t="s">
        <v>887</v>
      </c>
      <c r="C217">
        <v>0</v>
      </c>
      <c r="E217" t="s">
        <v>869</v>
      </c>
      <c r="F217" t="s">
        <v>881</v>
      </c>
      <c r="G217" t="s">
        <v>869</v>
      </c>
      <c r="H217">
        <v>0.22</v>
      </c>
      <c r="J217" s="600" t="s">
        <v>767</v>
      </c>
      <c r="K217">
        <v>106577549</v>
      </c>
      <c r="L217" s="2">
        <v>44327</v>
      </c>
      <c r="M217">
        <v>30</v>
      </c>
      <c r="N217">
        <v>1</v>
      </c>
      <c r="O217">
        <v>0</v>
      </c>
      <c r="P217">
        <v>1</v>
      </c>
      <c r="Q217" t="s">
        <v>7</v>
      </c>
      <c r="R217">
        <v>36.309759</v>
      </c>
      <c r="S217">
        <v>-78.588780999999997</v>
      </c>
      <c r="T217" t="s">
        <v>757</v>
      </c>
      <c r="V217">
        <v>8.299121832006201E-2</v>
      </c>
    </row>
    <row r="218" spans="1:22">
      <c r="A218" t="s">
        <v>751</v>
      </c>
      <c r="B218" t="s">
        <v>949</v>
      </c>
      <c r="C218">
        <v>0</v>
      </c>
      <c r="E218" t="s">
        <v>943</v>
      </c>
      <c r="F218" t="s">
        <v>971</v>
      </c>
      <c r="G218" t="s">
        <v>949</v>
      </c>
      <c r="H218">
        <v>999.99900000000002</v>
      </c>
      <c r="J218" s="600" t="s">
        <v>767</v>
      </c>
      <c r="K218">
        <v>106619014</v>
      </c>
      <c r="L218" s="2">
        <v>44363</v>
      </c>
      <c r="M218">
        <v>30</v>
      </c>
      <c r="N218">
        <v>1</v>
      </c>
      <c r="O218">
        <v>7</v>
      </c>
      <c r="P218">
        <v>4</v>
      </c>
      <c r="Q218" t="s">
        <v>7</v>
      </c>
    </row>
    <row r="219" spans="1:22">
      <c r="A219" t="s">
        <v>751</v>
      </c>
      <c r="B219" t="s">
        <v>897</v>
      </c>
      <c r="C219">
        <v>0.2</v>
      </c>
      <c r="D219" t="s">
        <v>754</v>
      </c>
      <c r="E219" t="s">
        <v>949</v>
      </c>
      <c r="F219" t="s">
        <v>901</v>
      </c>
      <c r="G219" t="s">
        <v>897</v>
      </c>
      <c r="H219">
        <v>1.0820000000000001</v>
      </c>
      <c r="J219" s="600" t="s">
        <v>767</v>
      </c>
      <c r="K219">
        <v>106636747</v>
      </c>
      <c r="L219" s="2">
        <v>44392</v>
      </c>
      <c r="M219">
        <v>28</v>
      </c>
      <c r="N219">
        <v>1</v>
      </c>
      <c r="O219">
        <v>0</v>
      </c>
      <c r="P219">
        <v>1</v>
      </c>
      <c r="Q219" t="s">
        <v>7</v>
      </c>
    </row>
    <row r="220" spans="1:22">
      <c r="A220" t="s">
        <v>867</v>
      </c>
      <c r="B220" t="s">
        <v>929</v>
      </c>
      <c r="C220">
        <v>0</v>
      </c>
      <c r="D220" t="s">
        <v>6</v>
      </c>
      <c r="E220" t="s">
        <v>869</v>
      </c>
      <c r="F220" t="s">
        <v>867</v>
      </c>
      <c r="G220" t="s">
        <v>929</v>
      </c>
      <c r="H220">
        <v>999.99900000000002</v>
      </c>
      <c r="J220" s="600" t="s">
        <v>767</v>
      </c>
      <c r="K220">
        <v>106680830</v>
      </c>
      <c r="L220" s="2">
        <v>44435</v>
      </c>
      <c r="M220">
        <v>3</v>
      </c>
      <c r="N220">
        <v>1</v>
      </c>
      <c r="O220">
        <v>0</v>
      </c>
      <c r="P220">
        <v>1</v>
      </c>
      <c r="Q220" t="s">
        <v>7</v>
      </c>
    </row>
    <row r="221" spans="1:22">
      <c r="A221" t="s">
        <v>867</v>
      </c>
      <c r="B221" t="s">
        <v>885</v>
      </c>
      <c r="C221">
        <v>4.0000000000000001E-3</v>
      </c>
      <c r="D221" t="s">
        <v>753</v>
      </c>
      <c r="E221" t="s">
        <v>762</v>
      </c>
      <c r="F221" t="s">
        <v>762</v>
      </c>
      <c r="H221">
        <v>999.99900000000002</v>
      </c>
      <c r="J221" s="600" t="s">
        <v>767</v>
      </c>
      <c r="K221">
        <v>106711659</v>
      </c>
      <c r="L221" s="2">
        <v>44450</v>
      </c>
      <c r="M221">
        <v>31</v>
      </c>
      <c r="N221">
        <v>1</v>
      </c>
      <c r="O221">
        <v>0</v>
      </c>
      <c r="P221">
        <v>1</v>
      </c>
      <c r="Q221" t="s">
        <v>7</v>
      </c>
    </row>
    <row r="222" spans="1:22">
      <c r="A222" t="s">
        <v>751</v>
      </c>
      <c r="B222" t="s">
        <v>897</v>
      </c>
      <c r="C222">
        <v>0</v>
      </c>
      <c r="E222" t="s">
        <v>898</v>
      </c>
      <c r="F222" t="s">
        <v>899</v>
      </c>
      <c r="H222">
        <v>999.99900000000002</v>
      </c>
      <c r="J222" s="600" t="s">
        <v>767</v>
      </c>
      <c r="K222">
        <v>106696985</v>
      </c>
      <c r="L222" s="2">
        <v>44454</v>
      </c>
      <c r="M222">
        <v>24</v>
      </c>
      <c r="N222">
        <v>1</v>
      </c>
      <c r="O222">
        <v>4</v>
      </c>
      <c r="P222">
        <v>1</v>
      </c>
      <c r="Q222" t="s">
        <v>7</v>
      </c>
    </row>
    <row r="223" spans="1:22">
      <c r="A223" t="s">
        <v>867</v>
      </c>
      <c r="B223" t="s">
        <v>905</v>
      </c>
      <c r="C223">
        <v>0</v>
      </c>
      <c r="E223" t="s">
        <v>872</v>
      </c>
      <c r="F223" t="s">
        <v>906</v>
      </c>
      <c r="G223" t="s">
        <v>762</v>
      </c>
      <c r="H223">
        <v>999.99900000000002</v>
      </c>
      <c r="J223" s="600" t="s">
        <v>767</v>
      </c>
      <c r="K223">
        <v>106818280</v>
      </c>
      <c r="L223" s="2">
        <v>44456</v>
      </c>
      <c r="M223">
        <v>30</v>
      </c>
      <c r="N223">
        <v>1</v>
      </c>
      <c r="O223">
        <v>0</v>
      </c>
      <c r="P223">
        <v>1</v>
      </c>
    </row>
    <row r="224" spans="1:22">
      <c r="A224" t="s">
        <v>751</v>
      </c>
      <c r="B224" t="s">
        <v>897</v>
      </c>
      <c r="C224">
        <v>0.01</v>
      </c>
      <c r="D224" t="s">
        <v>754</v>
      </c>
      <c r="E224" t="s">
        <v>952</v>
      </c>
      <c r="F224" t="s">
        <v>949</v>
      </c>
      <c r="G224" t="s">
        <v>897</v>
      </c>
      <c r="H224">
        <v>0.53300000000000003</v>
      </c>
      <c r="J224" s="600" t="s">
        <v>767</v>
      </c>
      <c r="K224">
        <v>106727073</v>
      </c>
      <c r="L224" s="2">
        <v>44482</v>
      </c>
      <c r="M224">
        <v>17</v>
      </c>
      <c r="N224">
        <v>1</v>
      </c>
      <c r="O224">
        <v>0</v>
      </c>
      <c r="P224">
        <v>5</v>
      </c>
      <c r="Q224" t="s">
        <v>7</v>
      </c>
    </row>
    <row r="225" spans="1:17">
      <c r="A225" t="s">
        <v>751</v>
      </c>
      <c r="B225" t="s">
        <v>948</v>
      </c>
      <c r="C225">
        <v>0</v>
      </c>
      <c r="E225" t="s">
        <v>897</v>
      </c>
      <c r="F225" t="s">
        <v>950</v>
      </c>
      <c r="G225" t="s">
        <v>948</v>
      </c>
      <c r="H225">
        <v>3.2890000000000001</v>
      </c>
      <c r="J225" s="600" t="s">
        <v>767</v>
      </c>
      <c r="K225">
        <v>106752512</v>
      </c>
      <c r="L225" s="2">
        <v>44498</v>
      </c>
      <c r="M225">
        <v>28</v>
      </c>
      <c r="N225">
        <v>2</v>
      </c>
      <c r="O225">
        <v>8</v>
      </c>
      <c r="P225">
        <v>3</v>
      </c>
      <c r="Q225" t="s">
        <v>7</v>
      </c>
    </row>
    <row r="226" spans="1:17">
      <c r="A226" t="s">
        <v>867</v>
      </c>
      <c r="B226" t="s">
        <v>903</v>
      </c>
      <c r="C226">
        <v>0.01</v>
      </c>
      <c r="D226" t="s">
        <v>753</v>
      </c>
      <c r="E226" t="s">
        <v>762</v>
      </c>
      <c r="F226" t="s">
        <v>967</v>
      </c>
      <c r="G226" t="s">
        <v>943</v>
      </c>
      <c r="H226">
        <v>1.139</v>
      </c>
      <c r="J226" s="600" t="s">
        <v>767</v>
      </c>
      <c r="K226">
        <v>106785794</v>
      </c>
      <c r="L226" s="2">
        <v>44501</v>
      </c>
      <c r="M226">
        <v>1</v>
      </c>
      <c r="N226">
        <v>1</v>
      </c>
      <c r="O226">
        <v>0</v>
      </c>
      <c r="P226">
        <v>1</v>
      </c>
      <c r="Q226" t="s">
        <v>7</v>
      </c>
    </row>
    <row r="227" spans="1:17">
      <c r="A227" t="s">
        <v>867</v>
      </c>
      <c r="B227" t="s">
        <v>891</v>
      </c>
      <c r="C227">
        <v>0</v>
      </c>
      <c r="E227" t="s">
        <v>762</v>
      </c>
      <c r="F227" t="s">
        <v>762</v>
      </c>
      <c r="G227" t="s">
        <v>953</v>
      </c>
      <c r="H227">
        <v>2.0550000000000002</v>
      </c>
      <c r="J227" s="600" t="s">
        <v>767</v>
      </c>
      <c r="K227">
        <v>106762748</v>
      </c>
      <c r="L227" s="2">
        <v>44510</v>
      </c>
      <c r="M227">
        <v>31</v>
      </c>
      <c r="N227">
        <v>1</v>
      </c>
      <c r="O227">
        <v>0</v>
      </c>
      <c r="P227">
        <v>1</v>
      </c>
      <c r="Q227" t="s">
        <v>7</v>
      </c>
    </row>
    <row r="228" spans="1:17">
      <c r="A228" t="s">
        <v>850</v>
      </c>
      <c r="B228" t="s">
        <v>863</v>
      </c>
      <c r="C228">
        <v>1.9E-2</v>
      </c>
      <c r="D228" t="s">
        <v>755</v>
      </c>
      <c r="E228" t="s">
        <v>762</v>
      </c>
      <c r="H228">
        <v>999.99900000000002</v>
      </c>
      <c r="J228" s="600" t="s">
        <v>767</v>
      </c>
      <c r="K228">
        <v>106802910</v>
      </c>
      <c r="L228" s="2">
        <v>44523</v>
      </c>
      <c r="M228">
        <v>31</v>
      </c>
      <c r="N228">
        <v>1</v>
      </c>
      <c r="O228">
        <v>4</v>
      </c>
      <c r="P228">
        <v>1</v>
      </c>
      <c r="Q228" t="s">
        <v>7</v>
      </c>
    </row>
    <row r="229" spans="1:17">
      <c r="A229" t="s">
        <v>850</v>
      </c>
      <c r="B229" t="s">
        <v>762</v>
      </c>
      <c r="C229">
        <v>0</v>
      </c>
      <c r="E229" t="s">
        <v>883</v>
      </c>
      <c r="F229" t="s">
        <v>979</v>
      </c>
      <c r="G229" t="s">
        <v>975</v>
      </c>
      <c r="H229">
        <v>0.53500000000000003</v>
      </c>
      <c r="J229" s="600" t="s">
        <v>767</v>
      </c>
      <c r="K229">
        <v>106782773</v>
      </c>
      <c r="L229" s="2">
        <v>44524</v>
      </c>
      <c r="M229">
        <v>21</v>
      </c>
      <c r="N229">
        <v>1</v>
      </c>
      <c r="O229">
        <v>9</v>
      </c>
      <c r="P229">
        <v>1</v>
      </c>
      <c r="Q229" t="s">
        <v>7</v>
      </c>
    </row>
    <row r="230" spans="1:17">
      <c r="A230" t="s">
        <v>867</v>
      </c>
      <c r="B230" t="s">
        <v>888</v>
      </c>
      <c r="C230">
        <v>0.25</v>
      </c>
      <c r="D230" t="s">
        <v>6</v>
      </c>
      <c r="E230" t="s">
        <v>890</v>
      </c>
      <c r="F230" t="s">
        <v>891</v>
      </c>
      <c r="H230">
        <v>999.99900000000002</v>
      </c>
      <c r="J230" s="600" t="s">
        <v>767</v>
      </c>
      <c r="K230">
        <v>106802901</v>
      </c>
      <c r="L230" s="2">
        <v>44525</v>
      </c>
      <c r="M230">
        <v>17</v>
      </c>
      <c r="N230">
        <v>1</v>
      </c>
      <c r="O230">
        <v>0</v>
      </c>
      <c r="P230">
        <v>5</v>
      </c>
      <c r="Q230" t="s">
        <v>7</v>
      </c>
    </row>
    <row r="231" spans="1:17">
      <c r="A231" t="s">
        <v>751</v>
      </c>
      <c r="B231" t="s">
        <v>949</v>
      </c>
      <c r="C231">
        <v>0</v>
      </c>
      <c r="E231" t="s">
        <v>897</v>
      </c>
      <c r="F231" t="s">
        <v>901</v>
      </c>
      <c r="G231" t="s">
        <v>949</v>
      </c>
      <c r="H231">
        <v>14.055</v>
      </c>
      <c r="J231" s="600" t="s">
        <v>767</v>
      </c>
      <c r="K231">
        <v>106812161</v>
      </c>
      <c r="L231" s="2">
        <v>44552</v>
      </c>
      <c r="M231">
        <v>30</v>
      </c>
      <c r="N231">
        <v>1</v>
      </c>
      <c r="O231">
        <v>7</v>
      </c>
      <c r="P231">
        <v>1</v>
      </c>
      <c r="Q231" t="s">
        <v>7</v>
      </c>
    </row>
    <row r="232" spans="1:17">
      <c r="A232" t="s">
        <v>751</v>
      </c>
      <c r="B232" t="s">
        <v>949</v>
      </c>
      <c r="C232">
        <v>0</v>
      </c>
      <c r="E232" t="s">
        <v>897</v>
      </c>
      <c r="F232" t="s">
        <v>883</v>
      </c>
      <c r="G232" t="s">
        <v>949</v>
      </c>
      <c r="H232">
        <v>14.055</v>
      </c>
      <c r="J232" s="600" t="s">
        <v>767</v>
      </c>
      <c r="K232">
        <v>106826767</v>
      </c>
      <c r="L232" s="2">
        <v>44565</v>
      </c>
      <c r="M232">
        <v>30</v>
      </c>
      <c r="N232">
        <v>1</v>
      </c>
      <c r="O232">
        <v>7</v>
      </c>
      <c r="P232">
        <v>1</v>
      </c>
      <c r="Q232" t="s">
        <v>8</v>
      </c>
    </row>
    <row r="233" spans="1:17">
      <c r="A233" t="s">
        <v>867</v>
      </c>
      <c r="B233" t="s">
        <v>762</v>
      </c>
      <c r="C233">
        <v>0</v>
      </c>
      <c r="E233" t="s">
        <v>968</v>
      </c>
      <c r="F233" t="s">
        <v>968</v>
      </c>
      <c r="G233" t="s">
        <v>943</v>
      </c>
      <c r="H233">
        <v>1.421</v>
      </c>
      <c r="J233" s="600" t="s">
        <v>767</v>
      </c>
      <c r="K233">
        <v>106915254</v>
      </c>
      <c r="L233" s="2">
        <v>44572</v>
      </c>
      <c r="M233">
        <v>18</v>
      </c>
      <c r="N233">
        <v>1</v>
      </c>
      <c r="O233">
        <v>0</v>
      </c>
      <c r="P233">
        <v>1</v>
      </c>
    </row>
    <row r="234" spans="1:17">
      <c r="A234" t="s">
        <v>751</v>
      </c>
      <c r="B234" t="s">
        <v>949</v>
      </c>
      <c r="C234">
        <v>0</v>
      </c>
      <c r="E234" t="s">
        <v>897</v>
      </c>
      <c r="F234" t="s">
        <v>883</v>
      </c>
      <c r="G234" t="s">
        <v>949</v>
      </c>
      <c r="H234">
        <v>14.055</v>
      </c>
      <c r="J234" s="600" t="s">
        <v>767</v>
      </c>
      <c r="K234">
        <v>106854292</v>
      </c>
      <c r="L234" s="2">
        <v>44588</v>
      </c>
      <c r="M234">
        <v>30</v>
      </c>
      <c r="N234">
        <v>1</v>
      </c>
      <c r="O234">
        <v>7</v>
      </c>
      <c r="P234">
        <v>1</v>
      </c>
      <c r="Q234" t="s">
        <v>8</v>
      </c>
    </row>
    <row r="235" spans="1:17">
      <c r="A235" t="s">
        <v>751</v>
      </c>
      <c r="B235" t="s">
        <v>901</v>
      </c>
      <c r="C235">
        <v>0</v>
      </c>
      <c r="E235" t="s">
        <v>897</v>
      </c>
      <c r="F235" t="s">
        <v>899</v>
      </c>
      <c r="G235" t="s">
        <v>901</v>
      </c>
      <c r="H235">
        <v>10.077999999999999</v>
      </c>
      <c r="J235" s="600" t="s">
        <v>767</v>
      </c>
      <c r="K235">
        <v>106860515</v>
      </c>
      <c r="L235" s="2">
        <v>44604</v>
      </c>
      <c r="M235">
        <v>24</v>
      </c>
      <c r="N235">
        <v>1</v>
      </c>
      <c r="O235">
        <v>8</v>
      </c>
      <c r="P235">
        <v>1</v>
      </c>
      <c r="Q235" t="s">
        <v>7</v>
      </c>
    </row>
    <row r="236" spans="1:17">
      <c r="A236" t="s">
        <v>867</v>
      </c>
      <c r="B236" t="s">
        <v>924</v>
      </c>
      <c r="C236">
        <v>0</v>
      </c>
      <c r="E236" t="s">
        <v>869</v>
      </c>
      <c r="F236" t="s">
        <v>924</v>
      </c>
      <c r="G236" t="s">
        <v>925</v>
      </c>
      <c r="H236">
        <v>17.59</v>
      </c>
      <c r="J236" s="600" t="s">
        <v>767</v>
      </c>
      <c r="K236">
        <v>107036300</v>
      </c>
      <c r="L236" s="2">
        <v>44605</v>
      </c>
      <c r="M236">
        <v>21</v>
      </c>
      <c r="N236">
        <v>1</v>
      </c>
      <c r="O236">
        <v>7</v>
      </c>
      <c r="P236">
        <v>2</v>
      </c>
      <c r="Q236" t="s">
        <v>7</v>
      </c>
    </row>
    <row r="237" spans="1:17">
      <c r="A237" t="s">
        <v>867</v>
      </c>
      <c r="B237" t="s">
        <v>869</v>
      </c>
      <c r="C237">
        <v>0</v>
      </c>
      <c r="E237" t="s">
        <v>931</v>
      </c>
      <c r="F237" t="s">
        <v>931</v>
      </c>
      <c r="G237" t="s">
        <v>869</v>
      </c>
      <c r="H237">
        <v>0.47</v>
      </c>
      <c r="J237" s="600" t="s">
        <v>767</v>
      </c>
      <c r="K237">
        <v>106974955</v>
      </c>
      <c r="L237" s="2">
        <v>44628</v>
      </c>
      <c r="M237">
        <v>13</v>
      </c>
      <c r="N237">
        <v>1</v>
      </c>
      <c r="O237">
        <v>0</v>
      </c>
      <c r="P237">
        <v>1</v>
      </c>
      <c r="Q237" t="s">
        <v>7</v>
      </c>
    </row>
    <row r="238" spans="1:17">
      <c r="A238" t="s">
        <v>867</v>
      </c>
      <c r="B238" t="s">
        <v>924</v>
      </c>
      <c r="C238">
        <v>0</v>
      </c>
      <c r="E238" t="s">
        <v>869</v>
      </c>
      <c r="F238" t="s">
        <v>924</v>
      </c>
      <c r="G238" t="s">
        <v>925</v>
      </c>
      <c r="H238">
        <v>17.59</v>
      </c>
      <c r="J238" s="600" t="s">
        <v>767</v>
      </c>
      <c r="K238">
        <v>106915253</v>
      </c>
      <c r="L238" s="2">
        <v>44646</v>
      </c>
      <c r="M238">
        <v>21</v>
      </c>
      <c r="N238">
        <v>1</v>
      </c>
      <c r="O238">
        <v>7</v>
      </c>
      <c r="P238">
        <v>1</v>
      </c>
      <c r="Q238" t="s">
        <v>10</v>
      </c>
    </row>
    <row r="239" spans="1:17">
      <c r="A239" t="s">
        <v>751</v>
      </c>
      <c r="B239" t="s">
        <v>897</v>
      </c>
      <c r="C239">
        <v>0.2</v>
      </c>
      <c r="D239" t="s">
        <v>754</v>
      </c>
      <c r="E239" t="s">
        <v>901</v>
      </c>
      <c r="F239" t="s">
        <v>948</v>
      </c>
      <c r="G239" t="s">
        <v>897</v>
      </c>
      <c r="H239">
        <v>1.4079999999999999</v>
      </c>
      <c r="J239" s="600" t="s">
        <v>767</v>
      </c>
      <c r="K239">
        <v>106910589</v>
      </c>
      <c r="L239" s="2">
        <v>44651</v>
      </c>
      <c r="M239">
        <v>5</v>
      </c>
      <c r="N239">
        <v>2</v>
      </c>
      <c r="O239">
        <v>0</v>
      </c>
      <c r="P239">
        <v>5</v>
      </c>
      <c r="Q239" t="s">
        <v>8</v>
      </c>
    </row>
    <row r="240" spans="1:17">
      <c r="A240" t="s">
        <v>751</v>
      </c>
      <c r="B240" t="s">
        <v>901</v>
      </c>
      <c r="C240">
        <v>4.0000000000000001E-3</v>
      </c>
      <c r="D240" t="s">
        <v>755</v>
      </c>
      <c r="E240" t="s">
        <v>897</v>
      </c>
      <c r="F240" t="s">
        <v>946</v>
      </c>
      <c r="G240" t="s">
        <v>901</v>
      </c>
      <c r="H240">
        <v>10.074</v>
      </c>
      <c r="J240" s="600" t="s">
        <v>767</v>
      </c>
      <c r="K240">
        <v>106909550</v>
      </c>
      <c r="L240" s="2">
        <v>44652</v>
      </c>
      <c r="M240">
        <v>24</v>
      </c>
      <c r="N240">
        <v>1</v>
      </c>
      <c r="O240">
        <v>8</v>
      </c>
      <c r="P240">
        <v>1</v>
      </c>
      <c r="Q240" t="s">
        <v>7</v>
      </c>
    </row>
    <row r="241" spans="1:17">
      <c r="A241" t="s">
        <v>867</v>
      </c>
      <c r="B241" t="s">
        <v>931</v>
      </c>
      <c r="C241">
        <v>0</v>
      </c>
      <c r="E241" t="s">
        <v>869</v>
      </c>
      <c r="F241" t="s">
        <v>931</v>
      </c>
      <c r="G241" t="s">
        <v>869</v>
      </c>
      <c r="H241">
        <v>0.47</v>
      </c>
      <c r="J241" s="600" t="s">
        <v>767</v>
      </c>
      <c r="K241">
        <v>107036687</v>
      </c>
      <c r="L241" s="2">
        <v>44694</v>
      </c>
      <c r="M241">
        <v>21</v>
      </c>
      <c r="N241">
        <v>1</v>
      </c>
      <c r="O241">
        <v>0</v>
      </c>
      <c r="P241">
        <v>1</v>
      </c>
      <c r="Q241" t="s">
        <v>7</v>
      </c>
    </row>
    <row r="242" spans="1:17">
      <c r="A242" t="s">
        <v>867</v>
      </c>
      <c r="B242" t="s">
        <v>924</v>
      </c>
      <c r="C242">
        <v>0</v>
      </c>
      <c r="E242" t="s">
        <v>869</v>
      </c>
      <c r="F242" t="s">
        <v>881</v>
      </c>
      <c r="G242" t="s">
        <v>925</v>
      </c>
      <c r="H242">
        <v>17.59</v>
      </c>
      <c r="J242" s="600" t="s">
        <v>767</v>
      </c>
      <c r="K242">
        <v>106996484</v>
      </c>
      <c r="L242" s="2">
        <v>44723</v>
      </c>
      <c r="M242">
        <v>21</v>
      </c>
      <c r="N242">
        <v>1</v>
      </c>
      <c r="O242">
        <v>0</v>
      </c>
      <c r="P242">
        <v>2</v>
      </c>
      <c r="Q242" t="s">
        <v>7</v>
      </c>
    </row>
    <row r="243" spans="1:17">
      <c r="A243" t="s">
        <v>867</v>
      </c>
      <c r="B243" t="s">
        <v>869</v>
      </c>
      <c r="C243">
        <v>0</v>
      </c>
      <c r="E243" t="s">
        <v>926</v>
      </c>
      <c r="F243" t="s">
        <v>924</v>
      </c>
      <c r="G243" t="s">
        <v>869</v>
      </c>
      <c r="H243">
        <v>0.09</v>
      </c>
      <c r="J243" s="600" t="s">
        <v>767</v>
      </c>
      <c r="K243">
        <v>106996485</v>
      </c>
      <c r="L243" s="2">
        <v>44728</v>
      </c>
      <c r="M243">
        <v>28</v>
      </c>
      <c r="N243">
        <v>1</v>
      </c>
      <c r="O243">
        <v>0</v>
      </c>
      <c r="P243">
        <v>1</v>
      </c>
      <c r="Q243" t="s">
        <v>7</v>
      </c>
    </row>
    <row r="244" spans="1:17">
      <c r="A244" t="s">
        <v>867</v>
      </c>
      <c r="B244" t="s">
        <v>924</v>
      </c>
      <c r="C244">
        <v>0</v>
      </c>
      <c r="E244" t="s">
        <v>869</v>
      </c>
      <c r="F244" t="s">
        <v>881</v>
      </c>
      <c r="G244" t="s">
        <v>925</v>
      </c>
      <c r="H244">
        <v>17.59</v>
      </c>
      <c r="J244" s="600" t="s">
        <v>767</v>
      </c>
      <c r="K244">
        <v>107036677</v>
      </c>
      <c r="L244" s="2">
        <v>44728</v>
      </c>
      <c r="M244">
        <v>31</v>
      </c>
      <c r="N244">
        <v>1</v>
      </c>
      <c r="O244">
        <v>0</v>
      </c>
      <c r="P244">
        <v>1</v>
      </c>
      <c r="Q244" t="s">
        <v>7</v>
      </c>
    </row>
    <row r="245" spans="1:17">
      <c r="A245" t="s">
        <v>867</v>
      </c>
      <c r="B245" t="s">
        <v>762</v>
      </c>
      <c r="C245">
        <v>1.9E-2</v>
      </c>
      <c r="D245" t="s">
        <v>754</v>
      </c>
      <c r="E245" t="s">
        <v>891</v>
      </c>
      <c r="F245" t="s">
        <v>891</v>
      </c>
      <c r="G245" t="s">
        <v>943</v>
      </c>
      <c r="H245">
        <v>1.504</v>
      </c>
      <c r="J245" s="600" t="s">
        <v>767</v>
      </c>
      <c r="K245">
        <v>106990903</v>
      </c>
      <c r="L245" s="2">
        <v>44729</v>
      </c>
      <c r="M245">
        <v>31</v>
      </c>
      <c r="N245">
        <v>1</v>
      </c>
      <c r="O245">
        <v>0</v>
      </c>
      <c r="P245">
        <v>1</v>
      </c>
      <c r="Q245" t="s">
        <v>7</v>
      </c>
    </row>
    <row r="246" spans="1:17">
      <c r="A246" t="s">
        <v>751</v>
      </c>
      <c r="B246" t="s">
        <v>897</v>
      </c>
      <c r="C246">
        <v>0.2</v>
      </c>
      <c r="D246" t="s">
        <v>6</v>
      </c>
      <c r="E246" t="s">
        <v>957</v>
      </c>
      <c r="F246" t="s">
        <v>945</v>
      </c>
      <c r="G246" t="s">
        <v>897</v>
      </c>
      <c r="H246">
        <v>2.2839999999999998</v>
      </c>
      <c r="J246" s="600" t="s">
        <v>767</v>
      </c>
      <c r="K246">
        <v>106993246</v>
      </c>
      <c r="L246" s="2">
        <v>44732</v>
      </c>
      <c r="M246">
        <v>17</v>
      </c>
      <c r="N246">
        <v>1</v>
      </c>
      <c r="O246">
        <v>0</v>
      </c>
      <c r="P246">
        <v>1</v>
      </c>
      <c r="Q246" t="s">
        <v>7</v>
      </c>
    </row>
    <row r="247" spans="1:17">
      <c r="A247" t="s">
        <v>867</v>
      </c>
      <c r="B247" t="s">
        <v>936</v>
      </c>
      <c r="C247">
        <v>0</v>
      </c>
      <c r="E247" t="s">
        <v>869</v>
      </c>
      <c r="F247" t="s">
        <v>881</v>
      </c>
      <c r="G247" t="s">
        <v>883</v>
      </c>
      <c r="H247">
        <v>20.498000000000001</v>
      </c>
      <c r="J247" s="600" t="s">
        <v>767</v>
      </c>
      <c r="K247">
        <v>107036690</v>
      </c>
      <c r="L247" s="2">
        <v>44733</v>
      </c>
      <c r="M247">
        <v>21</v>
      </c>
      <c r="N247">
        <v>1</v>
      </c>
      <c r="O247">
        <v>0</v>
      </c>
      <c r="P247">
        <v>1</v>
      </c>
      <c r="Q247" t="s">
        <v>7</v>
      </c>
    </row>
    <row r="248" spans="1:17">
      <c r="A248" t="s">
        <v>751</v>
      </c>
      <c r="B248" t="s">
        <v>949</v>
      </c>
      <c r="C248">
        <v>0</v>
      </c>
      <c r="E248" t="s">
        <v>897</v>
      </c>
      <c r="F248" t="s">
        <v>901</v>
      </c>
      <c r="G248" t="s">
        <v>949</v>
      </c>
      <c r="H248">
        <v>14.055</v>
      </c>
      <c r="J248" s="600" t="s">
        <v>767</v>
      </c>
      <c r="K248">
        <v>107005802</v>
      </c>
      <c r="L248" s="2">
        <v>44744</v>
      </c>
      <c r="M248">
        <v>23</v>
      </c>
      <c r="N248">
        <v>1</v>
      </c>
      <c r="O248">
        <v>7</v>
      </c>
      <c r="P248">
        <v>1</v>
      </c>
      <c r="Q248" t="s">
        <v>8</v>
      </c>
    </row>
    <row r="249" spans="1:17">
      <c r="A249" t="s">
        <v>867</v>
      </c>
      <c r="B249" t="s">
        <v>762</v>
      </c>
      <c r="C249">
        <v>9.5000000000000001E-2</v>
      </c>
      <c r="D249" t="s">
        <v>6</v>
      </c>
      <c r="E249" t="s">
        <v>970</v>
      </c>
      <c r="F249" t="s">
        <v>968</v>
      </c>
      <c r="G249" t="s">
        <v>943</v>
      </c>
      <c r="H249">
        <v>1.3819999999999999</v>
      </c>
      <c r="J249" s="600" t="s">
        <v>767</v>
      </c>
      <c r="K249">
        <v>107020234</v>
      </c>
      <c r="L249" s="2">
        <v>44756</v>
      </c>
      <c r="M249">
        <v>31</v>
      </c>
      <c r="N249">
        <v>1</v>
      </c>
      <c r="O249">
        <v>0</v>
      </c>
      <c r="P249">
        <v>1</v>
      </c>
      <c r="Q249" t="s">
        <v>7</v>
      </c>
    </row>
    <row r="250" spans="1:17">
      <c r="A250" t="s">
        <v>867</v>
      </c>
      <c r="B250" t="s">
        <v>869</v>
      </c>
      <c r="C250">
        <v>8.9999999999999993E-3</v>
      </c>
      <c r="D250" t="s">
        <v>753</v>
      </c>
      <c r="E250" t="s">
        <v>902</v>
      </c>
      <c r="F250" t="s">
        <v>902</v>
      </c>
      <c r="G250" t="s">
        <v>869</v>
      </c>
      <c r="H250">
        <v>0.40899999999999997</v>
      </c>
      <c r="J250" s="600" t="s">
        <v>767</v>
      </c>
      <c r="K250">
        <v>107036682</v>
      </c>
      <c r="L250" s="2">
        <v>44760</v>
      </c>
      <c r="M250">
        <v>31</v>
      </c>
      <c r="N250">
        <v>1</v>
      </c>
      <c r="O250">
        <v>0</v>
      </c>
      <c r="P250">
        <v>1</v>
      </c>
      <c r="Q250" t="s">
        <v>7</v>
      </c>
    </row>
    <row r="251" spans="1:17">
      <c r="A251" t="s">
        <v>751</v>
      </c>
      <c r="B251" t="s">
        <v>897</v>
      </c>
      <c r="C251">
        <v>0.3</v>
      </c>
      <c r="D251" t="s">
        <v>754</v>
      </c>
      <c r="E251" t="s">
        <v>901</v>
      </c>
      <c r="F251" t="s">
        <v>948</v>
      </c>
      <c r="G251" t="s">
        <v>897</v>
      </c>
      <c r="H251">
        <v>1.508</v>
      </c>
      <c r="J251" s="600" t="s">
        <v>767</v>
      </c>
      <c r="K251">
        <v>107035517</v>
      </c>
      <c r="L251" s="2">
        <v>44776</v>
      </c>
      <c r="M251">
        <v>29</v>
      </c>
      <c r="N251">
        <v>1</v>
      </c>
      <c r="O251">
        <v>0</v>
      </c>
      <c r="P251">
        <v>1</v>
      </c>
      <c r="Q251" t="s">
        <v>7</v>
      </c>
    </row>
    <row r="252" spans="1:17">
      <c r="A252" t="s">
        <v>867</v>
      </c>
      <c r="B252" t="s">
        <v>869</v>
      </c>
      <c r="C252">
        <v>0</v>
      </c>
      <c r="E252" t="s">
        <v>924</v>
      </c>
      <c r="F252" t="s">
        <v>924</v>
      </c>
      <c r="G252" t="s">
        <v>869</v>
      </c>
      <c r="H252">
        <v>999.99900000000002</v>
      </c>
      <c r="J252" s="600" t="s">
        <v>767</v>
      </c>
      <c r="K252">
        <v>107047616</v>
      </c>
      <c r="L252" s="2">
        <v>44782</v>
      </c>
      <c r="M252">
        <v>28</v>
      </c>
      <c r="N252">
        <v>1</v>
      </c>
      <c r="O252">
        <v>0</v>
      </c>
      <c r="P252">
        <v>1</v>
      </c>
      <c r="Q252" t="s">
        <v>7</v>
      </c>
    </row>
    <row r="253" spans="1:17">
      <c r="A253" t="s">
        <v>867</v>
      </c>
      <c r="B253" t="s">
        <v>924</v>
      </c>
      <c r="C253">
        <v>0</v>
      </c>
      <c r="E253" t="s">
        <v>869</v>
      </c>
      <c r="F253" t="s">
        <v>869</v>
      </c>
      <c r="G253" t="s">
        <v>925</v>
      </c>
      <c r="H253">
        <v>17.59</v>
      </c>
      <c r="J253" s="600" t="s">
        <v>767</v>
      </c>
      <c r="K253">
        <v>107074299</v>
      </c>
      <c r="L253" s="2">
        <v>44815</v>
      </c>
      <c r="M253">
        <v>30</v>
      </c>
      <c r="N253">
        <v>1</v>
      </c>
      <c r="O253">
        <v>0</v>
      </c>
      <c r="P253">
        <v>1</v>
      </c>
      <c r="Q253" t="s">
        <v>3</v>
      </c>
    </row>
    <row r="254" spans="1:17">
      <c r="A254" t="s">
        <v>850</v>
      </c>
      <c r="B254" t="s">
        <v>872</v>
      </c>
      <c r="C254">
        <v>0</v>
      </c>
      <c r="E254" t="s">
        <v>873</v>
      </c>
      <c r="F254" t="s">
        <v>860</v>
      </c>
      <c r="H254">
        <v>999.99900000000002</v>
      </c>
      <c r="J254" s="600" t="s">
        <v>767</v>
      </c>
      <c r="K254">
        <v>107090844</v>
      </c>
      <c r="L254" s="2">
        <v>44820</v>
      </c>
      <c r="M254">
        <v>31</v>
      </c>
      <c r="N254">
        <v>1</v>
      </c>
      <c r="O254">
        <v>0</v>
      </c>
      <c r="P254">
        <v>4</v>
      </c>
      <c r="Q254" t="s">
        <v>7</v>
      </c>
    </row>
    <row r="255" spans="1:17">
      <c r="A255" t="s">
        <v>867</v>
      </c>
      <c r="B255" t="s">
        <v>869</v>
      </c>
      <c r="C255">
        <v>0</v>
      </c>
      <c r="E255" t="s">
        <v>887</v>
      </c>
      <c r="F255" t="s">
        <v>924</v>
      </c>
      <c r="G255" t="s">
        <v>869</v>
      </c>
      <c r="H255">
        <v>0.22</v>
      </c>
      <c r="J255" s="600" t="s">
        <v>767</v>
      </c>
      <c r="K255">
        <v>107101708</v>
      </c>
      <c r="L255" s="2">
        <v>44840</v>
      </c>
      <c r="M255">
        <v>26</v>
      </c>
      <c r="N255">
        <v>1</v>
      </c>
      <c r="O255">
        <v>0</v>
      </c>
      <c r="P255">
        <v>1</v>
      </c>
      <c r="Q255" t="s">
        <v>7</v>
      </c>
    </row>
    <row r="256" spans="1:17">
      <c r="A256" t="s">
        <v>867</v>
      </c>
      <c r="B256" t="s">
        <v>869</v>
      </c>
      <c r="C256">
        <v>0</v>
      </c>
      <c r="E256" t="s">
        <v>924</v>
      </c>
      <c r="F256" t="s">
        <v>926</v>
      </c>
      <c r="G256" t="s">
        <v>869</v>
      </c>
      <c r="H256">
        <v>999.99900000000002</v>
      </c>
      <c r="J256" s="600" t="s">
        <v>767</v>
      </c>
      <c r="K256">
        <v>107119312</v>
      </c>
      <c r="L256" s="2">
        <v>44851</v>
      </c>
      <c r="M256">
        <v>21</v>
      </c>
      <c r="N256">
        <v>1</v>
      </c>
      <c r="O256">
        <v>0</v>
      </c>
      <c r="P256">
        <v>1</v>
      </c>
      <c r="Q256" t="s">
        <v>7</v>
      </c>
    </row>
    <row r="257" spans="1:22">
      <c r="A257" t="s">
        <v>867</v>
      </c>
      <c r="B257" t="s">
        <v>924</v>
      </c>
      <c r="C257">
        <v>0</v>
      </c>
      <c r="E257" t="s">
        <v>869</v>
      </c>
      <c r="F257" t="s">
        <v>924</v>
      </c>
      <c r="G257" t="s">
        <v>925</v>
      </c>
      <c r="H257">
        <v>17.59</v>
      </c>
      <c r="J257" s="600" t="s">
        <v>767</v>
      </c>
      <c r="K257">
        <v>107136874</v>
      </c>
      <c r="L257" s="2">
        <v>44863</v>
      </c>
      <c r="M257">
        <v>22</v>
      </c>
      <c r="N257">
        <v>1</v>
      </c>
      <c r="O257">
        <v>0</v>
      </c>
      <c r="P257">
        <v>1</v>
      </c>
    </row>
    <row r="258" spans="1:22">
      <c r="A258" t="s">
        <v>867</v>
      </c>
      <c r="B258" t="s">
        <v>897</v>
      </c>
      <c r="C258">
        <v>0</v>
      </c>
      <c r="D258" t="s">
        <v>6</v>
      </c>
      <c r="E258" t="s">
        <v>949</v>
      </c>
      <c r="F258" t="s">
        <v>925</v>
      </c>
      <c r="G258" t="s">
        <v>897</v>
      </c>
      <c r="H258">
        <v>0.88200000000000001</v>
      </c>
      <c r="J258" s="600" t="s">
        <v>767</v>
      </c>
      <c r="K258">
        <v>107148989</v>
      </c>
      <c r="L258" s="2">
        <v>44873</v>
      </c>
      <c r="M258">
        <v>28</v>
      </c>
      <c r="N258">
        <v>1</v>
      </c>
      <c r="O258">
        <v>7</v>
      </c>
      <c r="P258">
        <v>1</v>
      </c>
      <c r="Q258" t="s">
        <v>7</v>
      </c>
    </row>
    <row r="259" spans="1:22">
      <c r="A259" t="s">
        <v>850</v>
      </c>
      <c r="B259" t="s">
        <v>762</v>
      </c>
      <c r="C259">
        <v>0</v>
      </c>
      <c r="E259" t="s">
        <v>865</v>
      </c>
      <c r="F259" t="s">
        <v>762</v>
      </c>
      <c r="G259" t="s">
        <v>909</v>
      </c>
      <c r="H259">
        <v>2.9369999999999998</v>
      </c>
      <c r="J259" s="600" t="s">
        <v>767</v>
      </c>
      <c r="K259">
        <v>107170707</v>
      </c>
      <c r="L259" s="2">
        <v>44876</v>
      </c>
      <c r="M259">
        <v>30</v>
      </c>
      <c r="N259">
        <v>1</v>
      </c>
      <c r="O259">
        <v>0</v>
      </c>
      <c r="P259">
        <v>1</v>
      </c>
      <c r="Q259" t="s">
        <v>3</v>
      </c>
    </row>
    <row r="260" spans="1:22">
      <c r="A260" t="s">
        <v>751</v>
      </c>
      <c r="B260" t="s">
        <v>897</v>
      </c>
      <c r="C260">
        <v>4.0000000000000001E-3</v>
      </c>
      <c r="D260" t="s">
        <v>754</v>
      </c>
      <c r="E260" t="s">
        <v>949</v>
      </c>
      <c r="F260" t="s">
        <v>901</v>
      </c>
      <c r="G260" t="s">
        <v>897</v>
      </c>
      <c r="H260">
        <v>0.88600000000000001</v>
      </c>
      <c r="J260" s="600" t="s">
        <v>767</v>
      </c>
      <c r="K260">
        <v>107156144</v>
      </c>
      <c r="L260" s="2">
        <v>44882</v>
      </c>
      <c r="M260">
        <v>21</v>
      </c>
      <c r="N260">
        <v>1</v>
      </c>
      <c r="O260">
        <v>7</v>
      </c>
      <c r="P260">
        <v>1</v>
      </c>
      <c r="Q260" t="s">
        <v>7</v>
      </c>
    </row>
    <row r="261" spans="1:22">
      <c r="A261" t="s">
        <v>867</v>
      </c>
      <c r="B261" t="s">
        <v>936</v>
      </c>
      <c r="C261">
        <v>0</v>
      </c>
      <c r="E261" t="s">
        <v>869</v>
      </c>
      <c r="F261" t="s">
        <v>881</v>
      </c>
      <c r="G261" t="s">
        <v>883</v>
      </c>
      <c r="H261">
        <v>20.498000000000001</v>
      </c>
      <c r="J261" s="600" t="s">
        <v>767</v>
      </c>
      <c r="K261">
        <v>107155534</v>
      </c>
      <c r="L261" s="2">
        <v>44887</v>
      </c>
      <c r="M261">
        <v>30</v>
      </c>
      <c r="N261">
        <v>1</v>
      </c>
      <c r="O261">
        <v>0</v>
      </c>
      <c r="P261">
        <v>1</v>
      </c>
      <c r="Q261" t="s">
        <v>7</v>
      </c>
    </row>
    <row r="262" spans="1:22">
      <c r="A262" t="s">
        <v>867</v>
      </c>
      <c r="B262" t="s">
        <v>881</v>
      </c>
      <c r="C262">
        <v>0</v>
      </c>
      <c r="E262" t="s">
        <v>869</v>
      </c>
      <c r="F262" t="s">
        <v>862</v>
      </c>
      <c r="G262" t="s">
        <v>938</v>
      </c>
      <c r="H262">
        <v>17.824000000000002</v>
      </c>
      <c r="J262" s="600" t="s">
        <v>767</v>
      </c>
      <c r="K262">
        <v>107157374</v>
      </c>
      <c r="L262" s="2">
        <v>44888</v>
      </c>
      <c r="M262">
        <v>30</v>
      </c>
      <c r="N262">
        <v>1</v>
      </c>
      <c r="O262">
        <v>8</v>
      </c>
      <c r="P262">
        <v>1</v>
      </c>
      <c r="Q262" t="s">
        <v>7</v>
      </c>
    </row>
    <row r="263" spans="1:22">
      <c r="A263" t="s">
        <v>867</v>
      </c>
      <c r="B263" t="s">
        <v>887</v>
      </c>
      <c r="C263">
        <v>0</v>
      </c>
      <c r="E263" t="s">
        <v>869</v>
      </c>
      <c r="G263" t="s">
        <v>869</v>
      </c>
      <c r="H263">
        <v>0.22</v>
      </c>
      <c r="J263" s="600" t="s">
        <v>767</v>
      </c>
      <c r="K263">
        <v>107164598</v>
      </c>
      <c r="L263" s="2">
        <v>44895</v>
      </c>
      <c r="M263">
        <v>31</v>
      </c>
      <c r="N263">
        <v>1</v>
      </c>
      <c r="O263">
        <v>0</v>
      </c>
      <c r="P263">
        <v>1</v>
      </c>
    </row>
    <row r="264" spans="1:22">
      <c r="A264" t="s">
        <v>751</v>
      </c>
      <c r="B264" t="s">
        <v>949</v>
      </c>
      <c r="C264">
        <v>0</v>
      </c>
      <c r="E264" t="s">
        <v>943</v>
      </c>
      <c r="F264" t="s">
        <v>988</v>
      </c>
      <c r="G264" t="s">
        <v>949</v>
      </c>
      <c r="H264">
        <v>999.99900000000002</v>
      </c>
      <c r="J264" s="600" t="s">
        <v>767</v>
      </c>
      <c r="K264">
        <v>107197910</v>
      </c>
      <c r="L264" s="2">
        <v>44924</v>
      </c>
      <c r="M264">
        <v>23</v>
      </c>
      <c r="N264">
        <v>1</v>
      </c>
      <c r="O264">
        <v>7</v>
      </c>
      <c r="P264">
        <v>5</v>
      </c>
      <c r="Q264" t="s">
        <v>7</v>
      </c>
      <c r="R264">
        <v>36.313319999999997</v>
      </c>
      <c r="S264">
        <v>-78.553039999999996</v>
      </c>
      <c r="T264" t="s">
        <v>758</v>
      </c>
      <c r="V264">
        <v>1.9225297088210442</v>
      </c>
    </row>
    <row r="265" spans="1:22">
      <c r="A265" t="s">
        <v>751</v>
      </c>
      <c r="B265" t="s">
        <v>897</v>
      </c>
      <c r="C265">
        <v>8.5000000000000006E-2</v>
      </c>
      <c r="D265" t="s">
        <v>754</v>
      </c>
      <c r="E265" t="s">
        <v>957</v>
      </c>
      <c r="F265" t="s">
        <v>955</v>
      </c>
      <c r="G265" t="s">
        <v>897</v>
      </c>
      <c r="H265">
        <v>2.569</v>
      </c>
      <c r="J265" s="600" t="s">
        <v>767</v>
      </c>
      <c r="K265">
        <v>107211217</v>
      </c>
      <c r="L265" s="2">
        <v>44929</v>
      </c>
      <c r="M265">
        <v>19</v>
      </c>
      <c r="N265">
        <v>1</v>
      </c>
      <c r="O265">
        <v>0</v>
      </c>
      <c r="P265">
        <v>1</v>
      </c>
      <c r="Q265" t="s">
        <v>7</v>
      </c>
    </row>
    <row r="266" spans="1:22">
      <c r="A266" t="s">
        <v>867</v>
      </c>
      <c r="B266" t="s">
        <v>948</v>
      </c>
      <c r="C266">
        <v>0</v>
      </c>
      <c r="E266" t="s">
        <v>897</v>
      </c>
      <c r="F266" t="s">
        <v>949</v>
      </c>
      <c r="G266" t="s">
        <v>948</v>
      </c>
      <c r="H266">
        <v>3.2890000000000001</v>
      </c>
      <c r="J266" s="600" t="s">
        <v>767</v>
      </c>
      <c r="K266">
        <v>107210034</v>
      </c>
      <c r="L266" s="2">
        <v>44936</v>
      </c>
      <c r="M266">
        <v>17</v>
      </c>
      <c r="N266">
        <v>1</v>
      </c>
      <c r="O266">
        <v>0</v>
      </c>
      <c r="P266">
        <v>5</v>
      </c>
      <c r="Q266" t="s">
        <v>7</v>
      </c>
    </row>
    <row r="267" spans="1:22">
      <c r="A267" t="s">
        <v>751</v>
      </c>
      <c r="B267" t="s">
        <v>897</v>
      </c>
      <c r="C267">
        <v>0.1</v>
      </c>
      <c r="D267" t="s">
        <v>755</v>
      </c>
      <c r="E267" t="s">
        <v>956</v>
      </c>
      <c r="F267" t="s">
        <v>959</v>
      </c>
      <c r="G267" t="s">
        <v>897</v>
      </c>
      <c r="H267">
        <v>4.0060000000000002</v>
      </c>
      <c r="J267" s="600" t="s">
        <v>767</v>
      </c>
      <c r="K267">
        <v>107216920</v>
      </c>
      <c r="L267" s="2">
        <v>44943</v>
      </c>
      <c r="M267">
        <v>19</v>
      </c>
      <c r="N267">
        <v>3</v>
      </c>
      <c r="O267">
        <v>0</v>
      </c>
      <c r="P267">
        <v>5</v>
      </c>
      <c r="Q267" t="s">
        <v>7</v>
      </c>
    </row>
    <row r="268" spans="1:22">
      <c r="A268" t="s">
        <v>867</v>
      </c>
      <c r="B268" t="s">
        <v>897</v>
      </c>
      <c r="C268">
        <v>0</v>
      </c>
      <c r="D268" t="s">
        <v>6</v>
      </c>
      <c r="E268" t="s">
        <v>945</v>
      </c>
      <c r="F268" t="s">
        <v>949</v>
      </c>
      <c r="G268" t="s">
        <v>897</v>
      </c>
      <c r="H268">
        <v>999.99900000000002</v>
      </c>
      <c r="J268" s="600" t="s">
        <v>767</v>
      </c>
      <c r="K268">
        <v>107219393</v>
      </c>
      <c r="L268" s="2">
        <v>44943</v>
      </c>
      <c r="M268">
        <v>21</v>
      </c>
      <c r="N268">
        <v>2</v>
      </c>
      <c r="O268">
        <v>7</v>
      </c>
      <c r="P268">
        <v>1</v>
      </c>
      <c r="Q268" t="s">
        <v>3</v>
      </c>
    </row>
    <row r="269" spans="1:22">
      <c r="A269" t="s">
        <v>751</v>
      </c>
      <c r="B269" t="s">
        <v>949</v>
      </c>
      <c r="C269">
        <v>0</v>
      </c>
      <c r="E269" t="s">
        <v>943</v>
      </c>
      <c r="F269" t="s">
        <v>953</v>
      </c>
      <c r="G269" t="s">
        <v>949</v>
      </c>
      <c r="H269">
        <v>999.99900000000002</v>
      </c>
      <c r="J269" s="600" t="s">
        <v>767</v>
      </c>
      <c r="K269">
        <v>107219725</v>
      </c>
      <c r="L269" s="2">
        <v>44946</v>
      </c>
      <c r="M269">
        <v>30</v>
      </c>
      <c r="N269">
        <v>1</v>
      </c>
      <c r="O269">
        <v>7</v>
      </c>
      <c r="P269">
        <v>1</v>
      </c>
      <c r="Q269" t="s">
        <v>7</v>
      </c>
      <c r="R269">
        <v>36.312869999999997</v>
      </c>
      <c r="S269">
        <v>-78.550650000000005</v>
      </c>
      <c r="T269" t="s">
        <v>758</v>
      </c>
      <c r="V269">
        <v>2.0515162683297681</v>
      </c>
    </row>
    <row r="270" spans="1:22">
      <c r="A270" t="s">
        <v>867</v>
      </c>
      <c r="B270" t="s">
        <v>762</v>
      </c>
      <c r="C270">
        <v>0</v>
      </c>
      <c r="E270" t="s">
        <v>970</v>
      </c>
      <c r="F270" t="s">
        <v>891</v>
      </c>
      <c r="G270" t="s">
        <v>943</v>
      </c>
      <c r="H270">
        <v>1.4770000000000001</v>
      </c>
      <c r="J270" s="600" t="s">
        <v>767</v>
      </c>
      <c r="K270">
        <v>107223842</v>
      </c>
      <c r="L270" s="2">
        <v>44951</v>
      </c>
      <c r="M270">
        <v>31</v>
      </c>
      <c r="N270">
        <v>2</v>
      </c>
      <c r="O270">
        <v>0</v>
      </c>
      <c r="P270">
        <v>1</v>
      </c>
      <c r="Q270" t="s">
        <v>7</v>
      </c>
    </row>
    <row r="271" spans="1:22">
      <c r="A271" t="s">
        <v>850</v>
      </c>
      <c r="B271" t="s">
        <v>913</v>
      </c>
      <c r="C271">
        <v>0</v>
      </c>
      <c r="E271" t="s">
        <v>762</v>
      </c>
      <c r="F271" t="s">
        <v>920</v>
      </c>
      <c r="G271" t="s">
        <v>909</v>
      </c>
      <c r="H271">
        <v>3.2839999999999998</v>
      </c>
      <c r="J271" s="600" t="s">
        <v>767</v>
      </c>
      <c r="K271">
        <v>107265352</v>
      </c>
      <c r="L271" s="2">
        <v>44979</v>
      </c>
      <c r="M271">
        <v>21</v>
      </c>
      <c r="N271">
        <v>1</v>
      </c>
      <c r="O271">
        <v>0</v>
      </c>
      <c r="P271">
        <v>1</v>
      </c>
      <c r="Q271" t="s">
        <v>7</v>
      </c>
    </row>
    <row r="272" spans="1:22">
      <c r="A272" t="s">
        <v>850</v>
      </c>
      <c r="B272" t="s">
        <v>917</v>
      </c>
      <c r="C272">
        <v>0</v>
      </c>
      <c r="E272" t="s">
        <v>762</v>
      </c>
      <c r="F272" t="s">
        <v>865</v>
      </c>
      <c r="G272" t="s">
        <v>940</v>
      </c>
      <c r="H272">
        <v>5.0730000000000004</v>
      </c>
      <c r="J272" s="600" t="s">
        <v>767</v>
      </c>
      <c r="K272">
        <v>107265353</v>
      </c>
      <c r="L272" s="2">
        <v>44984</v>
      </c>
      <c r="M272">
        <v>30</v>
      </c>
      <c r="N272">
        <v>1</v>
      </c>
      <c r="O272">
        <v>0</v>
      </c>
      <c r="P272">
        <v>1</v>
      </c>
      <c r="Q272" t="s">
        <v>7</v>
      </c>
    </row>
    <row r="273" spans="1:22">
      <c r="A273" t="s">
        <v>867</v>
      </c>
      <c r="B273" t="s">
        <v>868</v>
      </c>
      <c r="C273">
        <v>0</v>
      </c>
      <c r="E273" t="s">
        <v>869</v>
      </c>
      <c r="F273" t="s">
        <v>870</v>
      </c>
      <c r="H273">
        <v>999.99900000000002</v>
      </c>
      <c r="J273" s="600" t="s">
        <v>767</v>
      </c>
      <c r="K273">
        <v>107268202</v>
      </c>
      <c r="L273" s="2">
        <v>44997</v>
      </c>
      <c r="M273">
        <v>32</v>
      </c>
      <c r="N273">
        <v>1</v>
      </c>
      <c r="O273">
        <v>0</v>
      </c>
      <c r="P273">
        <v>1</v>
      </c>
      <c r="Q273" t="s">
        <v>7</v>
      </c>
    </row>
    <row r="274" spans="1:22">
      <c r="A274" t="s">
        <v>751</v>
      </c>
      <c r="B274" t="s">
        <v>949</v>
      </c>
      <c r="C274">
        <v>0</v>
      </c>
      <c r="E274" t="s">
        <v>897</v>
      </c>
      <c r="F274" t="s">
        <v>901</v>
      </c>
      <c r="G274" t="s">
        <v>949</v>
      </c>
      <c r="H274">
        <v>14.055</v>
      </c>
      <c r="J274" s="600" t="s">
        <v>767</v>
      </c>
      <c r="K274">
        <v>107279987</v>
      </c>
      <c r="L274" s="2">
        <v>45007</v>
      </c>
      <c r="M274">
        <v>23</v>
      </c>
      <c r="N274">
        <v>1</v>
      </c>
      <c r="O274">
        <v>7</v>
      </c>
      <c r="P274">
        <v>1</v>
      </c>
      <c r="Q274" t="s">
        <v>7</v>
      </c>
    </row>
    <row r="275" spans="1:22">
      <c r="A275" t="s">
        <v>751</v>
      </c>
      <c r="B275" t="s">
        <v>949</v>
      </c>
      <c r="C275">
        <v>0</v>
      </c>
      <c r="E275" t="s">
        <v>897</v>
      </c>
      <c r="F275" t="s">
        <v>901</v>
      </c>
      <c r="G275" t="s">
        <v>949</v>
      </c>
      <c r="H275">
        <v>14.055</v>
      </c>
      <c r="J275" s="600" t="s">
        <v>767</v>
      </c>
      <c r="K275">
        <v>107286901</v>
      </c>
      <c r="L275" s="2">
        <v>45013</v>
      </c>
      <c r="M275">
        <v>30</v>
      </c>
      <c r="N275">
        <v>1</v>
      </c>
      <c r="O275">
        <v>7</v>
      </c>
      <c r="P275">
        <v>1</v>
      </c>
      <c r="Q275" t="s">
        <v>8</v>
      </c>
    </row>
    <row r="276" spans="1:22">
      <c r="A276" t="s">
        <v>751</v>
      </c>
      <c r="B276" t="s">
        <v>949</v>
      </c>
      <c r="C276">
        <v>0</v>
      </c>
      <c r="E276" t="s">
        <v>897</v>
      </c>
      <c r="G276" t="s">
        <v>949</v>
      </c>
      <c r="H276">
        <v>14.055</v>
      </c>
      <c r="J276" s="600" t="s">
        <v>767</v>
      </c>
      <c r="K276">
        <v>107321539</v>
      </c>
      <c r="L276" s="2">
        <v>45037</v>
      </c>
      <c r="M276">
        <v>23</v>
      </c>
      <c r="N276">
        <v>1</v>
      </c>
      <c r="O276">
        <v>7</v>
      </c>
      <c r="P276">
        <v>1</v>
      </c>
      <c r="Q276" t="s">
        <v>7</v>
      </c>
    </row>
    <row r="277" spans="1:22">
      <c r="A277" t="s">
        <v>867</v>
      </c>
      <c r="B277" t="s">
        <v>869</v>
      </c>
      <c r="C277">
        <v>0</v>
      </c>
      <c r="E277" t="s">
        <v>936</v>
      </c>
      <c r="F277" t="s">
        <v>937</v>
      </c>
      <c r="G277" t="s">
        <v>869</v>
      </c>
      <c r="H277">
        <v>999.99900000000002</v>
      </c>
      <c r="J277" s="600" t="s">
        <v>767</v>
      </c>
      <c r="K277">
        <v>107358288</v>
      </c>
      <c r="L277" s="2">
        <v>45070</v>
      </c>
      <c r="M277">
        <v>32</v>
      </c>
      <c r="N277">
        <v>1</v>
      </c>
      <c r="O277">
        <v>0</v>
      </c>
      <c r="P277">
        <v>1</v>
      </c>
      <c r="Q277" t="s">
        <v>3</v>
      </c>
    </row>
    <row r="278" spans="1:22">
      <c r="A278" t="s">
        <v>867</v>
      </c>
      <c r="B278" t="s">
        <v>972</v>
      </c>
      <c r="C278">
        <v>0</v>
      </c>
      <c r="E278" t="s">
        <v>762</v>
      </c>
      <c r="F278" t="s">
        <v>762</v>
      </c>
      <c r="G278" t="s">
        <v>943</v>
      </c>
      <c r="H278">
        <v>1.4770000000000001</v>
      </c>
      <c r="J278" s="600" t="s">
        <v>767</v>
      </c>
      <c r="K278">
        <v>107358296</v>
      </c>
      <c r="L278" s="2">
        <v>45071</v>
      </c>
      <c r="M278">
        <v>20</v>
      </c>
      <c r="N278">
        <v>1</v>
      </c>
      <c r="O278">
        <v>0</v>
      </c>
      <c r="P278">
        <v>1</v>
      </c>
    </row>
    <row r="279" spans="1:22">
      <c r="A279" t="s">
        <v>751</v>
      </c>
      <c r="B279" t="s">
        <v>949</v>
      </c>
      <c r="C279">
        <v>0</v>
      </c>
      <c r="E279" t="s">
        <v>897</v>
      </c>
      <c r="G279" t="s">
        <v>949</v>
      </c>
      <c r="H279">
        <v>14.055</v>
      </c>
      <c r="J279" s="600" t="s">
        <v>767</v>
      </c>
      <c r="K279">
        <v>107364884</v>
      </c>
      <c r="L279" s="2">
        <v>45084</v>
      </c>
      <c r="M279">
        <v>26</v>
      </c>
      <c r="N279">
        <v>2</v>
      </c>
      <c r="O279">
        <v>7</v>
      </c>
      <c r="P279">
        <v>1</v>
      </c>
      <c r="Q279" t="s">
        <v>7</v>
      </c>
    </row>
    <row r="280" spans="1:22">
      <c r="A280" t="s">
        <v>867</v>
      </c>
      <c r="B280" t="s">
        <v>762</v>
      </c>
      <c r="C280">
        <v>0</v>
      </c>
      <c r="E280" t="s">
        <v>970</v>
      </c>
      <c r="F280" t="s">
        <v>891</v>
      </c>
      <c r="G280" t="s">
        <v>943</v>
      </c>
      <c r="H280">
        <v>1.4770000000000001</v>
      </c>
      <c r="J280" s="600" t="s">
        <v>767</v>
      </c>
      <c r="K280">
        <v>107361796</v>
      </c>
      <c r="L280" s="2">
        <v>45087</v>
      </c>
      <c r="M280">
        <v>21</v>
      </c>
      <c r="N280">
        <v>1</v>
      </c>
      <c r="O280">
        <v>0</v>
      </c>
      <c r="P280">
        <v>1</v>
      </c>
    </row>
    <row r="281" spans="1:22">
      <c r="A281" t="s">
        <v>751</v>
      </c>
      <c r="B281" t="s">
        <v>949</v>
      </c>
      <c r="C281">
        <v>0</v>
      </c>
      <c r="E281" t="s">
        <v>943</v>
      </c>
      <c r="F281" t="s">
        <v>988</v>
      </c>
      <c r="G281" t="s">
        <v>949</v>
      </c>
      <c r="H281">
        <v>999.99900000000002</v>
      </c>
      <c r="J281" s="600" t="s">
        <v>767</v>
      </c>
      <c r="K281">
        <v>107375014</v>
      </c>
      <c r="L281" s="2">
        <v>45096</v>
      </c>
      <c r="M281">
        <v>23</v>
      </c>
      <c r="N281">
        <v>2</v>
      </c>
      <c r="O281">
        <v>7</v>
      </c>
      <c r="P281">
        <v>1</v>
      </c>
      <c r="Q281" t="s">
        <v>7</v>
      </c>
      <c r="R281">
        <v>36.313339999999997</v>
      </c>
      <c r="S281">
        <v>-78.552959999999999</v>
      </c>
      <c r="T281" t="s">
        <v>758</v>
      </c>
      <c r="V281">
        <v>1.9271159683546826</v>
      </c>
    </row>
    <row r="282" spans="1:22">
      <c r="A282" t="s">
        <v>751</v>
      </c>
      <c r="B282" t="s">
        <v>897</v>
      </c>
      <c r="C282">
        <v>0.5</v>
      </c>
      <c r="D282" t="s">
        <v>6</v>
      </c>
      <c r="E282" t="s">
        <v>957</v>
      </c>
      <c r="F282" t="s">
        <v>901</v>
      </c>
      <c r="G282" t="s">
        <v>897</v>
      </c>
      <c r="H282">
        <v>1.984</v>
      </c>
      <c r="J282" s="600" t="s">
        <v>767</v>
      </c>
      <c r="K282">
        <v>107434441</v>
      </c>
      <c r="L282" s="2">
        <v>45146</v>
      </c>
      <c r="M282">
        <v>24</v>
      </c>
      <c r="N282">
        <v>1</v>
      </c>
      <c r="O282">
        <v>8</v>
      </c>
      <c r="P282">
        <v>1</v>
      </c>
      <c r="Q282" t="s">
        <v>3</v>
      </c>
    </row>
    <row r="283" spans="1:22">
      <c r="A283" t="s">
        <v>751</v>
      </c>
      <c r="B283" t="s">
        <v>949</v>
      </c>
      <c r="C283">
        <v>2.5999999999999999E-2</v>
      </c>
      <c r="D283" t="s">
        <v>753</v>
      </c>
      <c r="E283" t="s">
        <v>943</v>
      </c>
      <c r="F283" t="s">
        <v>948</v>
      </c>
      <c r="G283" t="s">
        <v>949</v>
      </c>
      <c r="H283">
        <v>999.99900000000002</v>
      </c>
      <c r="J283" s="600" t="s">
        <v>767</v>
      </c>
      <c r="K283">
        <v>107445952</v>
      </c>
      <c r="L283" s="2">
        <v>45170</v>
      </c>
      <c r="M283">
        <v>28</v>
      </c>
      <c r="N283">
        <v>1</v>
      </c>
      <c r="O283">
        <v>0</v>
      </c>
      <c r="P283">
        <v>1</v>
      </c>
      <c r="Q283" t="s">
        <v>7</v>
      </c>
      <c r="R283">
        <v>36.313470000000002</v>
      </c>
      <c r="S283">
        <v>-78.552390000000003</v>
      </c>
      <c r="T283" t="s">
        <v>758</v>
      </c>
      <c r="V283">
        <v>1.9596986832347121</v>
      </c>
    </row>
    <row r="284" spans="1:22">
      <c r="A284" t="s">
        <v>867</v>
      </c>
      <c r="B284" t="s">
        <v>924</v>
      </c>
      <c r="C284">
        <v>0</v>
      </c>
      <c r="E284" t="s">
        <v>869</v>
      </c>
      <c r="F284" t="s">
        <v>881</v>
      </c>
      <c r="G284" t="s">
        <v>925</v>
      </c>
      <c r="H284">
        <v>17.59</v>
      </c>
      <c r="J284" s="600" t="s">
        <v>767</v>
      </c>
      <c r="K284">
        <v>107580773</v>
      </c>
      <c r="L284" s="2">
        <v>45195</v>
      </c>
      <c r="M284">
        <v>21</v>
      </c>
      <c r="N284">
        <v>1</v>
      </c>
      <c r="O284">
        <v>0</v>
      </c>
      <c r="P284">
        <v>1</v>
      </c>
      <c r="Q284" t="s">
        <v>7</v>
      </c>
    </row>
    <row r="285" spans="1:22">
      <c r="A285" t="s">
        <v>867</v>
      </c>
      <c r="B285" t="s">
        <v>936</v>
      </c>
      <c r="C285">
        <v>0</v>
      </c>
      <c r="E285" t="s">
        <v>869</v>
      </c>
      <c r="F285" t="s">
        <v>869</v>
      </c>
      <c r="G285" t="s">
        <v>883</v>
      </c>
      <c r="H285">
        <v>20.498000000000001</v>
      </c>
      <c r="J285" s="600" t="s">
        <v>767</v>
      </c>
      <c r="K285">
        <v>107528341</v>
      </c>
      <c r="L285" s="2">
        <v>45237</v>
      </c>
      <c r="M285">
        <v>24</v>
      </c>
      <c r="N285">
        <v>1</v>
      </c>
      <c r="O285">
        <v>7</v>
      </c>
      <c r="P285">
        <v>1</v>
      </c>
      <c r="Q285" t="s">
        <v>7</v>
      </c>
    </row>
    <row r="286" spans="1:22">
      <c r="A286" t="s">
        <v>751</v>
      </c>
      <c r="B286" t="s">
        <v>949</v>
      </c>
      <c r="C286">
        <v>0</v>
      </c>
      <c r="E286" t="s">
        <v>897</v>
      </c>
      <c r="F286" t="s">
        <v>901</v>
      </c>
      <c r="G286" t="s">
        <v>949</v>
      </c>
      <c r="H286">
        <v>14.055</v>
      </c>
      <c r="J286" s="600" t="s">
        <v>767</v>
      </c>
      <c r="K286">
        <v>107522308</v>
      </c>
      <c r="L286" s="2">
        <v>45239</v>
      </c>
      <c r="M286">
        <v>30</v>
      </c>
      <c r="N286">
        <v>1</v>
      </c>
      <c r="O286">
        <v>7</v>
      </c>
      <c r="P286">
        <v>5</v>
      </c>
      <c r="Q286" t="s">
        <v>8</v>
      </c>
    </row>
    <row r="287" spans="1:22">
      <c r="A287" t="s">
        <v>867</v>
      </c>
      <c r="B287" t="s">
        <v>936</v>
      </c>
      <c r="C287">
        <v>0</v>
      </c>
      <c r="E287" t="s">
        <v>869</v>
      </c>
      <c r="F287" t="s">
        <v>936</v>
      </c>
      <c r="G287" t="s">
        <v>883</v>
      </c>
      <c r="H287">
        <v>20.498000000000001</v>
      </c>
      <c r="J287" s="600" t="s">
        <v>767</v>
      </c>
      <c r="K287">
        <v>107537539</v>
      </c>
      <c r="L287" s="2">
        <v>45248</v>
      </c>
      <c r="M287">
        <v>27</v>
      </c>
      <c r="N287">
        <v>1</v>
      </c>
      <c r="O287">
        <v>0</v>
      </c>
      <c r="P287">
        <v>4</v>
      </c>
      <c r="Q287" t="s">
        <v>3</v>
      </c>
    </row>
    <row r="288" spans="1:22">
      <c r="A288" t="s">
        <v>751</v>
      </c>
      <c r="B288" t="s">
        <v>897</v>
      </c>
      <c r="C288">
        <v>0.5</v>
      </c>
      <c r="D288" t="s">
        <v>753</v>
      </c>
      <c r="E288" t="s">
        <v>956</v>
      </c>
      <c r="F288" t="s">
        <v>960</v>
      </c>
      <c r="G288" t="s">
        <v>897</v>
      </c>
      <c r="H288">
        <v>4.6059999999999999</v>
      </c>
      <c r="J288" s="600" t="s">
        <v>767</v>
      </c>
      <c r="K288">
        <v>107534530</v>
      </c>
      <c r="L288" s="2">
        <v>45249</v>
      </c>
      <c r="M288">
        <v>19</v>
      </c>
      <c r="N288">
        <v>1</v>
      </c>
      <c r="O288">
        <v>0</v>
      </c>
      <c r="P288">
        <v>1</v>
      </c>
      <c r="Q288" t="s">
        <v>7</v>
      </c>
    </row>
    <row r="289" spans="1:22">
      <c r="A289" t="s">
        <v>751</v>
      </c>
      <c r="B289" t="s">
        <v>897</v>
      </c>
      <c r="C289">
        <v>0.2</v>
      </c>
      <c r="D289" t="s">
        <v>6</v>
      </c>
      <c r="E289" t="s">
        <v>901</v>
      </c>
      <c r="F289" t="s">
        <v>949</v>
      </c>
      <c r="G289" t="s">
        <v>897</v>
      </c>
      <c r="H289">
        <v>1.008</v>
      </c>
      <c r="J289" s="600" t="s">
        <v>767</v>
      </c>
      <c r="K289">
        <v>107555740</v>
      </c>
      <c r="L289" s="2">
        <v>45258</v>
      </c>
      <c r="M289">
        <v>21</v>
      </c>
      <c r="N289">
        <v>1</v>
      </c>
      <c r="O289">
        <v>0</v>
      </c>
      <c r="P289">
        <v>1</v>
      </c>
      <c r="Q289" t="s">
        <v>7</v>
      </c>
    </row>
    <row r="290" spans="1:22">
      <c r="A290" t="s">
        <v>867</v>
      </c>
      <c r="B290" t="s">
        <v>869</v>
      </c>
      <c r="C290">
        <v>0</v>
      </c>
      <c r="E290" t="s">
        <v>926</v>
      </c>
      <c r="F290" t="s">
        <v>930</v>
      </c>
      <c r="G290" t="s">
        <v>869</v>
      </c>
      <c r="H290">
        <v>0.09</v>
      </c>
      <c r="J290" s="600" t="s">
        <v>767</v>
      </c>
      <c r="K290">
        <v>107575368</v>
      </c>
      <c r="L290" s="2">
        <v>45265</v>
      </c>
      <c r="M290">
        <v>32</v>
      </c>
      <c r="N290">
        <v>1</v>
      </c>
      <c r="O290">
        <v>0</v>
      </c>
      <c r="P290">
        <v>2</v>
      </c>
      <c r="Q290" t="s">
        <v>3</v>
      </c>
    </row>
    <row r="291" spans="1:22">
      <c r="A291" t="s">
        <v>751</v>
      </c>
      <c r="B291" t="s">
        <v>949</v>
      </c>
      <c r="C291">
        <v>0</v>
      </c>
      <c r="E291" t="s">
        <v>943</v>
      </c>
      <c r="F291" t="s">
        <v>948</v>
      </c>
      <c r="G291" t="s">
        <v>949</v>
      </c>
      <c r="H291">
        <v>999.99900000000002</v>
      </c>
      <c r="J291" s="600" t="s">
        <v>767</v>
      </c>
      <c r="K291">
        <v>107573677</v>
      </c>
      <c r="L291" s="2">
        <v>45276</v>
      </c>
      <c r="M291">
        <v>30</v>
      </c>
      <c r="N291">
        <v>1</v>
      </c>
      <c r="O291">
        <v>7</v>
      </c>
      <c r="P291">
        <v>1</v>
      </c>
      <c r="Q291" t="s">
        <v>8</v>
      </c>
      <c r="R291">
        <v>36.313330000000001</v>
      </c>
      <c r="S291">
        <v>-78.553070000000005</v>
      </c>
      <c r="T291" t="s">
        <v>758</v>
      </c>
      <c r="V291">
        <v>1.9209530182706198</v>
      </c>
    </row>
    <row r="292" spans="1:22">
      <c r="A292" t="s">
        <v>850</v>
      </c>
      <c r="B292" t="s">
        <v>762</v>
      </c>
      <c r="C292">
        <v>0.01</v>
      </c>
      <c r="D292" t="s">
        <v>754</v>
      </c>
      <c r="E292" t="s">
        <v>762</v>
      </c>
      <c r="F292" t="s">
        <v>941</v>
      </c>
      <c r="G292" t="s">
        <v>940</v>
      </c>
      <c r="H292">
        <v>5.0830000000000002</v>
      </c>
      <c r="J292" s="600" t="s">
        <v>767</v>
      </c>
      <c r="K292">
        <v>107809369</v>
      </c>
      <c r="L292" s="2">
        <v>45300</v>
      </c>
      <c r="M292">
        <v>21</v>
      </c>
      <c r="N292">
        <v>2</v>
      </c>
      <c r="P292">
        <v>1</v>
      </c>
      <c r="Q292" t="s">
        <v>7</v>
      </c>
    </row>
    <row r="293" spans="1:22">
      <c r="A293" t="s">
        <v>867</v>
      </c>
      <c r="B293" t="s">
        <v>881</v>
      </c>
      <c r="C293">
        <v>0</v>
      </c>
      <c r="E293" t="s">
        <v>869</v>
      </c>
      <c r="F293" t="s">
        <v>862</v>
      </c>
      <c r="G293" t="s">
        <v>938</v>
      </c>
      <c r="H293">
        <v>17.824000000000002</v>
      </c>
      <c r="J293" s="600" t="s">
        <v>767</v>
      </c>
      <c r="K293">
        <v>107611249</v>
      </c>
      <c r="L293" s="2">
        <v>45317</v>
      </c>
      <c r="M293">
        <v>21</v>
      </c>
      <c r="N293">
        <v>2</v>
      </c>
      <c r="O293">
        <v>0</v>
      </c>
      <c r="P293">
        <v>4</v>
      </c>
      <c r="Q293" t="s">
        <v>7</v>
      </c>
    </row>
    <row r="294" spans="1:22">
      <c r="A294" t="s">
        <v>751</v>
      </c>
      <c r="B294" t="s">
        <v>897</v>
      </c>
      <c r="C294">
        <v>0</v>
      </c>
      <c r="E294" t="s">
        <v>945</v>
      </c>
      <c r="F294" t="s">
        <v>883</v>
      </c>
      <c r="G294" t="s">
        <v>897</v>
      </c>
      <c r="H294">
        <v>999.99900000000002</v>
      </c>
      <c r="J294" s="600" t="s">
        <v>767</v>
      </c>
      <c r="K294">
        <v>107609658</v>
      </c>
      <c r="L294" s="2">
        <v>45321</v>
      </c>
      <c r="M294">
        <v>21</v>
      </c>
      <c r="N294">
        <v>1</v>
      </c>
      <c r="O294">
        <v>7</v>
      </c>
      <c r="P294">
        <v>1</v>
      </c>
      <c r="Q294" t="s">
        <v>3</v>
      </c>
    </row>
    <row r="295" spans="1:22">
      <c r="A295" t="s">
        <v>751</v>
      </c>
      <c r="B295" t="s">
        <v>949</v>
      </c>
      <c r="C295">
        <v>0</v>
      </c>
      <c r="E295" t="s">
        <v>897</v>
      </c>
      <c r="F295" t="s">
        <v>901</v>
      </c>
      <c r="G295" t="s">
        <v>949</v>
      </c>
      <c r="H295">
        <v>14.055</v>
      </c>
      <c r="J295" s="600" t="s">
        <v>767</v>
      </c>
      <c r="K295">
        <v>107636167</v>
      </c>
      <c r="L295" s="2">
        <v>45347</v>
      </c>
      <c r="M295">
        <v>28</v>
      </c>
      <c r="N295">
        <v>1</v>
      </c>
      <c r="O295">
        <v>7</v>
      </c>
      <c r="P295">
        <v>1</v>
      </c>
      <c r="Q295" t="s">
        <v>7</v>
      </c>
    </row>
    <row r="296" spans="1:22">
      <c r="A296" t="s">
        <v>751</v>
      </c>
      <c r="B296" t="s">
        <v>943</v>
      </c>
      <c r="C296">
        <v>1</v>
      </c>
      <c r="D296" t="s">
        <v>6</v>
      </c>
      <c r="E296" t="s">
        <v>973</v>
      </c>
      <c r="F296" t="s">
        <v>974</v>
      </c>
      <c r="G296" t="s">
        <v>943</v>
      </c>
      <c r="H296">
        <v>999.99900000000002</v>
      </c>
      <c r="J296" s="600" t="s">
        <v>767</v>
      </c>
      <c r="K296">
        <v>107663764</v>
      </c>
      <c r="L296" s="2">
        <v>45367</v>
      </c>
      <c r="M296">
        <v>28</v>
      </c>
      <c r="N296">
        <v>1</v>
      </c>
      <c r="O296">
        <v>0</v>
      </c>
      <c r="P296">
        <v>1</v>
      </c>
      <c r="Q296" t="s">
        <v>3</v>
      </c>
      <c r="R296">
        <v>36.238799999999998</v>
      </c>
      <c r="S296">
        <v>-78.554450000000003</v>
      </c>
      <c r="T296" t="s">
        <v>758</v>
      </c>
      <c r="V296">
        <v>5.2510331566569599</v>
      </c>
    </row>
    <row r="297" spans="1:22">
      <c r="A297" t="s">
        <v>867</v>
      </c>
      <c r="B297" t="s">
        <v>869</v>
      </c>
      <c r="C297">
        <v>0</v>
      </c>
      <c r="E297" t="s">
        <v>926</v>
      </c>
      <c r="F297" t="s">
        <v>924</v>
      </c>
      <c r="G297" t="s">
        <v>869</v>
      </c>
      <c r="H297">
        <v>0.09</v>
      </c>
      <c r="J297" s="600" t="s">
        <v>767</v>
      </c>
      <c r="K297">
        <v>107674223</v>
      </c>
      <c r="L297" s="2">
        <v>45372</v>
      </c>
      <c r="M297">
        <v>28</v>
      </c>
      <c r="N297">
        <v>1</v>
      </c>
      <c r="O297">
        <v>0</v>
      </c>
      <c r="P297">
        <v>1</v>
      </c>
      <c r="Q297" t="s">
        <v>7</v>
      </c>
    </row>
    <row r="298" spans="1:22">
      <c r="A298" t="s">
        <v>751</v>
      </c>
      <c r="B298" t="s">
        <v>897</v>
      </c>
      <c r="C298">
        <v>0</v>
      </c>
      <c r="E298" t="s">
        <v>949</v>
      </c>
      <c r="F298" t="s">
        <v>883</v>
      </c>
      <c r="G298" t="s">
        <v>897</v>
      </c>
      <c r="H298">
        <v>0.88200000000000001</v>
      </c>
      <c r="J298" s="600" t="s">
        <v>767</v>
      </c>
      <c r="K298">
        <v>107684903</v>
      </c>
      <c r="L298" s="2">
        <v>45393</v>
      </c>
      <c r="M298">
        <v>25</v>
      </c>
      <c r="N298">
        <v>1</v>
      </c>
      <c r="O298">
        <v>7</v>
      </c>
      <c r="P298">
        <v>1</v>
      </c>
      <c r="Q298" t="s">
        <v>7</v>
      </c>
    </row>
    <row r="299" spans="1:22">
      <c r="A299" t="s">
        <v>751</v>
      </c>
      <c r="B299" t="s">
        <v>949</v>
      </c>
      <c r="C299">
        <v>0</v>
      </c>
      <c r="E299" t="s">
        <v>897</v>
      </c>
      <c r="F299" t="s">
        <v>883</v>
      </c>
      <c r="G299" t="s">
        <v>949</v>
      </c>
      <c r="H299">
        <v>14.055</v>
      </c>
      <c r="J299" s="600" t="s">
        <v>767</v>
      </c>
      <c r="K299">
        <v>107684984</v>
      </c>
      <c r="L299" s="2">
        <v>45393</v>
      </c>
      <c r="M299">
        <v>21</v>
      </c>
      <c r="N299">
        <v>1</v>
      </c>
      <c r="O299">
        <v>7</v>
      </c>
      <c r="P299">
        <v>1</v>
      </c>
      <c r="Q299" t="s">
        <v>7</v>
      </c>
    </row>
    <row r="300" spans="1:22">
      <c r="A300" t="s">
        <v>850</v>
      </c>
      <c r="B300" t="s">
        <v>872</v>
      </c>
      <c r="C300">
        <v>0.25</v>
      </c>
      <c r="D300" t="s">
        <v>6</v>
      </c>
      <c r="E300" t="s">
        <v>862</v>
      </c>
      <c r="F300" t="s">
        <v>910</v>
      </c>
      <c r="G300" t="s">
        <v>909</v>
      </c>
      <c r="H300">
        <v>2.6179999999999999</v>
      </c>
      <c r="J300" s="600" t="s">
        <v>767</v>
      </c>
      <c r="K300">
        <v>107769572</v>
      </c>
      <c r="L300" s="2">
        <v>45444</v>
      </c>
      <c r="M300">
        <v>21</v>
      </c>
      <c r="N300">
        <v>1</v>
      </c>
      <c r="O300">
        <v>25</v>
      </c>
      <c r="P300">
        <v>1</v>
      </c>
      <c r="Q300" t="s">
        <v>7</v>
      </c>
    </row>
    <row r="301" spans="1:22">
      <c r="A301" t="s">
        <v>867</v>
      </c>
      <c r="B301" t="s">
        <v>924</v>
      </c>
      <c r="C301">
        <v>0</v>
      </c>
      <c r="E301" t="s">
        <v>869</v>
      </c>
      <c r="F301" t="s">
        <v>881</v>
      </c>
      <c r="G301" t="s">
        <v>925</v>
      </c>
      <c r="H301">
        <v>17.59</v>
      </c>
      <c r="J301" s="600" t="s">
        <v>767</v>
      </c>
      <c r="K301">
        <v>107751515</v>
      </c>
      <c r="L301" s="2">
        <v>45457</v>
      </c>
      <c r="M301">
        <v>30</v>
      </c>
      <c r="N301">
        <v>1</v>
      </c>
      <c r="O301">
        <v>0</v>
      </c>
      <c r="P301">
        <v>1</v>
      </c>
      <c r="Q301" t="s">
        <v>7</v>
      </c>
    </row>
    <row r="302" spans="1:22">
      <c r="A302" t="s">
        <v>867</v>
      </c>
      <c r="B302" t="s">
        <v>888</v>
      </c>
      <c r="C302">
        <v>0.2</v>
      </c>
      <c r="D302" t="s">
        <v>760</v>
      </c>
      <c r="E302" t="s">
        <v>891</v>
      </c>
      <c r="F302" t="s">
        <v>867</v>
      </c>
      <c r="H302">
        <v>999.99900000000002</v>
      </c>
      <c r="J302" s="600" t="s">
        <v>767</v>
      </c>
      <c r="K302">
        <v>107762881</v>
      </c>
      <c r="L302" s="2">
        <v>45459</v>
      </c>
      <c r="M302">
        <v>1</v>
      </c>
      <c r="N302">
        <v>1</v>
      </c>
      <c r="O302">
        <v>0</v>
      </c>
      <c r="P302">
        <v>1</v>
      </c>
      <c r="Q302" t="s">
        <v>7</v>
      </c>
    </row>
    <row r="303" spans="1:22">
      <c r="A303" t="s">
        <v>867</v>
      </c>
      <c r="B303" t="s">
        <v>924</v>
      </c>
      <c r="C303">
        <v>0</v>
      </c>
      <c r="E303" t="s">
        <v>869</v>
      </c>
      <c r="F303" t="s">
        <v>926</v>
      </c>
      <c r="G303" t="s">
        <v>925</v>
      </c>
      <c r="H303">
        <v>17.59</v>
      </c>
      <c r="J303" s="600" t="s">
        <v>767</v>
      </c>
      <c r="K303">
        <v>107781271</v>
      </c>
      <c r="L303" s="2">
        <v>45473</v>
      </c>
      <c r="M303">
        <v>30</v>
      </c>
      <c r="N303">
        <v>2</v>
      </c>
      <c r="O303">
        <v>7</v>
      </c>
      <c r="P303">
        <v>1</v>
      </c>
      <c r="Q303" t="s">
        <v>7</v>
      </c>
    </row>
    <row r="304" spans="1:22">
      <c r="A304" t="s">
        <v>850</v>
      </c>
      <c r="B304" t="s">
        <v>762</v>
      </c>
      <c r="C304">
        <v>6.0000000000000001E-3</v>
      </c>
      <c r="D304" t="s">
        <v>755</v>
      </c>
      <c r="E304" t="s">
        <v>918</v>
      </c>
      <c r="F304" t="s">
        <v>916</v>
      </c>
      <c r="G304" t="s">
        <v>909</v>
      </c>
      <c r="H304">
        <v>3.22</v>
      </c>
      <c r="J304" s="600" t="s">
        <v>767</v>
      </c>
      <c r="K304">
        <v>107809377</v>
      </c>
      <c r="L304" s="2">
        <v>45496</v>
      </c>
      <c r="M304">
        <v>21</v>
      </c>
      <c r="N304">
        <v>1</v>
      </c>
      <c r="O304">
        <v>0</v>
      </c>
      <c r="P304">
        <v>1</v>
      </c>
      <c r="Q304" t="s">
        <v>3</v>
      </c>
    </row>
    <row r="305" spans="1:22">
      <c r="A305" t="s">
        <v>850</v>
      </c>
      <c r="B305" t="s">
        <v>913</v>
      </c>
      <c r="C305">
        <v>0</v>
      </c>
      <c r="E305" t="s">
        <v>762</v>
      </c>
      <c r="F305" t="s">
        <v>913</v>
      </c>
      <c r="G305" t="s">
        <v>909</v>
      </c>
      <c r="H305">
        <v>3.2839999999999998</v>
      </c>
      <c r="J305" s="600" t="s">
        <v>767</v>
      </c>
      <c r="K305">
        <v>107809381</v>
      </c>
      <c r="L305" s="2">
        <v>45496</v>
      </c>
      <c r="M305">
        <v>22</v>
      </c>
      <c r="N305">
        <v>1</v>
      </c>
      <c r="O305">
        <v>7</v>
      </c>
      <c r="P305">
        <v>1</v>
      </c>
      <c r="Q305" t="s">
        <v>7</v>
      </c>
    </row>
    <row r="306" spans="1:22">
      <c r="A306" t="s">
        <v>751</v>
      </c>
      <c r="B306" t="s">
        <v>888</v>
      </c>
      <c r="C306">
        <v>0</v>
      </c>
      <c r="D306" t="s">
        <v>6</v>
      </c>
      <c r="E306" t="s">
        <v>892</v>
      </c>
      <c r="F306" t="s">
        <v>893</v>
      </c>
      <c r="H306">
        <v>999.99900000000002</v>
      </c>
      <c r="J306" s="600" t="s">
        <v>767</v>
      </c>
      <c r="K306">
        <v>107818720</v>
      </c>
      <c r="L306" s="2">
        <v>45511</v>
      </c>
      <c r="M306">
        <v>24</v>
      </c>
      <c r="N306">
        <v>1</v>
      </c>
      <c r="O306">
        <v>0</v>
      </c>
      <c r="P306">
        <v>1</v>
      </c>
      <c r="Q306" t="s">
        <v>7</v>
      </c>
    </row>
    <row r="307" spans="1:22">
      <c r="A307" t="s">
        <v>867</v>
      </c>
      <c r="B307" t="s">
        <v>891</v>
      </c>
      <c r="C307">
        <v>0</v>
      </c>
      <c r="E307" t="s">
        <v>869</v>
      </c>
      <c r="F307" t="s">
        <v>907</v>
      </c>
      <c r="G307" t="s">
        <v>953</v>
      </c>
      <c r="H307">
        <v>2.6850000000000001</v>
      </c>
      <c r="J307" s="600" t="s">
        <v>767</v>
      </c>
      <c r="K307">
        <v>107817082</v>
      </c>
      <c r="L307" s="2">
        <v>45515</v>
      </c>
      <c r="M307">
        <v>23</v>
      </c>
      <c r="N307">
        <v>1</v>
      </c>
      <c r="O307">
        <v>0</v>
      </c>
      <c r="P307">
        <v>1</v>
      </c>
      <c r="Q307" t="s">
        <v>7</v>
      </c>
    </row>
    <row r="308" spans="1:22">
      <c r="A308" t="s">
        <v>850</v>
      </c>
      <c r="B308" t="s">
        <v>762</v>
      </c>
      <c r="C308">
        <v>3.7999999999999999E-2</v>
      </c>
      <c r="D308" t="s">
        <v>6</v>
      </c>
      <c r="E308" t="s">
        <v>919</v>
      </c>
      <c r="F308" t="s">
        <v>918</v>
      </c>
      <c r="G308" t="s">
        <v>909</v>
      </c>
      <c r="H308">
        <v>3.2469999999999999</v>
      </c>
      <c r="J308" s="600" t="s">
        <v>767</v>
      </c>
      <c r="K308">
        <v>107834102</v>
      </c>
      <c r="L308" s="2">
        <v>45527</v>
      </c>
      <c r="M308">
        <v>28</v>
      </c>
      <c r="N308">
        <v>1</v>
      </c>
      <c r="O308">
        <v>0</v>
      </c>
      <c r="P308">
        <v>1</v>
      </c>
      <c r="Q308" t="s">
        <v>7</v>
      </c>
    </row>
    <row r="309" spans="1:22">
      <c r="A309" t="s">
        <v>751</v>
      </c>
      <c r="B309" t="s">
        <v>949</v>
      </c>
      <c r="C309">
        <v>0</v>
      </c>
      <c r="E309" t="s">
        <v>897</v>
      </c>
      <c r="F309" t="s">
        <v>988</v>
      </c>
      <c r="G309" t="s">
        <v>949</v>
      </c>
      <c r="H309">
        <v>14.055</v>
      </c>
      <c r="J309" s="600" t="s">
        <v>767</v>
      </c>
      <c r="K309">
        <v>107839492</v>
      </c>
      <c r="L309" s="2">
        <v>45533</v>
      </c>
      <c r="M309">
        <v>30</v>
      </c>
      <c r="N309">
        <v>1</v>
      </c>
      <c r="O309">
        <v>7</v>
      </c>
      <c r="P309">
        <v>1</v>
      </c>
      <c r="Q309" t="s">
        <v>7</v>
      </c>
    </row>
    <row r="310" spans="1:22">
      <c r="A310" t="s">
        <v>751</v>
      </c>
      <c r="B310" t="s">
        <v>949</v>
      </c>
      <c r="C310">
        <v>0</v>
      </c>
      <c r="E310" t="s">
        <v>943</v>
      </c>
      <c r="F310" t="s">
        <v>988</v>
      </c>
      <c r="G310" t="s">
        <v>949</v>
      </c>
      <c r="H310">
        <v>999.99900000000002</v>
      </c>
      <c r="J310" s="600" t="s">
        <v>767</v>
      </c>
      <c r="K310">
        <v>107862265</v>
      </c>
      <c r="L310" s="2">
        <v>45554</v>
      </c>
      <c r="M310">
        <v>24</v>
      </c>
      <c r="N310">
        <v>1</v>
      </c>
      <c r="O310">
        <v>7</v>
      </c>
      <c r="P310">
        <v>1</v>
      </c>
      <c r="Q310" t="s">
        <v>3</v>
      </c>
      <c r="R310">
        <v>36.313448000000001</v>
      </c>
      <c r="S310">
        <v>-78.552729999999997</v>
      </c>
      <c r="T310" t="s">
        <v>758</v>
      </c>
      <c r="V310">
        <v>1.9407247590354566</v>
      </c>
    </row>
    <row r="311" spans="1:22">
      <c r="A311" t="s">
        <v>751</v>
      </c>
      <c r="B311" t="s">
        <v>949</v>
      </c>
      <c r="C311">
        <v>0</v>
      </c>
      <c r="E311" t="s">
        <v>897</v>
      </c>
      <c r="F311" t="s">
        <v>899</v>
      </c>
      <c r="G311" t="s">
        <v>949</v>
      </c>
      <c r="H311">
        <v>14.055</v>
      </c>
      <c r="J311" s="600" t="s">
        <v>767</v>
      </c>
      <c r="K311">
        <v>107892257</v>
      </c>
      <c r="L311" s="2">
        <v>45583</v>
      </c>
      <c r="M311">
        <v>30</v>
      </c>
      <c r="N311">
        <v>1</v>
      </c>
      <c r="O311">
        <v>7</v>
      </c>
      <c r="P311">
        <v>1</v>
      </c>
      <c r="Q311" t="s">
        <v>3</v>
      </c>
    </row>
    <row r="312" spans="1:22">
      <c r="A312" t="s">
        <v>850</v>
      </c>
      <c r="B312" t="s">
        <v>865</v>
      </c>
      <c r="C312">
        <v>0</v>
      </c>
      <c r="E312" t="s">
        <v>762</v>
      </c>
      <c r="F312" t="s">
        <v>984</v>
      </c>
      <c r="G312" t="s">
        <v>985</v>
      </c>
      <c r="H312">
        <v>0</v>
      </c>
      <c r="J312" s="600" t="s">
        <v>767</v>
      </c>
      <c r="K312">
        <v>107943710</v>
      </c>
      <c r="L312" s="2">
        <v>45586</v>
      </c>
      <c r="M312">
        <v>31</v>
      </c>
      <c r="N312">
        <v>1</v>
      </c>
      <c r="O312">
        <v>0</v>
      </c>
      <c r="P312">
        <v>1</v>
      </c>
      <c r="Q312" t="s">
        <v>7</v>
      </c>
    </row>
    <row r="313" spans="1:22">
      <c r="A313" t="s">
        <v>751</v>
      </c>
      <c r="B313" t="s">
        <v>897</v>
      </c>
      <c r="C313">
        <v>0.2</v>
      </c>
      <c r="D313" t="s">
        <v>754</v>
      </c>
      <c r="E313" t="s">
        <v>901</v>
      </c>
      <c r="F313" t="s">
        <v>899</v>
      </c>
      <c r="G313" t="s">
        <v>897</v>
      </c>
      <c r="H313">
        <v>1.4079999999999999</v>
      </c>
      <c r="J313" s="600" t="s">
        <v>767</v>
      </c>
      <c r="K313">
        <v>107906579</v>
      </c>
      <c r="L313" s="2">
        <v>45590</v>
      </c>
      <c r="M313">
        <v>21</v>
      </c>
      <c r="N313">
        <v>1</v>
      </c>
      <c r="O313">
        <v>4</v>
      </c>
      <c r="P313">
        <v>1</v>
      </c>
      <c r="Q313" t="s">
        <v>8</v>
      </c>
    </row>
    <row r="314" spans="1:22">
      <c r="A314" t="s">
        <v>867</v>
      </c>
      <c r="B314" t="s">
        <v>869</v>
      </c>
      <c r="C314">
        <v>0</v>
      </c>
      <c r="E314" t="s">
        <v>902</v>
      </c>
      <c r="F314" t="s">
        <v>891</v>
      </c>
      <c r="G314" t="s">
        <v>869</v>
      </c>
      <c r="H314">
        <v>0.4</v>
      </c>
      <c r="J314" s="600" t="s">
        <v>767</v>
      </c>
      <c r="K314">
        <v>107902716</v>
      </c>
      <c r="L314" s="2">
        <v>45595</v>
      </c>
      <c r="M314">
        <v>30</v>
      </c>
      <c r="N314">
        <v>1</v>
      </c>
      <c r="O314">
        <v>0</v>
      </c>
      <c r="P314">
        <v>5</v>
      </c>
    </row>
    <row r="315" spans="1:22">
      <c r="A315" t="s">
        <v>867</v>
      </c>
      <c r="B315" t="s">
        <v>936</v>
      </c>
      <c r="C315">
        <v>0</v>
      </c>
      <c r="E315" t="s">
        <v>869</v>
      </c>
      <c r="F315" t="s">
        <v>936</v>
      </c>
      <c r="G315" t="s">
        <v>883</v>
      </c>
      <c r="H315">
        <v>20.498000000000001</v>
      </c>
      <c r="J315" s="600" t="s">
        <v>767</v>
      </c>
      <c r="K315">
        <v>107914606</v>
      </c>
      <c r="L315" s="2">
        <v>45605</v>
      </c>
      <c r="M315">
        <v>30</v>
      </c>
      <c r="N315">
        <v>1</v>
      </c>
      <c r="O315">
        <v>0</v>
      </c>
      <c r="P315">
        <v>1</v>
      </c>
      <c r="Q315" t="s">
        <v>7</v>
      </c>
    </row>
    <row r="316" spans="1:22">
      <c r="A316" t="s">
        <v>751</v>
      </c>
      <c r="B316" t="s">
        <v>949</v>
      </c>
      <c r="C316">
        <v>1.9E-2</v>
      </c>
      <c r="D316" t="s">
        <v>6</v>
      </c>
      <c r="E316" t="s">
        <v>897</v>
      </c>
      <c r="F316" t="s">
        <v>988</v>
      </c>
      <c r="G316" t="s">
        <v>949</v>
      </c>
      <c r="H316">
        <v>14.074</v>
      </c>
      <c r="J316" s="600" t="s">
        <v>767</v>
      </c>
      <c r="K316">
        <v>107935430</v>
      </c>
      <c r="L316" s="2">
        <v>45605</v>
      </c>
      <c r="M316">
        <v>19</v>
      </c>
      <c r="N316">
        <v>2</v>
      </c>
      <c r="O316">
        <v>0</v>
      </c>
      <c r="P316">
        <v>4</v>
      </c>
      <c r="Q316" t="s">
        <v>7</v>
      </c>
    </row>
    <row r="317" spans="1:22">
      <c r="A317" t="s">
        <v>867</v>
      </c>
      <c r="B317" t="s">
        <v>924</v>
      </c>
      <c r="C317">
        <v>0</v>
      </c>
      <c r="E317" t="s">
        <v>869</v>
      </c>
      <c r="F317" t="s">
        <v>881</v>
      </c>
      <c r="G317" t="s">
        <v>925</v>
      </c>
      <c r="H317">
        <v>17.59</v>
      </c>
      <c r="J317" s="600" t="s">
        <v>767</v>
      </c>
      <c r="K317">
        <v>107917628</v>
      </c>
      <c r="L317" s="2">
        <v>45608</v>
      </c>
      <c r="M317">
        <v>21</v>
      </c>
      <c r="N317">
        <v>1</v>
      </c>
      <c r="O317">
        <v>0</v>
      </c>
      <c r="P317">
        <v>1</v>
      </c>
      <c r="Q317" t="s">
        <v>7</v>
      </c>
    </row>
    <row r="318" spans="1:22">
      <c r="A318" t="s">
        <v>850</v>
      </c>
      <c r="B318" t="s">
        <v>762</v>
      </c>
      <c r="C318">
        <v>0</v>
      </c>
      <c r="E318" t="s">
        <v>916</v>
      </c>
      <c r="F318" t="s">
        <v>762</v>
      </c>
      <c r="G318" t="s">
        <v>909</v>
      </c>
      <c r="H318">
        <v>3.206</v>
      </c>
      <c r="J318" s="600" t="s">
        <v>767</v>
      </c>
      <c r="K318">
        <v>107938369</v>
      </c>
      <c r="L318" s="2">
        <v>45611</v>
      </c>
      <c r="M318">
        <v>1</v>
      </c>
      <c r="N318">
        <v>2</v>
      </c>
      <c r="O318">
        <v>25</v>
      </c>
      <c r="P318">
        <v>4</v>
      </c>
      <c r="Q318" t="s">
        <v>7</v>
      </c>
    </row>
    <row r="319" spans="1:22">
      <c r="A319" t="s">
        <v>751</v>
      </c>
      <c r="B319" t="s">
        <v>897</v>
      </c>
      <c r="C319">
        <v>0.2</v>
      </c>
      <c r="D319" t="s">
        <v>6</v>
      </c>
      <c r="E319" t="s">
        <v>948</v>
      </c>
      <c r="F319" t="s">
        <v>957</v>
      </c>
      <c r="G319" t="s">
        <v>897</v>
      </c>
      <c r="H319">
        <v>2.9039999999999999</v>
      </c>
      <c r="J319" s="600" t="s">
        <v>767</v>
      </c>
      <c r="K319">
        <v>107935293</v>
      </c>
      <c r="L319" s="2">
        <v>45619</v>
      </c>
      <c r="M319">
        <v>17</v>
      </c>
      <c r="N319">
        <v>1</v>
      </c>
      <c r="O319">
        <v>0</v>
      </c>
      <c r="P319">
        <v>1</v>
      </c>
      <c r="Q319" t="s">
        <v>7</v>
      </c>
    </row>
    <row r="320" spans="1:22">
      <c r="A320" t="s">
        <v>751</v>
      </c>
      <c r="B320" t="s">
        <v>949</v>
      </c>
      <c r="C320">
        <v>1.9E-2</v>
      </c>
      <c r="D320" t="s">
        <v>6</v>
      </c>
      <c r="E320" t="s">
        <v>897</v>
      </c>
      <c r="F320" t="s">
        <v>964</v>
      </c>
      <c r="G320" t="s">
        <v>949</v>
      </c>
      <c r="H320">
        <v>14.074</v>
      </c>
      <c r="J320" s="600" t="s">
        <v>767</v>
      </c>
      <c r="K320">
        <v>107980034</v>
      </c>
      <c r="L320" s="2">
        <v>45661</v>
      </c>
      <c r="M320">
        <v>21</v>
      </c>
      <c r="N320">
        <v>1</v>
      </c>
      <c r="O320">
        <v>7</v>
      </c>
      <c r="P320">
        <v>1</v>
      </c>
      <c r="Q320" t="s">
        <v>7</v>
      </c>
    </row>
    <row r="321" spans="1:22">
      <c r="A321" t="s">
        <v>850</v>
      </c>
      <c r="B321" t="s">
        <v>882</v>
      </c>
      <c r="C321">
        <v>0</v>
      </c>
      <c r="E321" t="s">
        <v>762</v>
      </c>
      <c r="F321" t="s">
        <v>883</v>
      </c>
      <c r="H321">
        <v>999.99900000000002</v>
      </c>
      <c r="J321" s="600" t="s">
        <v>767</v>
      </c>
      <c r="K321">
        <v>107993196</v>
      </c>
      <c r="L321" s="2">
        <v>45661</v>
      </c>
      <c r="M321">
        <v>20</v>
      </c>
      <c r="N321">
        <v>1</v>
      </c>
      <c r="O321">
        <v>0</v>
      </c>
      <c r="P321">
        <v>1</v>
      </c>
      <c r="Q321" t="s">
        <v>7</v>
      </c>
    </row>
    <row r="322" spans="1:22">
      <c r="A322" t="s">
        <v>867</v>
      </c>
      <c r="B322" t="s">
        <v>897</v>
      </c>
      <c r="C322">
        <v>0.2</v>
      </c>
      <c r="D322" t="s">
        <v>755</v>
      </c>
      <c r="E322" t="s">
        <v>956</v>
      </c>
      <c r="F322" t="s">
        <v>948</v>
      </c>
      <c r="G322" t="s">
        <v>897</v>
      </c>
      <c r="H322">
        <v>3.9060000000000001</v>
      </c>
      <c r="J322" s="600" t="s">
        <v>767</v>
      </c>
      <c r="K322">
        <v>107996289</v>
      </c>
      <c r="L322" s="2">
        <v>45670</v>
      </c>
      <c r="M322">
        <v>19</v>
      </c>
      <c r="N322">
        <v>2</v>
      </c>
      <c r="O322">
        <v>0</v>
      </c>
      <c r="P322">
        <v>5</v>
      </c>
    </row>
    <row r="323" spans="1:22">
      <c r="A323" t="s">
        <v>867</v>
      </c>
      <c r="B323" t="s">
        <v>869</v>
      </c>
      <c r="C323">
        <v>0</v>
      </c>
      <c r="E323" t="s">
        <v>930</v>
      </c>
      <c r="F323" t="s">
        <v>926</v>
      </c>
      <c r="G323" t="s">
        <v>869</v>
      </c>
      <c r="H323">
        <v>999.99900000000002</v>
      </c>
      <c r="J323" s="600" t="s">
        <v>767</v>
      </c>
      <c r="K323">
        <v>108030889</v>
      </c>
      <c r="L323" s="2">
        <v>45691</v>
      </c>
      <c r="M323">
        <v>13</v>
      </c>
      <c r="N323">
        <v>1</v>
      </c>
      <c r="O323">
        <v>0</v>
      </c>
      <c r="P323">
        <v>4</v>
      </c>
      <c r="Q323" t="s">
        <v>7</v>
      </c>
    </row>
    <row r="324" spans="1:22">
      <c r="A324" t="s">
        <v>867</v>
      </c>
      <c r="B324" t="s">
        <v>869</v>
      </c>
      <c r="C324">
        <v>0</v>
      </c>
      <c r="E324" t="s">
        <v>931</v>
      </c>
      <c r="F324" t="s">
        <v>891</v>
      </c>
      <c r="G324" t="s">
        <v>869</v>
      </c>
      <c r="H324">
        <v>0.47</v>
      </c>
      <c r="J324" s="600" t="s">
        <v>767</v>
      </c>
      <c r="K324">
        <v>108009651</v>
      </c>
      <c r="L324" s="2">
        <v>45692</v>
      </c>
      <c r="M324">
        <v>30</v>
      </c>
      <c r="N324">
        <v>1</v>
      </c>
      <c r="O324">
        <v>0</v>
      </c>
      <c r="P324">
        <v>1</v>
      </c>
      <c r="Q324" t="s">
        <v>7</v>
      </c>
    </row>
    <row r="325" spans="1:22">
      <c r="A325" t="s">
        <v>867</v>
      </c>
      <c r="B325" t="s">
        <v>897</v>
      </c>
      <c r="C325">
        <v>0.17</v>
      </c>
      <c r="D325" t="s">
        <v>755</v>
      </c>
      <c r="E325" t="s">
        <v>956</v>
      </c>
      <c r="F325" t="s">
        <v>948</v>
      </c>
      <c r="G325" t="s">
        <v>897</v>
      </c>
      <c r="H325">
        <v>3.9359999999999999</v>
      </c>
      <c r="J325" s="600" t="s">
        <v>767</v>
      </c>
      <c r="K325">
        <v>108035183</v>
      </c>
      <c r="L325" s="2">
        <v>45699</v>
      </c>
      <c r="M325">
        <v>5</v>
      </c>
      <c r="N325">
        <v>2</v>
      </c>
      <c r="O325">
        <v>0</v>
      </c>
      <c r="P325">
        <v>1</v>
      </c>
      <c r="Q325" t="s">
        <v>8</v>
      </c>
    </row>
    <row r="326" spans="1:22">
      <c r="A326" t="s">
        <v>867</v>
      </c>
      <c r="B326" t="s">
        <v>762</v>
      </c>
      <c r="C326">
        <v>0</v>
      </c>
      <c r="E326" t="s">
        <v>762</v>
      </c>
      <c r="F326" t="s">
        <v>887</v>
      </c>
      <c r="G326" t="s">
        <v>940</v>
      </c>
      <c r="H326">
        <v>5.0730000000000004</v>
      </c>
      <c r="J326" s="600" t="s">
        <v>767</v>
      </c>
      <c r="K326">
        <v>108030890</v>
      </c>
      <c r="L326" s="2">
        <v>45706</v>
      </c>
      <c r="M326">
        <v>19</v>
      </c>
      <c r="N326">
        <v>1</v>
      </c>
      <c r="O326">
        <v>0</v>
      </c>
      <c r="P326">
        <v>1</v>
      </c>
      <c r="Q326" t="s">
        <v>7</v>
      </c>
    </row>
    <row r="327" spans="1:22">
      <c r="A327" t="s">
        <v>850</v>
      </c>
      <c r="B327" t="s">
        <v>762</v>
      </c>
      <c r="C327">
        <v>0</v>
      </c>
      <c r="E327" t="s">
        <v>862</v>
      </c>
      <c r="G327" t="s">
        <v>909</v>
      </c>
      <c r="H327">
        <v>2.8679999999999999</v>
      </c>
      <c r="J327" s="600" t="s">
        <v>767</v>
      </c>
      <c r="K327">
        <v>108048415</v>
      </c>
      <c r="L327" s="2">
        <v>45727</v>
      </c>
      <c r="M327">
        <v>30</v>
      </c>
      <c r="N327">
        <v>1</v>
      </c>
      <c r="O327">
        <v>0</v>
      </c>
      <c r="P327">
        <v>1</v>
      </c>
      <c r="Q327" t="s">
        <v>7</v>
      </c>
    </row>
    <row r="328" spans="1:22">
      <c r="A328" t="s">
        <v>751</v>
      </c>
      <c r="B328" t="s">
        <v>901</v>
      </c>
      <c r="C328">
        <v>0</v>
      </c>
      <c r="E328" t="s">
        <v>897</v>
      </c>
      <c r="G328" t="s">
        <v>901</v>
      </c>
      <c r="H328">
        <v>10.077999999999999</v>
      </c>
      <c r="J328" s="600" t="s">
        <v>767</v>
      </c>
      <c r="K328">
        <v>108054666</v>
      </c>
      <c r="L328" s="2">
        <v>45733</v>
      </c>
      <c r="M328">
        <v>32</v>
      </c>
      <c r="N328">
        <v>1</v>
      </c>
      <c r="O328">
        <v>8</v>
      </c>
      <c r="P328">
        <v>1</v>
      </c>
      <c r="Q328" t="s">
        <v>7</v>
      </c>
    </row>
    <row r="329" spans="1:22">
      <c r="A329" t="s">
        <v>850</v>
      </c>
      <c r="B329" t="s">
        <v>913</v>
      </c>
      <c r="C329">
        <v>0</v>
      </c>
      <c r="E329" t="s">
        <v>762</v>
      </c>
      <c r="F329" t="s">
        <v>851</v>
      </c>
      <c r="G329" t="s">
        <v>909</v>
      </c>
      <c r="H329">
        <v>3.2839999999999998</v>
      </c>
      <c r="J329" s="600" t="s">
        <v>767</v>
      </c>
      <c r="K329">
        <v>108062653</v>
      </c>
      <c r="L329" s="2">
        <v>45740</v>
      </c>
      <c r="M329">
        <v>30</v>
      </c>
      <c r="N329">
        <v>2</v>
      </c>
      <c r="O329">
        <v>0</v>
      </c>
      <c r="P329">
        <v>1</v>
      </c>
      <c r="Q329" t="s">
        <v>7</v>
      </c>
    </row>
    <row r="330" spans="1:22">
      <c r="A330" t="s">
        <v>850</v>
      </c>
      <c r="B330" t="s">
        <v>851</v>
      </c>
      <c r="C330">
        <v>0</v>
      </c>
      <c r="E330" t="s">
        <v>762</v>
      </c>
      <c r="F330" t="s">
        <v>762</v>
      </c>
      <c r="H330">
        <v>999.99900000000002</v>
      </c>
      <c r="J330" s="600" t="s">
        <v>767</v>
      </c>
      <c r="K330">
        <v>108062655</v>
      </c>
      <c r="L330" s="2">
        <v>45745</v>
      </c>
      <c r="M330">
        <v>28</v>
      </c>
      <c r="N330">
        <v>1</v>
      </c>
      <c r="O330">
        <v>0</v>
      </c>
      <c r="P330">
        <v>1</v>
      </c>
      <c r="Q330" t="s">
        <v>7</v>
      </c>
    </row>
    <row r="331" spans="1:22">
      <c r="A331" t="s">
        <v>850</v>
      </c>
      <c r="B331" t="s">
        <v>913</v>
      </c>
      <c r="C331">
        <v>0</v>
      </c>
      <c r="E331" t="s">
        <v>762</v>
      </c>
      <c r="F331" t="s">
        <v>921</v>
      </c>
      <c r="G331" t="s">
        <v>909</v>
      </c>
      <c r="H331">
        <v>3.2839999999999998</v>
      </c>
      <c r="J331" s="600" t="s">
        <v>767</v>
      </c>
      <c r="K331">
        <v>108088763</v>
      </c>
      <c r="L331" s="2">
        <v>45752</v>
      </c>
      <c r="M331">
        <v>20</v>
      </c>
      <c r="N331">
        <v>1</v>
      </c>
      <c r="O331">
        <v>0</v>
      </c>
      <c r="P331">
        <v>2</v>
      </c>
      <c r="Q331" t="s">
        <v>7</v>
      </c>
    </row>
    <row r="332" spans="1:22">
      <c r="A332" t="s">
        <v>867</v>
      </c>
      <c r="B332" t="s">
        <v>897</v>
      </c>
      <c r="C332">
        <v>0</v>
      </c>
      <c r="E332" t="s">
        <v>945</v>
      </c>
      <c r="F332" t="s">
        <v>883</v>
      </c>
      <c r="G332" t="s">
        <v>897</v>
      </c>
      <c r="H332">
        <v>999.99900000000002</v>
      </c>
      <c r="J332" s="600" t="s">
        <v>767</v>
      </c>
      <c r="K332">
        <v>108097246</v>
      </c>
      <c r="L332" s="2">
        <v>45765</v>
      </c>
      <c r="M332">
        <v>30</v>
      </c>
      <c r="N332">
        <v>1</v>
      </c>
      <c r="O332">
        <v>0</v>
      </c>
      <c r="P332">
        <v>1</v>
      </c>
      <c r="Q332" t="s">
        <v>7</v>
      </c>
    </row>
    <row r="333" spans="1:22">
      <c r="A333" t="s">
        <v>867</v>
      </c>
      <c r="B333" t="s">
        <v>930</v>
      </c>
      <c r="C333">
        <v>0</v>
      </c>
      <c r="E333" t="s">
        <v>869</v>
      </c>
      <c r="F333" t="s">
        <v>933</v>
      </c>
      <c r="G333" t="s">
        <v>869</v>
      </c>
      <c r="H333">
        <v>999.99900000000002</v>
      </c>
      <c r="J333" s="600" t="s">
        <v>767</v>
      </c>
      <c r="K333">
        <v>108090115</v>
      </c>
      <c r="L333" s="2">
        <v>45766</v>
      </c>
      <c r="M333">
        <v>30</v>
      </c>
      <c r="N333">
        <v>1</v>
      </c>
      <c r="O333">
        <v>7</v>
      </c>
      <c r="P333">
        <v>4</v>
      </c>
      <c r="Q333" t="s">
        <v>8</v>
      </c>
      <c r="R333">
        <v>36.299999999999997</v>
      </c>
      <c r="S333">
        <v>-78.59</v>
      </c>
      <c r="T333" t="s">
        <v>752</v>
      </c>
      <c r="V333">
        <v>0.70859482777791605</v>
      </c>
    </row>
    <row r="334" spans="1:22">
      <c r="A334" t="s">
        <v>751</v>
      </c>
      <c r="B334" t="s">
        <v>897</v>
      </c>
      <c r="C334">
        <v>0</v>
      </c>
      <c r="E334" t="s">
        <v>949</v>
      </c>
      <c r="F334" t="s">
        <v>890</v>
      </c>
      <c r="G334" t="s">
        <v>897</v>
      </c>
      <c r="H334">
        <v>0.88200000000000001</v>
      </c>
      <c r="J334" s="600" t="s">
        <v>767</v>
      </c>
      <c r="K334">
        <v>108090119</v>
      </c>
      <c r="L334" s="2">
        <v>45769</v>
      </c>
      <c r="M334">
        <v>30</v>
      </c>
      <c r="N334">
        <v>1</v>
      </c>
      <c r="O334">
        <v>7</v>
      </c>
      <c r="P334">
        <v>1</v>
      </c>
      <c r="Q334" t="s">
        <v>3</v>
      </c>
    </row>
    <row r="335" spans="1:22">
      <c r="A335" t="s">
        <v>751</v>
      </c>
      <c r="B335" t="s">
        <v>897</v>
      </c>
      <c r="C335">
        <v>0.1</v>
      </c>
      <c r="D335" t="s">
        <v>755</v>
      </c>
      <c r="E335" t="s">
        <v>962</v>
      </c>
      <c r="F335" t="s">
        <v>956</v>
      </c>
      <c r="G335" t="s">
        <v>897</v>
      </c>
      <c r="H335">
        <v>999.99900000000002</v>
      </c>
      <c r="J335" s="600" t="s">
        <v>767</v>
      </c>
      <c r="K335">
        <v>108090079</v>
      </c>
      <c r="L335" s="2">
        <v>45771</v>
      </c>
      <c r="M335">
        <v>19</v>
      </c>
      <c r="N335">
        <v>1</v>
      </c>
      <c r="O335">
        <v>0</v>
      </c>
      <c r="P335">
        <v>1</v>
      </c>
      <c r="Q335" t="s">
        <v>3</v>
      </c>
    </row>
    <row r="336" spans="1:22">
      <c r="A336" t="s">
        <v>867</v>
      </c>
      <c r="B336" t="s">
        <v>886</v>
      </c>
      <c r="C336">
        <v>0</v>
      </c>
      <c r="E336" t="s">
        <v>869</v>
      </c>
      <c r="F336" t="s">
        <v>869</v>
      </c>
      <c r="H336">
        <v>999.99900000000002</v>
      </c>
      <c r="J336" s="600" t="s">
        <v>767</v>
      </c>
      <c r="K336">
        <v>108090408</v>
      </c>
      <c r="L336" s="2">
        <v>45772</v>
      </c>
      <c r="M336">
        <v>31</v>
      </c>
      <c r="N336">
        <v>1</v>
      </c>
      <c r="O336">
        <v>0</v>
      </c>
      <c r="P336">
        <v>2</v>
      </c>
      <c r="Q336" t="s">
        <v>7</v>
      </c>
    </row>
    <row r="337" spans="1:22">
      <c r="A337" t="s">
        <v>850</v>
      </c>
      <c r="B337" t="s">
        <v>762</v>
      </c>
      <c r="C337">
        <v>2.5000000000000001E-2</v>
      </c>
      <c r="D337" t="s">
        <v>6</v>
      </c>
      <c r="E337" t="s">
        <v>862</v>
      </c>
      <c r="F337" t="s">
        <v>911</v>
      </c>
      <c r="G337" t="s">
        <v>909</v>
      </c>
      <c r="H337">
        <v>2.843</v>
      </c>
      <c r="J337" s="600" t="s">
        <v>767</v>
      </c>
      <c r="K337">
        <v>108143298</v>
      </c>
      <c r="L337" s="2">
        <v>45799</v>
      </c>
      <c r="M337">
        <v>14</v>
      </c>
      <c r="N337">
        <v>1</v>
      </c>
      <c r="O337">
        <v>0</v>
      </c>
      <c r="P337">
        <v>1</v>
      </c>
      <c r="Q337" t="s">
        <v>3</v>
      </c>
      <c r="R337">
        <v>36.116216999999999</v>
      </c>
      <c r="S337">
        <v>-78.687032000000002</v>
      </c>
      <c r="T337" t="s">
        <v>895</v>
      </c>
      <c r="V337">
        <v>14.498671685017317</v>
      </c>
    </row>
    <row r="338" spans="1:22">
      <c r="A338" t="s">
        <v>751</v>
      </c>
      <c r="B338" t="s">
        <v>949</v>
      </c>
      <c r="C338">
        <v>0</v>
      </c>
      <c r="E338" t="s">
        <v>897</v>
      </c>
      <c r="G338" t="s">
        <v>949</v>
      </c>
      <c r="H338">
        <v>14.055</v>
      </c>
      <c r="J338" s="600" t="s">
        <v>767</v>
      </c>
      <c r="K338">
        <v>108130026</v>
      </c>
      <c r="L338" s="2">
        <v>45800</v>
      </c>
      <c r="M338">
        <v>24</v>
      </c>
      <c r="N338">
        <v>1</v>
      </c>
      <c r="O338">
        <v>7</v>
      </c>
      <c r="P338">
        <v>1</v>
      </c>
      <c r="Q338" t="s">
        <v>7</v>
      </c>
    </row>
    <row r="339" spans="1:22">
      <c r="A339" t="s">
        <v>867</v>
      </c>
      <c r="B339" t="s">
        <v>903</v>
      </c>
      <c r="C339">
        <v>0</v>
      </c>
      <c r="E339" t="s">
        <v>762</v>
      </c>
      <c r="F339" t="s">
        <v>924</v>
      </c>
      <c r="G339" t="s">
        <v>943</v>
      </c>
      <c r="H339">
        <v>1.149</v>
      </c>
      <c r="J339" s="600" t="s">
        <v>767</v>
      </c>
      <c r="K339">
        <v>108127473</v>
      </c>
      <c r="L339" s="2">
        <v>45808</v>
      </c>
      <c r="M339">
        <v>31</v>
      </c>
      <c r="N339">
        <v>1</v>
      </c>
      <c r="O339">
        <v>0</v>
      </c>
      <c r="P339">
        <v>1</v>
      </c>
      <c r="Q339" t="s">
        <v>7</v>
      </c>
    </row>
    <row r="340" spans="1:22">
      <c r="A340" t="s">
        <v>867</v>
      </c>
      <c r="B340" t="s">
        <v>869</v>
      </c>
      <c r="C340">
        <v>0</v>
      </c>
      <c r="E340" t="s">
        <v>894</v>
      </c>
      <c r="F340" t="s">
        <v>887</v>
      </c>
      <c r="H340">
        <v>999.99900000000002</v>
      </c>
      <c r="J340" s="600" t="s">
        <v>767</v>
      </c>
      <c r="K340">
        <v>108167054</v>
      </c>
      <c r="L340" s="2">
        <v>45848</v>
      </c>
      <c r="M340">
        <v>14</v>
      </c>
      <c r="N340">
        <v>1</v>
      </c>
      <c r="O340">
        <v>0</v>
      </c>
      <c r="P340">
        <v>1</v>
      </c>
      <c r="Q340" t="s">
        <v>3</v>
      </c>
      <c r="R340">
        <v>36.309283000000001</v>
      </c>
      <c r="S340">
        <v>-78.589851999999993</v>
      </c>
      <c r="T340" t="s">
        <v>895</v>
      </c>
      <c r="V340">
        <v>0.14963679968857657</v>
      </c>
    </row>
    <row r="341" spans="1:22">
      <c r="A341" t="s">
        <v>751</v>
      </c>
      <c r="B341" t="s">
        <v>897</v>
      </c>
      <c r="C341">
        <v>0.17</v>
      </c>
      <c r="D341" t="s">
        <v>755</v>
      </c>
      <c r="E341" t="s">
        <v>956</v>
      </c>
      <c r="F341" t="s">
        <v>949</v>
      </c>
      <c r="G341" t="s">
        <v>897</v>
      </c>
      <c r="H341">
        <v>3.9359999999999999</v>
      </c>
      <c r="J341" s="600" t="s">
        <v>767</v>
      </c>
      <c r="K341">
        <v>108172669</v>
      </c>
      <c r="L341" s="2">
        <v>45848</v>
      </c>
      <c r="M341">
        <v>19</v>
      </c>
      <c r="N341">
        <v>1</v>
      </c>
      <c r="O341">
        <v>0</v>
      </c>
      <c r="P341">
        <v>1</v>
      </c>
      <c r="Q341" t="s">
        <v>7</v>
      </c>
    </row>
    <row r="342" spans="1:22">
      <c r="A342" t="s">
        <v>867</v>
      </c>
      <c r="B342" t="s">
        <v>936</v>
      </c>
      <c r="C342">
        <v>0</v>
      </c>
      <c r="E342" t="s">
        <v>869</v>
      </c>
      <c r="F342" t="s">
        <v>937</v>
      </c>
      <c r="G342" t="s">
        <v>883</v>
      </c>
      <c r="H342">
        <v>20.498000000000001</v>
      </c>
      <c r="J342" s="600" t="s">
        <v>767</v>
      </c>
      <c r="K342">
        <v>108168651</v>
      </c>
      <c r="L342" s="2">
        <v>45850</v>
      </c>
      <c r="M342">
        <v>30</v>
      </c>
      <c r="N342">
        <v>1</v>
      </c>
      <c r="O342">
        <v>0</v>
      </c>
      <c r="P342">
        <v>1</v>
      </c>
      <c r="Q342" t="s">
        <v>3</v>
      </c>
    </row>
    <row r="343" spans="1:22">
      <c r="A343" t="s">
        <v>751</v>
      </c>
      <c r="B343" t="s">
        <v>897</v>
      </c>
      <c r="C343">
        <v>0</v>
      </c>
      <c r="E343" t="s">
        <v>949</v>
      </c>
      <c r="F343" t="s">
        <v>901</v>
      </c>
      <c r="G343" t="s">
        <v>897</v>
      </c>
      <c r="H343">
        <v>0.88200000000000001</v>
      </c>
      <c r="J343" s="600" t="s">
        <v>767</v>
      </c>
      <c r="K343">
        <v>108184203</v>
      </c>
      <c r="L343" s="2">
        <v>45864</v>
      </c>
      <c r="M343">
        <v>30</v>
      </c>
      <c r="N343">
        <v>1</v>
      </c>
      <c r="O343">
        <v>7</v>
      </c>
      <c r="P343">
        <v>2</v>
      </c>
      <c r="Q343" t="s">
        <v>3</v>
      </c>
    </row>
    <row r="344" spans="1:22">
      <c r="A344" t="s">
        <v>751</v>
      </c>
      <c r="B344" t="s">
        <v>897</v>
      </c>
      <c r="C344">
        <v>0.2</v>
      </c>
      <c r="D344" t="s">
        <v>755</v>
      </c>
      <c r="E344" t="s">
        <v>956</v>
      </c>
      <c r="F344" t="s">
        <v>948</v>
      </c>
      <c r="G344" t="s">
        <v>897</v>
      </c>
      <c r="H344">
        <v>3.9060000000000001</v>
      </c>
      <c r="J344" s="600" t="s">
        <v>767</v>
      </c>
      <c r="K344">
        <v>108190403</v>
      </c>
      <c r="L344" s="2">
        <v>45871</v>
      </c>
      <c r="M344">
        <v>1</v>
      </c>
      <c r="N344">
        <v>1</v>
      </c>
      <c r="O344">
        <v>0</v>
      </c>
      <c r="P344">
        <v>1</v>
      </c>
      <c r="Q344" t="s">
        <v>7</v>
      </c>
    </row>
    <row r="345" spans="1:22">
      <c r="A345" t="s">
        <v>850</v>
      </c>
      <c r="B345" t="s">
        <v>762</v>
      </c>
      <c r="C345">
        <v>8.9999999999999993E-3</v>
      </c>
      <c r="D345" t="s">
        <v>6</v>
      </c>
      <c r="E345" t="s">
        <v>855</v>
      </c>
      <c r="F345" t="s">
        <v>854</v>
      </c>
      <c r="G345" t="s">
        <v>909</v>
      </c>
      <c r="H345">
        <v>2.9870000000000001</v>
      </c>
      <c r="J345" s="600" t="s">
        <v>767</v>
      </c>
      <c r="K345">
        <v>108192337</v>
      </c>
      <c r="L345" s="2">
        <v>45874</v>
      </c>
      <c r="M345">
        <v>1</v>
      </c>
      <c r="N345">
        <v>1</v>
      </c>
      <c r="O345">
        <v>0</v>
      </c>
      <c r="P345">
        <v>4</v>
      </c>
      <c r="Q345" t="s">
        <v>7</v>
      </c>
    </row>
    <row r="346" spans="1:22">
      <c r="A346" t="s">
        <v>850</v>
      </c>
      <c r="B346" t="s">
        <v>762</v>
      </c>
      <c r="C346">
        <v>6.6000000000000003E-2</v>
      </c>
      <c r="D346" t="s">
        <v>759</v>
      </c>
      <c r="E346" t="s">
        <v>941</v>
      </c>
      <c r="F346" t="s">
        <v>977</v>
      </c>
      <c r="G346" t="s">
        <v>975</v>
      </c>
      <c r="H346">
        <v>0.35899999999999999</v>
      </c>
      <c r="J346" s="600" t="s">
        <v>767</v>
      </c>
      <c r="K346">
        <v>108196362</v>
      </c>
      <c r="L346" s="2">
        <v>45874</v>
      </c>
      <c r="M346">
        <v>18</v>
      </c>
      <c r="N346">
        <v>1</v>
      </c>
      <c r="O346">
        <v>0</v>
      </c>
      <c r="P346">
        <v>1</v>
      </c>
      <c r="Q346" t="s">
        <v>3</v>
      </c>
    </row>
    <row r="347" spans="1:22">
      <c r="A347" t="s">
        <v>751</v>
      </c>
      <c r="B347" t="s">
        <v>897</v>
      </c>
      <c r="C347">
        <v>0.25</v>
      </c>
      <c r="D347" t="s">
        <v>755</v>
      </c>
      <c r="E347" t="s">
        <v>960</v>
      </c>
      <c r="F347" t="s">
        <v>961</v>
      </c>
      <c r="G347" t="s">
        <v>897</v>
      </c>
      <c r="H347">
        <v>4.7610000000000001</v>
      </c>
      <c r="J347" s="600" t="s">
        <v>767</v>
      </c>
      <c r="K347">
        <v>108195324</v>
      </c>
      <c r="L347" s="2">
        <v>45875</v>
      </c>
      <c r="M347">
        <v>19</v>
      </c>
      <c r="N347">
        <v>2</v>
      </c>
      <c r="O347">
        <v>0</v>
      </c>
      <c r="P347">
        <v>1</v>
      </c>
      <c r="Q347" t="s">
        <v>7</v>
      </c>
    </row>
    <row r="348" spans="1:22">
      <c r="A348" t="s">
        <v>751</v>
      </c>
      <c r="B348" t="s">
        <v>949</v>
      </c>
      <c r="C348">
        <v>0</v>
      </c>
      <c r="E348" t="s">
        <v>943</v>
      </c>
      <c r="F348" t="s">
        <v>948</v>
      </c>
      <c r="G348" t="s">
        <v>949</v>
      </c>
      <c r="H348">
        <v>999.99900000000002</v>
      </c>
      <c r="J348" s="600" t="s">
        <v>767</v>
      </c>
      <c r="K348">
        <v>108205786</v>
      </c>
      <c r="L348" s="2">
        <v>45880</v>
      </c>
      <c r="M348">
        <v>23</v>
      </c>
      <c r="N348">
        <v>1</v>
      </c>
      <c r="O348">
        <v>7</v>
      </c>
      <c r="P348">
        <v>1</v>
      </c>
      <c r="Q348" t="s">
        <v>3</v>
      </c>
      <c r="R348">
        <v>36.313276000000002</v>
      </c>
      <c r="S348">
        <v>-78.552949999999996</v>
      </c>
      <c r="T348" t="s">
        <v>758</v>
      </c>
      <c r="V348">
        <v>1.9271494694022111</v>
      </c>
    </row>
    <row r="349" spans="1:22">
      <c r="A349" t="s">
        <v>867</v>
      </c>
      <c r="B349" t="s">
        <v>902</v>
      </c>
      <c r="C349">
        <v>0</v>
      </c>
      <c r="E349" t="s">
        <v>869</v>
      </c>
      <c r="F349" t="s">
        <v>891</v>
      </c>
      <c r="G349" t="s">
        <v>902</v>
      </c>
      <c r="H349">
        <v>0.21</v>
      </c>
      <c r="J349" s="600" t="s">
        <v>767</v>
      </c>
      <c r="K349">
        <v>108202264</v>
      </c>
      <c r="L349" s="2">
        <v>45884</v>
      </c>
      <c r="M349">
        <v>30</v>
      </c>
      <c r="N349">
        <v>1</v>
      </c>
      <c r="O349">
        <v>7</v>
      </c>
      <c r="P349">
        <v>1</v>
      </c>
      <c r="Q349" t="s">
        <v>7</v>
      </c>
    </row>
    <row r="350" spans="1:22">
      <c r="A350" t="s">
        <v>867</v>
      </c>
      <c r="B350" t="s">
        <v>869</v>
      </c>
      <c r="C350">
        <v>0</v>
      </c>
      <c r="E350" t="s">
        <v>936</v>
      </c>
      <c r="F350" t="s">
        <v>936</v>
      </c>
      <c r="G350" t="s">
        <v>869</v>
      </c>
      <c r="H350">
        <v>999.99900000000002</v>
      </c>
      <c r="J350" s="600" t="s">
        <v>767</v>
      </c>
      <c r="K350">
        <v>108211507</v>
      </c>
      <c r="L350" s="2">
        <v>45895</v>
      </c>
      <c r="M350">
        <v>30</v>
      </c>
      <c r="N350">
        <v>1</v>
      </c>
      <c r="O350">
        <v>7</v>
      </c>
      <c r="P350">
        <v>4</v>
      </c>
      <c r="Q350" t="s">
        <v>7</v>
      </c>
    </row>
    <row r="351" spans="1:22">
      <c r="A351" t="s">
        <v>751</v>
      </c>
      <c r="B351" t="s">
        <v>949</v>
      </c>
      <c r="C351">
        <v>2.7E-2</v>
      </c>
      <c r="D351" t="s">
        <v>754</v>
      </c>
      <c r="E351" t="s">
        <v>943</v>
      </c>
      <c r="F351" t="s">
        <v>897</v>
      </c>
      <c r="G351" t="s">
        <v>949</v>
      </c>
      <c r="H351">
        <v>999.99900000000002</v>
      </c>
      <c r="J351" s="600" t="s">
        <v>767</v>
      </c>
      <c r="K351">
        <v>108231920</v>
      </c>
      <c r="L351" s="2">
        <v>45909</v>
      </c>
      <c r="M351">
        <v>28</v>
      </c>
      <c r="N351">
        <v>1</v>
      </c>
      <c r="O351">
        <v>0</v>
      </c>
      <c r="P351">
        <v>1</v>
      </c>
      <c r="Q351" t="s">
        <v>7</v>
      </c>
      <c r="R351">
        <v>36.313816000000003</v>
      </c>
      <c r="S351">
        <v>-78.553070000000005</v>
      </c>
      <c r="T351" t="s">
        <v>758</v>
      </c>
      <c r="V351">
        <v>1.9252252025128904</v>
      </c>
    </row>
    <row r="352" spans="1:22">
      <c r="A352" t="s">
        <v>867</v>
      </c>
      <c r="B352" t="s">
        <v>869</v>
      </c>
      <c r="C352">
        <v>0</v>
      </c>
      <c r="E352" t="s">
        <v>926</v>
      </c>
      <c r="F352" t="s">
        <v>926</v>
      </c>
      <c r="G352" t="s">
        <v>869</v>
      </c>
      <c r="H352">
        <v>0.09</v>
      </c>
      <c r="J352" s="600" t="s">
        <v>767</v>
      </c>
      <c r="K352">
        <v>108242628</v>
      </c>
      <c r="L352" s="2">
        <v>45916</v>
      </c>
      <c r="M352">
        <v>2</v>
      </c>
      <c r="N352">
        <v>1</v>
      </c>
      <c r="O352">
        <v>0</v>
      </c>
      <c r="P352">
        <v>1</v>
      </c>
      <c r="Q352" t="s">
        <v>3</v>
      </c>
    </row>
    <row r="353" spans="1:22">
      <c r="A353" t="s">
        <v>751</v>
      </c>
      <c r="B353" t="s">
        <v>949</v>
      </c>
      <c r="C353">
        <v>0</v>
      </c>
      <c r="E353" t="s">
        <v>897</v>
      </c>
      <c r="F353" t="s">
        <v>901</v>
      </c>
      <c r="G353" t="s">
        <v>949</v>
      </c>
      <c r="H353">
        <v>14.055</v>
      </c>
      <c r="J353" s="600" t="s">
        <v>767</v>
      </c>
      <c r="K353">
        <v>108237122</v>
      </c>
      <c r="L353" s="2">
        <v>45919</v>
      </c>
      <c r="M353">
        <v>30</v>
      </c>
      <c r="N353">
        <v>1</v>
      </c>
      <c r="O353">
        <v>7</v>
      </c>
      <c r="P353">
        <v>1</v>
      </c>
      <c r="Q353" t="s">
        <v>3</v>
      </c>
    </row>
    <row r="354" spans="1:22">
      <c r="A354" t="s">
        <v>867</v>
      </c>
      <c r="B354" t="s">
        <v>888</v>
      </c>
      <c r="C354">
        <v>0</v>
      </c>
      <c r="E354" t="s">
        <v>889</v>
      </c>
      <c r="F354" t="s">
        <v>888</v>
      </c>
      <c r="H354">
        <v>999.99900000000002</v>
      </c>
      <c r="J354" s="600" t="s">
        <v>767</v>
      </c>
      <c r="K354">
        <v>108246336</v>
      </c>
      <c r="L354" s="2">
        <v>45929</v>
      </c>
      <c r="M354">
        <v>31</v>
      </c>
      <c r="N354">
        <v>2</v>
      </c>
      <c r="O354">
        <v>0</v>
      </c>
      <c r="P354">
        <v>1</v>
      </c>
    </row>
    <row r="355" spans="1:22">
      <c r="A355" t="s">
        <v>751</v>
      </c>
      <c r="B355" t="s">
        <v>949</v>
      </c>
      <c r="C355">
        <v>8.9999999999999993E-3</v>
      </c>
      <c r="D355" t="s">
        <v>753</v>
      </c>
      <c r="E355" t="s">
        <v>943</v>
      </c>
      <c r="F355" t="s">
        <v>948</v>
      </c>
      <c r="G355" t="s">
        <v>949</v>
      </c>
      <c r="H355">
        <v>999.99900000000002</v>
      </c>
      <c r="J355" s="600" t="s">
        <v>767</v>
      </c>
      <c r="K355">
        <v>108254741</v>
      </c>
      <c r="L355" s="2">
        <v>45931</v>
      </c>
      <c r="M355">
        <v>24</v>
      </c>
      <c r="N355">
        <v>1</v>
      </c>
      <c r="O355">
        <v>7</v>
      </c>
      <c r="P355">
        <v>1</v>
      </c>
      <c r="Q355" t="s">
        <v>7</v>
      </c>
      <c r="R355">
        <v>36.313406000000001</v>
      </c>
      <c r="S355">
        <v>-78.552729999999997</v>
      </c>
      <c r="T355" t="s">
        <v>758</v>
      </c>
      <c r="V355">
        <v>1.9403739751093447</v>
      </c>
    </row>
    <row r="356" spans="1:22">
      <c r="A356" t="s">
        <v>850</v>
      </c>
      <c r="B356" t="s">
        <v>762</v>
      </c>
      <c r="C356">
        <v>1.4999999999999999E-2</v>
      </c>
      <c r="D356" t="s">
        <v>6</v>
      </c>
      <c r="E356" t="s">
        <v>915</v>
      </c>
      <c r="G356" t="s">
        <v>909</v>
      </c>
      <c r="H356">
        <v>3.1110000000000002</v>
      </c>
      <c r="J356" s="600" t="s">
        <v>767</v>
      </c>
      <c r="K356">
        <v>108287261</v>
      </c>
      <c r="L356" s="2">
        <v>45953</v>
      </c>
      <c r="M356">
        <v>21</v>
      </c>
      <c r="N356">
        <v>1</v>
      </c>
      <c r="O356">
        <v>0</v>
      </c>
      <c r="P356">
        <v>1</v>
      </c>
      <c r="Q356" t="s">
        <v>3</v>
      </c>
    </row>
    <row r="357" spans="1:22">
      <c r="A357" t="s">
        <v>850</v>
      </c>
      <c r="B357" t="s">
        <v>918</v>
      </c>
      <c r="C357">
        <v>0</v>
      </c>
      <c r="E357" t="s">
        <v>762</v>
      </c>
      <c r="F357" t="s">
        <v>762</v>
      </c>
      <c r="G357" t="s">
        <v>909</v>
      </c>
      <c r="H357">
        <v>3.226</v>
      </c>
      <c r="J357" s="600" t="s">
        <v>767</v>
      </c>
      <c r="K357">
        <v>108332317</v>
      </c>
      <c r="L357" s="2">
        <v>45961</v>
      </c>
      <c r="M357">
        <v>24</v>
      </c>
      <c r="N357">
        <v>1</v>
      </c>
      <c r="O357">
        <v>0</v>
      </c>
      <c r="P357">
        <v>1</v>
      </c>
      <c r="Q357" t="s">
        <v>7</v>
      </c>
    </row>
    <row r="358" spans="1:22">
      <c r="A358" t="s">
        <v>751</v>
      </c>
      <c r="B358" t="s">
        <v>897</v>
      </c>
      <c r="C358">
        <v>0.2</v>
      </c>
      <c r="D358" t="s">
        <v>760</v>
      </c>
      <c r="E358" t="s">
        <v>956</v>
      </c>
      <c r="F358" t="s">
        <v>960</v>
      </c>
      <c r="G358" t="s">
        <v>897</v>
      </c>
      <c r="H358">
        <v>4.306</v>
      </c>
      <c r="J358" s="600" t="s">
        <v>767</v>
      </c>
      <c r="K358">
        <v>108288938</v>
      </c>
      <c r="L358" s="2">
        <v>45962</v>
      </c>
      <c r="M358">
        <v>5</v>
      </c>
      <c r="N358">
        <v>1</v>
      </c>
      <c r="O358">
        <v>0</v>
      </c>
      <c r="P358">
        <v>1</v>
      </c>
      <c r="Q358" t="s">
        <v>7</v>
      </c>
    </row>
    <row r="359" spans="1:22">
      <c r="A359" t="s">
        <v>751</v>
      </c>
      <c r="B359" t="s">
        <v>897</v>
      </c>
      <c r="C359">
        <v>0.2</v>
      </c>
      <c r="D359" t="s">
        <v>754</v>
      </c>
      <c r="E359" t="s">
        <v>901</v>
      </c>
      <c r="F359" t="s">
        <v>899</v>
      </c>
      <c r="G359" t="s">
        <v>897</v>
      </c>
      <c r="H359">
        <v>1.4079999999999999</v>
      </c>
      <c r="J359" s="600" t="s">
        <v>767</v>
      </c>
      <c r="K359">
        <v>108307988</v>
      </c>
      <c r="L359" s="2">
        <v>45976</v>
      </c>
      <c r="M359">
        <v>5</v>
      </c>
      <c r="N359">
        <v>1</v>
      </c>
      <c r="O359">
        <v>0</v>
      </c>
      <c r="P359">
        <v>1</v>
      </c>
      <c r="Q359" t="s">
        <v>7</v>
      </c>
    </row>
    <row r="360" spans="1:22">
      <c r="A360" t="s">
        <v>850</v>
      </c>
      <c r="B360" t="s">
        <v>913</v>
      </c>
      <c r="C360">
        <v>0</v>
      </c>
      <c r="E360" t="s">
        <v>762</v>
      </c>
      <c r="F360" t="s">
        <v>918</v>
      </c>
      <c r="G360" t="s">
        <v>909</v>
      </c>
      <c r="H360">
        <v>3.2839999999999998</v>
      </c>
      <c r="J360" s="600" t="s">
        <v>767</v>
      </c>
      <c r="K360">
        <v>108321102</v>
      </c>
      <c r="L360" s="2">
        <v>45981</v>
      </c>
      <c r="M360">
        <v>30</v>
      </c>
      <c r="N360">
        <v>1</v>
      </c>
      <c r="O360">
        <v>7</v>
      </c>
      <c r="P360">
        <v>2</v>
      </c>
      <c r="Q360" t="s">
        <v>3</v>
      </c>
    </row>
    <row r="361" spans="1:22">
      <c r="A361" t="s">
        <v>867</v>
      </c>
      <c r="B361" t="s">
        <v>762</v>
      </c>
      <c r="C361">
        <v>0</v>
      </c>
      <c r="E361" t="s">
        <v>903</v>
      </c>
      <c r="F361" t="s">
        <v>762</v>
      </c>
      <c r="G361" t="s">
        <v>943</v>
      </c>
      <c r="H361">
        <v>1.149</v>
      </c>
      <c r="J361" s="600" t="s">
        <v>767</v>
      </c>
      <c r="K361">
        <v>108324306</v>
      </c>
      <c r="L361" s="2">
        <v>45992</v>
      </c>
      <c r="M361">
        <v>1</v>
      </c>
      <c r="N361">
        <v>1</v>
      </c>
      <c r="O361">
        <v>0</v>
      </c>
      <c r="P361">
        <v>1</v>
      </c>
    </row>
    <row r="362" spans="1:22">
      <c r="A362" t="s">
        <v>867</v>
      </c>
      <c r="B362" t="s">
        <v>891</v>
      </c>
      <c r="C362">
        <v>0</v>
      </c>
      <c r="E362" t="s">
        <v>869</v>
      </c>
      <c r="F362" t="s">
        <v>869</v>
      </c>
      <c r="G362" t="s">
        <v>953</v>
      </c>
      <c r="H362">
        <v>2.6850000000000001</v>
      </c>
      <c r="J362" s="600" t="s">
        <v>767</v>
      </c>
      <c r="K362">
        <v>108334601</v>
      </c>
      <c r="L362" s="2">
        <v>46004</v>
      </c>
      <c r="M362">
        <v>1</v>
      </c>
      <c r="N362">
        <v>1</v>
      </c>
      <c r="O362">
        <v>0</v>
      </c>
      <c r="P362">
        <v>1</v>
      </c>
      <c r="Q362" t="s">
        <v>7</v>
      </c>
    </row>
    <row r="363" spans="1:22">
      <c r="A363" t="s">
        <v>751</v>
      </c>
      <c r="B363" t="s">
        <v>943</v>
      </c>
      <c r="C363">
        <v>0.23</v>
      </c>
      <c r="D363" t="s">
        <v>754</v>
      </c>
      <c r="E363" t="s">
        <v>971</v>
      </c>
      <c r="F363" t="s">
        <v>949</v>
      </c>
      <c r="G363" t="s">
        <v>943</v>
      </c>
      <c r="H363">
        <v>999.99900000000002</v>
      </c>
      <c r="J363" s="600" t="s">
        <v>767</v>
      </c>
      <c r="K363">
        <v>108357712</v>
      </c>
      <c r="L363" s="2">
        <v>46020</v>
      </c>
      <c r="M363">
        <v>28</v>
      </c>
      <c r="N363">
        <v>1</v>
      </c>
      <c r="O363">
        <v>0</v>
      </c>
      <c r="P363">
        <v>1</v>
      </c>
      <c r="Q363" t="s">
        <v>7</v>
      </c>
      <c r="R363">
        <v>36.309410999999997</v>
      </c>
      <c r="S363">
        <v>-78.555239999999998</v>
      </c>
      <c r="T363" t="s">
        <v>758</v>
      </c>
      <c r="V363">
        <v>1.7870833391980847</v>
      </c>
    </row>
    <row r="364" spans="1:22">
      <c r="A364" t="s">
        <v>850</v>
      </c>
      <c r="B364" t="s">
        <v>762</v>
      </c>
      <c r="C364">
        <v>0</v>
      </c>
      <c r="E364" t="s">
        <v>909</v>
      </c>
      <c r="F364" t="s">
        <v>909</v>
      </c>
      <c r="G364" t="s">
        <v>909</v>
      </c>
      <c r="H364">
        <v>3.2850000000000001</v>
      </c>
      <c r="J364" s="600" t="s">
        <v>767</v>
      </c>
      <c r="K364">
        <v>108357308</v>
      </c>
      <c r="L364" s="2">
        <v>46021</v>
      </c>
      <c r="M364">
        <v>21</v>
      </c>
      <c r="N364">
        <v>1</v>
      </c>
      <c r="O364">
        <v>0</v>
      </c>
      <c r="P364">
        <v>1</v>
      </c>
      <c r="Q364" t="s">
        <v>7</v>
      </c>
    </row>
    <row r="365" spans="1:22">
      <c r="A365" t="s">
        <v>850</v>
      </c>
      <c r="B365" t="s">
        <v>762</v>
      </c>
      <c r="C365">
        <v>3.7999999999999999E-2</v>
      </c>
      <c r="D365" t="s">
        <v>754</v>
      </c>
      <c r="E365" t="s">
        <v>854</v>
      </c>
      <c r="F365" t="s">
        <v>855</v>
      </c>
      <c r="H365">
        <v>999.99900000000002</v>
      </c>
      <c r="J365" s="600" t="s">
        <v>767</v>
      </c>
      <c r="K365">
        <v>108393847</v>
      </c>
      <c r="L365" s="2">
        <v>46027</v>
      </c>
      <c r="M365">
        <v>13</v>
      </c>
      <c r="N365">
        <v>1</v>
      </c>
      <c r="O365">
        <v>0</v>
      </c>
      <c r="P365">
        <v>4</v>
      </c>
      <c r="Q365" t="s">
        <v>7</v>
      </c>
    </row>
    <row r="366" spans="1:22">
      <c r="A366" t="s">
        <v>751</v>
      </c>
      <c r="B366" t="s">
        <v>897</v>
      </c>
      <c r="C366">
        <v>0</v>
      </c>
      <c r="E366" t="s">
        <v>949</v>
      </c>
      <c r="F366" t="s">
        <v>955</v>
      </c>
      <c r="G366" t="s">
        <v>897</v>
      </c>
      <c r="H366">
        <v>0.88200000000000001</v>
      </c>
      <c r="J366" s="600" t="s">
        <v>767</v>
      </c>
      <c r="K366">
        <v>108365462</v>
      </c>
      <c r="L366" s="2">
        <v>46029</v>
      </c>
      <c r="M366">
        <v>18</v>
      </c>
      <c r="N366">
        <v>1</v>
      </c>
      <c r="O366">
        <v>7</v>
      </c>
      <c r="P366">
        <v>1</v>
      </c>
      <c r="Q366" t="s">
        <v>7</v>
      </c>
    </row>
    <row r="367" spans="1:22">
      <c r="A367" t="s">
        <v>867</v>
      </c>
      <c r="B367" t="s">
        <v>888</v>
      </c>
      <c r="C367">
        <v>0</v>
      </c>
      <c r="E367" t="s">
        <v>891</v>
      </c>
      <c r="F367" t="s">
        <v>891</v>
      </c>
      <c r="G367" t="s">
        <v>953</v>
      </c>
      <c r="H367">
        <v>2.6850000000000001</v>
      </c>
      <c r="J367" s="600" t="s">
        <v>767</v>
      </c>
      <c r="K367">
        <v>108383499</v>
      </c>
      <c r="L367" s="2">
        <v>46038</v>
      </c>
      <c r="M367">
        <v>24</v>
      </c>
      <c r="N367">
        <v>1</v>
      </c>
      <c r="O367">
        <v>7</v>
      </c>
      <c r="P367">
        <v>1</v>
      </c>
      <c r="Q367" t="s">
        <v>7</v>
      </c>
    </row>
    <row r="368" spans="1:22">
      <c r="A368" t="s">
        <v>850</v>
      </c>
      <c r="B368" t="s">
        <v>762</v>
      </c>
      <c r="C368">
        <v>0</v>
      </c>
      <c r="E368" t="s">
        <v>865</v>
      </c>
      <c r="F368" t="s">
        <v>913</v>
      </c>
      <c r="G368" t="s">
        <v>909</v>
      </c>
      <c r="H368">
        <v>2.9369999999999998</v>
      </c>
      <c r="J368" s="600" t="s">
        <v>767</v>
      </c>
      <c r="K368">
        <v>108402133</v>
      </c>
      <c r="L368" s="2">
        <v>46063</v>
      </c>
      <c r="M368">
        <v>28</v>
      </c>
      <c r="N368">
        <v>1</v>
      </c>
      <c r="O368">
        <v>0</v>
      </c>
      <c r="P368">
        <v>1</v>
      </c>
      <c r="Q368" t="s">
        <v>7</v>
      </c>
    </row>
    <row r="369" spans="1:17">
      <c r="A369" t="s">
        <v>850</v>
      </c>
      <c r="B369" t="s">
        <v>762</v>
      </c>
      <c r="C369">
        <v>8.9999999999999993E-3</v>
      </c>
      <c r="D369" t="s">
        <v>6</v>
      </c>
      <c r="E369" t="s">
        <v>855</v>
      </c>
      <c r="F369" t="s">
        <v>853</v>
      </c>
      <c r="G369" t="s">
        <v>909</v>
      </c>
      <c r="H369">
        <v>2.9870000000000001</v>
      </c>
      <c r="J369" s="600" t="s">
        <v>767</v>
      </c>
      <c r="K369">
        <v>108398245</v>
      </c>
      <c r="L369" s="2">
        <v>46064</v>
      </c>
      <c r="M369">
        <v>29</v>
      </c>
      <c r="N369">
        <v>1</v>
      </c>
      <c r="O369">
        <v>0</v>
      </c>
      <c r="P369">
        <v>1</v>
      </c>
      <c r="Q369" t="s">
        <v>7</v>
      </c>
    </row>
    <row r="370" spans="1:17">
      <c r="A370" t="s">
        <v>751</v>
      </c>
      <c r="B370" t="s">
        <v>897</v>
      </c>
      <c r="C370">
        <v>0.2</v>
      </c>
      <c r="D370" t="s">
        <v>753</v>
      </c>
      <c r="E370" t="s">
        <v>957</v>
      </c>
      <c r="F370" t="s">
        <v>955</v>
      </c>
      <c r="G370" t="s">
        <v>897</v>
      </c>
      <c r="H370">
        <v>2.6840000000000002</v>
      </c>
      <c r="J370" s="600" t="s">
        <v>767</v>
      </c>
      <c r="K370">
        <v>108407980</v>
      </c>
      <c r="L370" s="2">
        <v>46071</v>
      </c>
      <c r="M370">
        <v>17</v>
      </c>
      <c r="N370">
        <v>1</v>
      </c>
      <c r="O370">
        <v>0</v>
      </c>
      <c r="P370">
        <v>5</v>
      </c>
      <c r="Q370" t="s">
        <v>7</v>
      </c>
    </row>
    <row r="371" spans="1:17">
      <c r="A371" t="s">
        <v>751</v>
      </c>
      <c r="B371" t="s">
        <v>897</v>
      </c>
      <c r="C371">
        <v>1.5</v>
      </c>
      <c r="D371" t="s">
        <v>6</v>
      </c>
      <c r="E371" t="s">
        <v>948</v>
      </c>
      <c r="F371" t="s">
        <v>956</v>
      </c>
      <c r="G371" t="s">
        <v>897</v>
      </c>
      <c r="H371">
        <v>1.6040000000000001</v>
      </c>
      <c r="J371" s="600" t="s">
        <v>767</v>
      </c>
      <c r="K371">
        <v>108414530</v>
      </c>
      <c r="L371" s="2">
        <v>46072</v>
      </c>
      <c r="M371">
        <v>19</v>
      </c>
      <c r="N371">
        <v>2</v>
      </c>
      <c r="O371">
        <v>0</v>
      </c>
      <c r="P371">
        <v>5</v>
      </c>
      <c r="Q371" t="s">
        <v>7</v>
      </c>
    </row>
    <row r="372" spans="1:17">
      <c r="A372" t="s">
        <v>751</v>
      </c>
      <c r="B372" t="s">
        <v>897</v>
      </c>
      <c r="C372">
        <v>0.2</v>
      </c>
      <c r="D372" t="s">
        <v>753</v>
      </c>
      <c r="E372" t="s">
        <v>956</v>
      </c>
      <c r="F372" t="s">
        <v>960</v>
      </c>
      <c r="G372" t="s">
        <v>897</v>
      </c>
      <c r="H372">
        <v>4.306</v>
      </c>
      <c r="J372" s="600" t="s">
        <v>767</v>
      </c>
      <c r="K372">
        <v>108411395</v>
      </c>
      <c r="L372" s="2">
        <v>46076</v>
      </c>
      <c r="M372">
        <v>19</v>
      </c>
      <c r="N372">
        <v>1</v>
      </c>
      <c r="O372">
        <v>5</v>
      </c>
      <c r="P372">
        <v>3</v>
      </c>
      <c r="Q372" t="s">
        <v>7</v>
      </c>
    </row>
    <row r="373" spans="1:17">
      <c r="A373" t="s">
        <v>867</v>
      </c>
      <c r="B373" t="s">
        <v>924</v>
      </c>
      <c r="C373">
        <v>0</v>
      </c>
      <c r="E373" t="s">
        <v>869</v>
      </c>
      <c r="F373" t="s">
        <v>924</v>
      </c>
      <c r="G373" t="s">
        <v>925</v>
      </c>
      <c r="H373">
        <v>17.59</v>
      </c>
      <c r="J373" s="600" t="s">
        <v>767</v>
      </c>
      <c r="K373">
        <v>108410554</v>
      </c>
      <c r="L373" s="2">
        <v>46077</v>
      </c>
      <c r="M373">
        <v>30</v>
      </c>
      <c r="N373">
        <v>1</v>
      </c>
      <c r="O373">
        <v>7</v>
      </c>
      <c r="P373">
        <v>1</v>
      </c>
      <c r="Q373" t="s">
        <v>7</v>
      </c>
    </row>
    <row r="374" spans="1:17">
      <c r="A374" t="s">
        <v>850</v>
      </c>
      <c r="B374" t="s">
        <v>866</v>
      </c>
      <c r="C374">
        <v>0</v>
      </c>
      <c r="E374" t="s">
        <v>762</v>
      </c>
      <c r="F374" t="s">
        <v>762</v>
      </c>
      <c r="H374">
        <v>999.99900000000002</v>
      </c>
      <c r="J374" s="600" t="s">
        <v>767</v>
      </c>
      <c r="K374">
        <v>108457950</v>
      </c>
      <c r="L374" s="2">
        <v>46087</v>
      </c>
      <c r="M374">
        <v>31</v>
      </c>
      <c r="N374">
        <v>1</v>
      </c>
      <c r="O374">
        <v>0</v>
      </c>
      <c r="P374">
        <v>1</v>
      </c>
      <c r="Q374" t="s">
        <v>7</v>
      </c>
    </row>
    <row r="375" spans="1:17">
      <c r="A375" t="s">
        <v>751</v>
      </c>
      <c r="B375" t="s">
        <v>948</v>
      </c>
      <c r="C375">
        <v>0</v>
      </c>
      <c r="D375" t="s">
        <v>754</v>
      </c>
      <c r="E375" t="s">
        <v>897</v>
      </c>
      <c r="F375" t="s">
        <v>951</v>
      </c>
      <c r="G375" t="s">
        <v>948</v>
      </c>
      <c r="H375">
        <v>3.2890000000000001</v>
      </c>
      <c r="J375" s="600" t="s">
        <v>767</v>
      </c>
      <c r="K375">
        <v>108433634</v>
      </c>
      <c r="L375" s="2">
        <v>46096</v>
      </c>
      <c r="M375">
        <v>17</v>
      </c>
      <c r="N375">
        <v>2</v>
      </c>
      <c r="O375">
        <v>0</v>
      </c>
      <c r="P375">
        <v>5</v>
      </c>
      <c r="Q375" t="s">
        <v>7</v>
      </c>
    </row>
    <row r="376" spans="1:17">
      <c r="A376" t="s">
        <v>850</v>
      </c>
      <c r="B376" t="s">
        <v>762</v>
      </c>
      <c r="C376">
        <v>0</v>
      </c>
      <c r="E376" t="s">
        <v>862</v>
      </c>
      <c r="F376" t="s">
        <v>911</v>
      </c>
      <c r="G376" t="s">
        <v>909</v>
      </c>
      <c r="H376">
        <v>2.8679999999999999</v>
      </c>
      <c r="J376" s="600" t="s">
        <v>767</v>
      </c>
      <c r="K376">
        <v>108458258</v>
      </c>
      <c r="L376" s="2">
        <v>46113</v>
      </c>
      <c r="M376">
        <v>30</v>
      </c>
      <c r="N376">
        <v>1</v>
      </c>
      <c r="O376">
        <v>7</v>
      </c>
      <c r="P376">
        <v>1</v>
      </c>
      <c r="Q376" t="s">
        <v>7</v>
      </c>
    </row>
    <row r="377" spans="1:17">
      <c r="A377" t="s">
        <v>867</v>
      </c>
      <c r="B377" t="s">
        <v>926</v>
      </c>
      <c r="C377">
        <v>0</v>
      </c>
      <c r="E377" t="s">
        <v>869</v>
      </c>
      <c r="F377" t="s">
        <v>927</v>
      </c>
      <c r="G377" t="s">
        <v>869</v>
      </c>
      <c r="H377">
        <v>0.09</v>
      </c>
      <c r="J377" s="600" t="s">
        <v>767</v>
      </c>
      <c r="K377">
        <v>108460018</v>
      </c>
      <c r="L377" s="2">
        <v>46115</v>
      </c>
      <c r="M377">
        <v>23</v>
      </c>
      <c r="N377">
        <v>1</v>
      </c>
      <c r="O377">
        <v>7</v>
      </c>
      <c r="P377">
        <v>1</v>
      </c>
      <c r="Q377" t="s">
        <v>3</v>
      </c>
    </row>
    <row r="378" spans="1:17">
      <c r="A378" t="s">
        <v>867</v>
      </c>
      <c r="B378" t="s">
        <v>762</v>
      </c>
      <c r="C378">
        <v>0</v>
      </c>
      <c r="E378" t="s">
        <v>970</v>
      </c>
      <c r="F378" t="s">
        <v>970</v>
      </c>
      <c r="G378" t="s">
        <v>943</v>
      </c>
      <c r="H378">
        <v>1.4770000000000001</v>
      </c>
      <c r="J378" s="600" t="s">
        <v>767</v>
      </c>
      <c r="K378">
        <v>108466832</v>
      </c>
      <c r="L378" s="2">
        <v>46128</v>
      </c>
      <c r="M378">
        <v>3</v>
      </c>
      <c r="N378">
        <v>1</v>
      </c>
      <c r="O378">
        <v>7</v>
      </c>
      <c r="P378">
        <v>1</v>
      </c>
      <c r="Q378" t="s">
        <v>7</v>
      </c>
    </row>
    <row r="379" spans="1:17">
      <c r="A379" t="s">
        <v>850</v>
      </c>
      <c r="B379" t="s">
        <v>762</v>
      </c>
      <c r="C379">
        <v>6.0000000000000001E-3</v>
      </c>
      <c r="D379" t="s">
        <v>6</v>
      </c>
      <c r="E379" t="s">
        <v>913</v>
      </c>
      <c r="F379" t="s">
        <v>918</v>
      </c>
      <c r="G379" t="s">
        <v>909</v>
      </c>
      <c r="H379">
        <v>3.278</v>
      </c>
      <c r="J379" s="600" t="s">
        <v>767</v>
      </c>
      <c r="K379">
        <v>108484990</v>
      </c>
      <c r="L379" s="2">
        <v>46140</v>
      </c>
      <c r="M379">
        <v>21</v>
      </c>
      <c r="N379">
        <v>1</v>
      </c>
      <c r="O379">
        <v>0</v>
      </c>
      <c r="P379">
        <v>1</v>
      </c>
      <c r="Q379" t="s">
        <v>7</v>
      </c>
    </row>
    <row r="380" spans="1:17">
      <c r="A380" t="s">
        <v>867</v>
      </c>
      <c r="B380" t="s">
        <v>936</v>
      </c>
      <c r="C380">
        <v>0</v>
      </c>
      <c r="E380" t="s">
        <v>869</v>
      </c>
      <c r="F380" t="s">
        <v>936</v>
      </c>
      <c r="G380" t="s">
        <v>883</v>
      </c>
      <c r="H380">
        <v>20.498000000000001</v>
      </c>
      <c r="J380" s="600" t="s">
        <v>767</v>
      </c>
      <c r="K380">
        <v>108498369</v>
      </c>
      <c r="L380" s="2">
        <v>46144</v>
      </c>
      <c r="M380">
        <v>30</v>
      </c>
      <c r="N380">
        <v>1</v>
      </c>
      <c r="O380">
        <v>0</v>
      </c>
      <c r="P380">
        <v>1</v>
      </c>
      <c r="Q380" t="s">
        <v>7</v>
      </c>
    </row>
    <row r="381" spans="1:17">
      <c r="A381" t="s">
        <v>850</v>
      </c>
      <c r="B381" t="s">
        <v>762</v>
      </c>
      <c r="C381">
        <v>0</v>
      </c>
      <c r="E381" t="s">
        <v>762</v>
      </c>
      <c r="F381" t="s">
        <v>854</v>
      </c>
      <c r="G381" t="s">
        <v>940</v>
      </c>
      <c r="H381">
        <v>5.0730000000000004</v>
      </c>
      <c r="J381" s="600" t="s">
        <v>767</v>
      </c>
      <c r="K381">
        <v>108492798</v>
      </c>
      <c r="L381" s="2">
        <v>46148</v>
      </c>
      <c r="M381">
        <v>28</v>
      </c>
      <c r="N381">
        <v>1</v>
      </c>
      <c r="O381">
        <v>0</v>
      </c>
      <c r="P381">
        <v>1</v>
      </c>
      <c r="Q381" t="s">
        <v>7</v>
      </c>
    </row>
    <row r="382" spans="1:17">
      <c r="A382" t="s">
        <v>850</v>
      </c>
      <c r="B382" t="s">
        <v>762</v>
      </c>
      <c r="C382">
        <v>0</v>
      </c>
      <c r="E382" t="s">
        <v>854</v>
      </c>
      <c r="F382" t="s">
        <v>762</v>
      </c>
      <c r="H382">
        <v>999.99900000000002</v>
      </c>
      <c r="J382" s="600" t="s">
        <v>767</v>
      </c>
      <c r="K382">
        <v>108551459</v>
      </c>
      <c r="L382" s="2">
        <v>46148</v>
      </c>
      <c r="M382">
        <v>28</v>
      </c>
      <c r="N382">
        <v>1</v>
      </c>
      <c r="O382">
        <v>0</v>
      </c>
      <c r="P382">
        <v>1</v>
      </c>
      <c r="Q382" t="s">
        <v>7</v>
      </c>
    </row>
    <row r="383" spans="1:17">
      <c r="A383" t="s">
        <v>850</v>
      </c>
      <c r="B383" t="s">
        <v>762</v>
      </c>
      <c r="C383">
        <v>0</v>
      </c>
      <c r="E383" t="s">
        <v>865</v>
      </c>
      <c r="F383" t="s">
        <v>865</v>
      </c>
      <c r="G383" t="s">
        <v>909</v>
      </c>
      <c r="H383">
        <v>2.9369999999999998</v>
      </c>
      <c r="J383" s="600" t="s">
        <v>767</v>
      </c>
      <c r="K383">
        <v>108506608</v>
      </c>
      <c r="L383" s="2">
        <v>46164</v>
      </c>
      <c r="M383">
        <v>24</v>
      </c>
      <c r="N383">
        <v>2</v>
      </c>
      <c r="O383">
        <v>7</v>
      </c>
      <c r="P383">
        <v>1</v>
      </c>
      <c r="Q383" t="s">
        <v>7</v>
      </c>
    </row>
    <row r="384" spans="1:17">
      <c r="A384" t="s">
        <v>850</v>
      </c>
      <c r="B384" t="s">
        <v>762</v>
      </c>
      <c r="C384">
        <v>2.1000000000000001E-2</v>
      </c>
      <c r="D384" t="s">
        <v>754</v>
      </c>
      <c r="E384" t="s">
        <v>853</v>
      </c>
      <c r="F384" t="s">
        <v>855</v>
      </c>
      <c r="G384" t="s">
        <v>909</v>
      </c>
      <c r="H384">
        <v>2.9870000000000001</v>
      </c>
      <c r="J384" s="600" t="s">
        <v>767</v>
      </c>
      <c r="K384">
        <v>108516973</v>
      </c>
      <c r="L384" s="2">
        <v>46168</v>
      </c>
      <c r="M384">
        <v>28</v>
      </c>
      <c r="N384">
        <v>2</v>
      </c>
      <c r="O384">
        <v>0</v>
      </c>
      <c r="P384">
        <v>1</v>
      </c>
    </row>
    <row r="385" spans="1:17">
      <c r="A385" t="s">
        <v>850</v>
      </c>
      <c r="B385" t="s">
        <v>762</v>
      </c>
      <c r="C385">
        <v>0</v>
      </c>
      <c r="E385" t="s">
        <v>918</v>
      </c>
      <c r="F385" t="s">
        <v>913</v>
      </c>
      <c r="G385" t="s">
        <v>909</v>
      </c>
      <c r="H385">
        <v>3.226</v>
      </c>
      <c r="J385" s="600" t="s">
        <v>767</v>
      </c>
      <c r="K385">
        <v>108532983</v>
      </c>
      <c r="L385" s="2">
        <v>46178</v>
      </c>
      <c r="M385">
        <v>30</v>
      </c>
      <c r="N385">
        <v>1</v>
      </c>
      <c r="O385">
        <v>0</v>
      </c>
      <c r="P385">
        <v>1</v>
      </c>
      <c r="Q385" t="s">
        <v>7</v>
      </c>
    </row>
    <row r="386" spans="1:17">
      <c r="A386" t="s">
        <v>751</v>
      </c>
      <c r="B386" t="s">
        <v>897</v>
      </c>
      <c r="C386">
        <v>0.28999999999999998</v>
      </c>
      <c r="D386" t="s">
        <v>753</v>
      </c>
      <c r="E386" t="s">
        <v>948</v>
      </c>
      <c r="F386" t="s">
        <v>956</v>
      </c>
      <c r="G386" t="s">
        <v>897</v>
      </c>
      <c r="H386">
        <v>3.3940000000000001</v>
      </c>
      <c r="J386" s="600" t="s">
        <v>767</v>
      </c>
      <c r="K386">
        <v>108530730</v>
      </c>
      <c r="L386" s="2">
        <v>46187</v>
      </c>
      <c r="M386">
        <v>19</v>
      </c>
      <c r="N386">
        <v>1</v>
      </c>
      <c r="O386">
        <v>0</v>
      </c>
      <c r="P386">
        <v>1</v>
      </c>
      <c r="Q386" t="s">
        <v>8</v>
      </c>
    </row>
    <row r="387" spans="1:17">
      <c r="A387" t="s">
        <v>751</v>
      </c>
      <c r="B387" t="s">
        <v>897</v>
      </c>
      <c r="C387">
        <v>0.28999999999999998</v>
      </c>
      <c r="D387" t="s">
        <v>753</v>
      </c>
      <c r="E387" t="s">
        <v>948</v>
      </c>
      <c r="F387" t="s">
        <v>956</v>
      </c>
      <c r="G387" t="s">
        <v>897</v>
      </c>
      <c r="H387">
        <v>3.3940000000000001</v>
      </c>
      <c r="J387" s="600" t="s">
        <v>767</v>
      </c>
      <c r="K387">
        <v>108532682</v>
      </c>
      <c r="L387" s="2">
        <v>46187</v>
      </c>
      <c r="M387">
        <v>31</v>
      </c>
      <c r="N387">
        <v>1</v>
      </c>
      <c r="O387">
        <v>0</v>
      </c>
      <c r="P387">
        <v>1</v>
      </c>
      <c r="Q387" t="s">
        <v>7</v>
      </c>
    </row>
    <row r="388" spans="1:17">
      <c r="A388" t="s">
        <v>751</v>
      </c>
      <c r="B388" t="s">
        <v>897</v>
      </c>
      <c r="C388">
        <v>0</v>
      </c>
      <c r="E388" t="s">
        <v>900</v>
      </c>
      <c r="F388" t="s">
        <v>901</v>
      </c>
      <c r="H388">
        <v>999.99900000000002</v>
      </c>
      <c r="J388" s="600" t="s">
        <v>767</v>
      </c>
      <c r="K388">
        <v>108556564</v>
      </c>
      <c r="L388" s="2">
        <v>46210</v>
      </c>
      <c r="M388">
        <v>19</v>
      </c>
      <c r="N388">
        <v>2</v>
      </c>
      <c r="O388">
        <v>4</v>
      </c>
      <c r="P388">
        <v>5</v>
      </c>
      <c r="Q388" t="s">
        <v>3</v>
      </c>
    </row>
    <row r="389" spans="1:17">
      <c r="A389" t="s">
        <v>850</v>
      </c>
      <c r="B389" t="s">
        <v>762</v>
      </c>
      <c r="C389">
        <v>0</v>
      </c>
      <c r="E389" t="s">
        <v>855</v>
      </c>
      <c r="F389" t="s">
        <v>853</v>
      </c>
      <c r="G389" t="s">
        <v>909</v>
      </c>
      <c r="H389">
        <v>2.996</v>
      </c>
      <c r="J389" s="600" t="s">
        <v>767</v>
      </c>
      <c r="K389">
        <v>108553169</v>
      </c>
      <c r="L389" s="2">
        <v>46211</v>
      </c>
      <c r="M389">
        <v>28</v>
      </c>
      <c r="N389">
        <v>1</v>
      </c>
      <c r="O389">
        <v>0</v>
      </c>
      <c r="P389">
        <v>1</v>
      </c>
      <c r="Q389" t="s">
        <v>7</v>
      </c>
    </row>
    <row r="390" spans="1:17">
      <c r="A390" t="s">
        <v>867</v>
      </c>
      <c r="B390" t="s">
        <v>936</v>
      </c>
      <c r="C390">
        <v>0</v>
      </c>
      <c r="E390" t="s">
        <v>869</v>
      </c>
      <c r="F390" t="s">
        <v>986</v>
      </c>
      <c r="G390" t="s">
        <v>883</v>
      </c>
      <c r="H390">
        <v>20.498000000000001</v>
      </c>
      <c r="J390" s="600" t="s">
        <v>767</v>
      </c>
      <c r="K390">
        <v>108561053</v>
      </c>
      <c r="L390" s="2">
        <v>46214</v>
      </c>
      <c r="M390">
        <v>32</v>
      </c>
      <c r="N390">
        <v>1</v>
      </c>
      <c r="O390">
        <v>0</v>
      </c>
      <c r="P390">
        <v>1</v>
      </c>
      <c r="Q390" t="s">
        <v>3</v>
      </c>
    </row>
  </sheetData>
  <sheetProtection formatCells="0" formatColumns="0" formatRows="0" insertColumns="0" insertRows="0" insertHyperlinks="0" sort="0" autoFilter="0" pivotTables="0"/>
  <autoFilter ref="A1:AB390" xr:uid="{002A76AE-0675-4708-A4B8-3B450A88943B}"/>
  <sortState xmlns:xlrd2="http://schemas.microsoft.com/office/spreadsheetml/2017/richdata2" ref="A3:Z124">
    <sortCondition ref="J3:J124" customList="IS,ADD,DEL,NIS"/>
    <sortCondition ref="G3:G124"/>
    <sortCondition ref="H3:H124"/>
    <sortCondition ref="B3:B124"/>
    <sortCondition ref="E3:E124"/>
    <sortCondition ref="F3:F124"/>
    <sortCondition ref="M3:M124"/>
  </sortState>
  <hyperlinks>
    <hyperlink ref="U33" r:id="rId1" display="http://maps.google.com/?q=35.988188,-80.06655" xr:uid="{6809DDD5-012E-42D8-80FE-5E327FC7B608}"/>
    <hyperlink ref="U34" r:id="rId2" display="http://maps.google.com/?q=35.98827,-80.06647" xr:uid="{882B6CFB-0CF3-4D94-952A-9C03AE493095}"/>
    <hyperlink ref="U40" r:id="rId3" display="http://maps.google.com/?q=35.98822,-80.0666" xr:uid="{8626623D-303B-4A6C-B43B-5B694D94A270}"/>
    <hyperlink ref="U42" r:id="rId4" display="http://maps.google.com/?q=35.99109,-80.06337" xr:uid="{18764EEE-7F7A-4923-A401-FA9F3456D1C3}"/>
    <hyperlink ref="U43" r:id="rId5" display="http://maps.google.com/?q=35.99211,-80.06229" xr:uid="{4452C195-70B9-4CB1-86B3-413262E6BD19}"/>
    <hyperlink ref="U6" r:id="rId6" display="http://maps.google.com/?q=35.994472,-80.06245" xr:uid="{50D30F70-13C8-41DF-AF66-DD2C2750A38C}"/>
    <hyperlink ref="U7" r:id="rId7" display="http://maps.google.com/?q=35.994456,-80.06247" xr:uid="{42F41823-3A08-433B-A6FD-83552F378E56}"/>
    <hyperlink ref="U9" r:id="rId8" display="http://maps.google.com/?q=35.994456,-80.06247" xr:uid="{E1863833-6EA8-4662-B9B6-AC967AF50C0D}"/>
    <hyperlink ref="U12" r:id="rId9" display="http://maps.google.com/?q=35.99443,-80.06258" xr:uid="{F7918589-DFCF-49EB-887D-08E274C149FC}"/>
    <hyperlink ref="U13" r:id="rId10" display="http://maps.google.com/?q=35.9945,-80.06249" xr:uid="{EF42271A-9243-4AB1-B262-A7EAA455C839}"/>
    <hyperlink ref="U44" r:id="rId11" display="http://maps.google.com/?q=35.994508,-80.062469" xr:uid="{9E423474-BA9F-45FE-B184-BC0561C9D7D5}"/>
    <hyperlink ref="U24" r:id="rId12" display="http://maps.google.com/?q=35.99812,-80.06297" xr:uid="{FD1BAA4E-AA7F-471A-9071-E821981F5D39}"/>
    <hyperlink ref="U47" r:id="rId13" display="http://maps.google.com/?q=36.00188,-80.063" xr:uid="{AC1F348A-ABE4-4D05-83AD-B61F749A8520}"/>
    <hyperlink ref="U50" r:id="rId14" display="http://maps.google.com/?q=36.00331,-80.06219" xr:uid="{DBC3741C-7496-4B36-A282-375BD3F3ED63}"/>
    <hyperlink ref="U136" r:id="rId15" display="http://maps.google.com/?q=36.00713,-80.0606" xr:uid="{A57F7FE3-5F7D-497C-BB7E-7C5C57BEFFCA}"/>
    <hyperlink ref="U141" r:id="rId16" display="http://maps.google.com/?q=36.00762,-80.06054" xr:uid="{79046EEA-513A-4205-B95B-B638E39171E6}"/>
    <hyperlink ref="U55" r:id="rId17" display="http://maps.google.com/?q=36.009882,-80.06053" xr:uid="{36818076-A845-4472-8B8C-0D03E50277B3}"/>
    <hyperlink ref="U58" r:id="rId18" display="http://maps.google.com/?q=36.016926,-80.06724" xr:uid="{D62DD677-F0C1-4BE2-9075-659F37797D40}"/>
    <hyperlink ref="U150" r:id="rId19" display="http://maps.google.com/?q=36.0015,-80.06301" xr:uid="{5254B3FA-6D5A-4002-A758-ECA833C7BA82}"/>
    <hyperlink ref="U64" r:id="rId20" display="http://maps.google.com/?q=36.00034,-80.06173" xr:uid="{72B251ED-5EDB-496B-BFFC-6CAF69E9F202}"/>
    <hyperlink ref="U20" r:id="rId21" display="http://maps.google.com/?q=36.009579,-80.06063" xr:uid="{4A5BC120-08FE-4F49-BB17-38E16209728D}"/>
    <hyperlink ref="U68" r:id="rId22" display="http://maps.google.com/?q=36.011641,-80.06052" xr:uid="{7BDE9C64-3A99-4847-B94D-EBAEBB440369}"/>
    <hyperlink ref="U72" r:id="rId23" display="http://maps.google.com/?q=35.99133,-80.06282" xr:uid="{0B9AFC9F-CFCC-475D-9181-AB026CB687FF}"/>
    <hyperlink ref="U75" r:id="rId24" display="http://maps.google.com/?q=35.99142,-80.06269" xr:uid="{F468421B-8E48-4EBE-86E4-54D1D27A6F6C}"/>
    <hyperlink ref="U79" r:id="rId25" display="http://maps.google.com/?q=35.99945,-80.06305" xr:uid="{F96F7DB8-535C-4F68-8741-A495F1DFFDAA}"/>
    <hyperlink ref="U86" r:id="rId26" display="http://maps.google.com/?q=35.9883,-80.06657" xr:uid="{81D64943-6E0D-48BC-8C2C-E3C7923363BB}"/>
    <hyperlink ref="U89" r:id="rId27" display="http://maps.google.com/?q=36.0045,-80.06138" xr:uid="{A437C76D-02DA-4086-9525-F53D857A928A}"/>
    <hyperlink ref="U90" r:id="rId28" display="http://maps.google.com/?q=36.0045,-80.06142" xr:uid="{A593AAFE-7B7D-4FF5-80C1-4349910F7F53}"/>
    <hyperlink ref="U91" r:id="rId29" display="http://maps.google.com/?q=35.99923,-80.06299" xr:uid="{7BA0B980-74A8-4527-9A7B-62773CE26853}"/>
    <hyperlink ref="U97" r:id="rId30" display="http://maps.google.com/?q=36.00694,-80.06093" xr:uid="{69F19466-422B-40E2-806A-307AB1493D3E}"/>
    <hyperlink ref="U157" r:id="rId31" display="http://maps.google.com/?q=36.007196,-80.0607" xr:uid="{86E28C7F-83DD-40A8-B149-F5F20402FC9A}"/>
    <hyperlink ref="U159" r:id="rId32" display="http://maps.google.com/?q=36.00613,-80.06076" xr:uid="{85311B56-BFB5-48FB-83C9-05123E06AB5A}"/>
    <hyperlink ref="U100" r:id="rId33" display="http://maps.google.com/?q=35.99301,-80.04478" xr:uid="{F3E89B99-A136-4660-A618-00416E7D69A2}"/>
    <hyperlink ref="U21" r:id="rId34" display="http://maps.google.com/?q=35.99413,-80.06176" xr:uid="{ACA50931-E12C-4FF0-AC97-03B415FE1744}"/>
    <hyperlink ref="U110" r:id="rId35" display="http://maps.google.com/?q=35.99383,-80.06044" xr:uid="{90F8EB6D-083C-419E-8BF1-A6C82124171C}"/>
    <hyperlink ref="U113" r:id="rId36" display="http://maps.google.com/?q=35.99805,-80.05136" xr:uid="{7D40D859-1B5B-496B-A15F-EBE1DFDC1C80}"/>
    <hyperlink ref="U114" r:id="rId37" display="http://maps.google.com/?q=35.99442,-80.04028" xr:uid="{6BA3FBDC-C779-4A30-9B4D-9C7218339F39}"/>
    <hyperlink ref="U115" r:id="rId38" display="http://maps.google.com/?q=35.993488,-80.057046" xr:uid="{2BB526A8-52EA-40B7-B51D-14EB8D3DB1D6}"/>
    <hyperlink ref="U116" r:id="rId39" display="http://maps.google.com/?q=35.99305,-80.05136" xr:uid="{C86D307C-7E7F-4D8B-A528-E44E376DC1E4}"/>
    <hyperlink ref="U117" r:id="rId40" display="http://maps.google.com/?q=35.993001,-80.05102" xr:uid="{CAF02CFA-79E9-4F69-B989-3483D0BC75A5}"/>
    <hyperlink ref="U119" r:id="rId41" display="http://maps.google.com/?q=35.99182,-80.04815" xr:uid="{3E00942C-FD00-418C-AFE6-FD1B492C5184}"/>
    <hyperlink ref="U161" r:id="rId42" display="http://maps.google.com/?q=35.988089,-80.06656" xr:uid="{1DBAE123-2CAB-4072-BFB2-CA8938A09680}"/>
    <hyperlink ref="U164" r:id="rId43" display="http://maps.google.com/?q=35.98818,-80.06642" xr:uid="{EFC2306E-2E80-4CA9-845E-1C341EB59483}"/>
    <hyperlink ref="U166" r:id="rId44" display="http://maps.google.com/?q=35.9881,-80.06659" xr:uid="{767B7E4D-AA3A-4750-9B37-FE506E8B180A}"/>
    <hyperlink ref="U168" r:id="rId45" display="http://maps.google.com/?q=35.98836,-80.0668" xr:uid="{45ED4145-E9E9-4C5F-B19A-5FBB04536863}"/>
    <hyperlink ref="U171" r:id="rId46" display="http://maps.google.com/?q=35.99462,-80.06257" xr:uid="{770C610D-B70E-4C0B-9302-011CF27F351E}"/>
    <hyperlink ref="U175" r:id="rId47" display="http://maps.google.com/?q=36.000828,-80.06297" xr:uid="{6AE76ED0-7214-4984-A3F1-015D458B4D19}"/>
    <hyperlink ref="U120" r:id="rId48" display="http://maps.google.com/?q=35.818197,-80.245566" xr:uid="{F67E7C25-EE80-490C-AC72-2A04A6C147FE}"/>
  </hyperlinks>
  <pageMargins left="0.7" right="0.7" top="0.75" bottom="0.75" header="0.3" footer="0.3"/>
  <pageSetup orientation="portrait" r:id="rId49"/>
  <drawing r:id="rId5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dimension ref="A1:AB391"/>
  <sheetViews>
    <sheetView tabSelected="1" topLeftCell="G1" workbookViewId="0">
      <selection activeCell="AB12" sqref="AB12"/>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739</v>
      </c>
      <c r="B1" t="s">
        <v>740</v>
      </c>
      <c r="C1" t="s">
        <v>741</v>
      </c>
      <c r="D1" t="s">
        <v>742</v>
      </c>
      <c r="E1" t="s">
        <v>743</v>
      </c>
      <c r="F1" t="s">
        <v>744</v>
      </c>
      <c r="G1" t="s">
        <v>745</v>
      </c>
      <c r="H1" t="s">
        <v>746</v>
      </c>
      <c r="I1" t="s">
        <v>747</v>
      </c>
      <c r="J1" t="s">
        <v>763</v>
      </c>
      <c r="K1" t="s">
        <v>0</v>
      </c>
      <c r="L1" t="s">
        <v>1</v>
      </c>
      <c r="M1" t="s">
        <v>2</v>
      </c>
      <c r="N1" t="s">
        <v>3</v>
      </c>
      <c r="O1" t="s">
        <v>4</v>
      </c>
      <c r="P1" t="s">
        <v>5</v>
      </c>
      <c r="Q1" t="s">
        <v>6</v>
      </c>
      <c r="R1" t="s">
        <v>748</v>
      </c>
      <c r="S1" t="s">
        <v>749</v>
      </c>
      <c r="T1" t="s">
        <v>750</v>
      </c>
      <c r="U1" t="s">
        <v>367</v>
      </c>
      <c r="V1" t="s">
        <v>764</v>
      </c>
      <c r="W1" t="s">
        <v>765</v>
      </c>
      <c r="X1" t="s">
        <v>780</v>
      </c>
      <c r="Y1" t="s">
        <v>781</v>
      </c>
      <c r="Z1" t="s">
        <v>782</v>
      </c>
      <c r="AA1" t="s">
        <v>716</v>
      </c>
      <c r="AB1" t="s">
        <v>56</v>
      </c>
    </row>
    <row r="2" spans="1:28" s="613" customFormat="1">
      <c r="A2" s="613" t="str">
        <f>Before!A2</f>
        <v>Before Period (03/01/17 - 09/30/21)</v>
      </c>
    </row>
    <row r="3" spans="1:28">
      <c r="A3" t="s">
        <v>867</v>
      </c>
      <c r="B3" t="s">
        <v>869</v>
      </c>
      <c r="C3">
        <v>0</v>
      </c>
      <c r="E3" t="s">
        <v>762</v>
      </c>
      <c r="F3" t="s">
        <v>762</v>
      </c>
      <c r="G3" t="s">
        <v>869</v>
      </c>
      <c r="H3">
        <v>0.31</v>
      </c>
      <c r="J3" s="600" t="s">
        <v>766</v>
      </c>
      <c r="K3">
        <v>105172416</v>
      </c>
      <c r="L3" s="2">
        <v>42935</v>
      </c>
      <c r="M3">
        <v>31</v>
      </c>
      <c r="N3">
        <v>1</v>
      </c>
      <c r="O3">
        <v>0</v>
      </c>
      <c r="P3">
        <v>1</v>
      </c>
      <c r="Q3" t="s">
        <v>7</v>
      </c>
      <c r="W3" t="s">
        <v>992</v>
      </c>
      <c r="X3" t="s">
        <v>318</v>
      </c>
      <c r="Y3" t="s">
        <v>771</v>
      </c>
      <c r="Z3" t="s">
        <v>993</v>
      </c>
      <c r="AA3" t="s">
        <v>994</v>
      </c>
      <c r="AB3" t="s">
        <v>995</v>
      </c>
    </row>
    <row r="4" spans="1:28">
      <c r="A4" t="s">
        <v>867</v>
      </c>
      <c r="B4" t="s">
        <v>869</v>
      </c>
      <c r="C4">
        <v>0</v>
      </c>
      <c r="E4" t="s">
        <v>762</v>
      </c>
      <c r="F4" t="s">
        <v>887</v>
      </c>
      <c r="G4" t="s">
        <v>869</v>
      </c>
      <c r="H4">
        <v>0.31</v>
      </c>
      <c r="J4" s="600" t="s">
        <v>766</v>
      </c>
      <c r="K4">
        <v>105273794</v>
      </c>
      <c r="L4" s="2">
        <v>43041</v>
      </c>
      <c r="M4">
        <v>31</v>
      </c>
      <c r="N4">
        <v>1</v>
      </c>
      <c r="O4">
        <v>0</v>
      </c>
      <c r="P4">
        <v>1</v>
      </c>
      <c r="Q4" t="s">
        <v>7</v>
      </c>
      <c r="W4" t="s">
        <v>996</v>
      </c>
      <c r="X4" t="s">
        <v>318</v>
      </c>
      <c r="Y4" t="s">
        <v>993</v>
      </c>
      <c r="Z4" t="s">
        <v>771</v>
      </c>
      <c r="AA4" t="s">
        <v>997</v>
      </c>
      <c r="AB4" t="s">
        <v>998</v>
      </c>
    </row>
    <row r="5" spans="1:28">
      <c r="A5" t="s">
        <v>867</v>
      </c>
      <c r="B5" t="s">
        <v>762</v>
      </c>
      <c r="C5">
        <v>0</v>
      </c>
      <c r="E5" t="s">
        <v>869</v>
      </c>
      <c r="F5" t="s">
        <v>891</v>
      </c>
      <c r="G5" t="s">
        <v>943</v>
      </c>
      <c r="H5">
        <v>1.36</v>
      </c>
      <c r="J5" s="600" t="s">
        <v>766</v>
      </c>
      <c r="K5">
        <v>105329673</v>
      </c>
      <c r="L5" s="2">
        <v>43089</v>
      </c>
      <c r="M5">
        <v>30</v>
      </c>
      <c r="N5">
        <v>2</v>
      </c>
      <c r="O5">
        <v>7</v>
      </c>
      <c r="P5">
        <v>1</v>
      </c>
      <c r="Q5" t="s">
        <v>7</v>
      </c>
      <c r="W5" t="s">
        <v>999</v>
      </c>
      <c r="X5" t="s">
        <v>715</v>
      </c>
      <c r="Y5" t="s">
        <v>784</v>
      </c>
      <c r="Z5" t="s">
        <v>771</v>
      </c>
      <c r="AA5" t="s">
        <v>994</v>
      </c>
      <c r="AB5" t="s">
        <v>1000</v>
      </c>
    </row>
    <row r="6" spans="1:28">
      <c r="A6" t="s">
        <v>867</v>
      </c>
      <c r="B6" t="s">
        <v>869</v>
      </c>
      <c r="C6">
        <v>0</v>
      </c>
      <c r="D6" t="s">
        <v>753</v>
      </c>
      <c r="E6" t="s">
        <v>762</v>
      </c>
      <c r="F6" t="s">
        <v>891</v>
      </c>
      <c r="G6" t="s">
        <v>869</v>
      </c>
      <c r="H6">
        <v>0.31</v>
      </c>
      <c r="J6" s="600" t="s">
        <v>766</v>
      </c>
      <c r="K6">
        <v>105532814</v>
      </c>
      <c r="L6" s="2">
        <v>43284</v>
      </c>
      <c r="M6">
        <v>32</v>
      </c>
      <c r="N6">
        <v>1</v>
      </c>
      <c r="O6">
        <v>0</v>
      </c>
      <c r="P6">
        <v>1</v>
      </c>
      <c r="Q6" t="s">
        <v>7</v>
      </c>
      <c r="W6" t="s">
        <v>1001</v>
      </c>
      <c r="X6" t="s">
        <v>720</v>
      </c>
      <c r="Y6" t="s">
        <v>1002</v>
      </c>
      <c r="Z6" t="s">
        <v>1003</v>
      </c>
      <c r="AA6" t="s">
        <v>994</v>
      </c>
      <c r="AB6" t="s">
        <v>1004</v>
      </c>
    </row>
    <row r="7" spans="1:28">
      <c r="A7" t="s">
        <v>867</v>
      </c>
      <c r="B7" t="s">
        <v>869</v>
      </c>
      <c r="C7">
        <v>0</v>
      </c>
      <c r="E7" t="s">
        <v>762</v>
      </c>
      <c r="F7" t="s">
        <v>762</v>
      </c>
      <c r="G7" t="s">
        <v>869</v>
      </c>
      <c r="H7">
        <v>0.31</v>
      </c>
      <c r="J7" s="600" t="s">
        <v>766</v>
      </c>
      <c r="K7">
        <v>106097127</v>
      </c>
      <c r="L7" s="2">
        <v>43805</v>
      </c>
      <c r="M7">
        <v>21</v>
      </c>
      <c r="N7">
        <v>1</v>
      </c>
      <c r="O7">
        <v>7</v>
      </c>
      <c r="P7">
        <v>4</v>
      </c>
      <c r="Q7" t="s">
        <v>3</v>
      </c>
      <c r="W7" t="s">
        <v>1005</v>
      </c>
      <c r="X7" t="s">
        <v>311</v>
      </c>
      <c r="Y7" t="s">
        <v>1003</v>
      </c>
      <c r="Z7" t="s">
        <v>1003</v>
      </c>
      <c r="AA7" t="s">
        <v>997</v>
      </c>
      <c r="AB7" t="s">
        <v>1006</v>
      </c>
    </row>
    <row r="8" spans="1:28">
      <c r="A8" t="s">
        <v>867</v>
      </c>
      <c r="B8" t="s">
        <v>762</v>
      </c>
      <c r="C8">
        <v>0</v>
      </c>
      <c r="E8" t="s">
        <v>869</v>
      </c>
      <c r="F8" t="s">
        <v>924</v>
      </c>
      <c r="G8" t="s">
        <v>943</v>
      </c>
      <c r="H8">
        <v>1.36</v>
      </c>
      <c r="J8" s="600" t="s">
        <v>766</v>
      </c>
      <c r="K8">
        <v>106412908</v>
      </c>
      <c r="L8" s="2">
        <v>44152</v>
      </c>
      <c r="M8">
        <v>20</v>
      </c>
      <c r="N8">
        <v>1</v>
      </c>
      <c r="O8">
        <v>0</v>
      </c>
      <c r="P8">
        <v>1</v>
      </c>
      <c r="W8" t="s">
        <v>1007</v>
      </c>
      <c r="X8" t="s">
        <v>318</v>
      </c>
      <c r="Y8" t="s">
        <v>1003</v>
      </c>
      <c r="AA8" t="s">
        <v>997</v>
      </c>
      <c r="AB8" t="s">
        <v>1008</v>
      </c>
    </row>
    <row r="9" spans="1:28">
      <c r="A9" t="s">
        <v>867</v>
      </c>
      <c r="B9" t="s">
        <v>762</v>
      </c>
      <c r="C9">
        <v>0</v>
      </c>
      <c r="E9" t="s">
        <v>869</v>
      </c>
      <c r="F9" t="s">
        <v>891</v>
      </c>
      <c r="G9" t="s">
        <v>943</v>
      </c>
      <c r="H9">
        <v>1.36</v>
      </c>
      <c r="J9" s="600" t="s">
        <v>766</v>
      </c>
      <c r="K9">
        <v>106594525</v>
      </c>
      <c r="L9" s="2">
        <v>44342</v>
      </c>
      <c r="M9">
        <v>23</v>
      </c>
      <c r="N9">
        <v>1</v>
      </c>
      <c r="O9">
        <v>8</v>
      </c>
      <c r="P9">
        <v>1</v>
      </c>
      <c r="Q9" t="s">
        <v>7</v>
      </c>
      <c r="W9" t="s">
        <v>1009</v>
      </c>
      <c r="X9" t="s">
        <v>717</v>
      </c>
      <c r="Y9" t="s">
        <v>1003</v>
      </c>
      <c r="Z9" t="s">
        <v>1010</v>
      </c>
      <c r="AA9" t="s">
        <v>994</v>
      </c>
      <c r="AB9" t="s">
        <v>1011</v>
      </c>
    </row>
    <row r="10" spans="1:28" s="613" customFormat="1">
      <c r="A10" s="613" t="str">
        <f>"Construction Period ("&amp;TEXT('Evaluation Set-up'!D10,"m/d/yy")&amp;"-"&amp;TEXT('Evaluation Set-up'!E10,"m/d/yy")&amp;")"</f>
        <v>Construction Period (10/1/21-12/31/21)</v>
      </c>
    </row>
    <row r="11" spans="1:28" s="610" customFormat="1">
      <c r="A11" s="613" t="str">
        <f>After!A2</f>
        <v>After Period (01/01/22 - 07/31/26)</v>
      </c>
      <c r="J11" s="611"/>
      <c r="L11" s="612"/>
    </row>
    <row r="12" spans="1:28">
      <c r="A12" t="s">
        <v>867</v>
      </c>
      <c r="B12" t="s">
        <v>869</v>
      </c>
      <c r="C12">
        <v>0</v>
      </c>
      <c r="E12" t="s">
        <v>762</v>
      </c>
      <c r="F12" t="s">
        <v>762</v>
      </c>
      <c r="G12" t="s">
        <v>869</v>
      </c>
      <c r="H12">
        <v>0.31</v>
      </c>
      <c r="J12" s="600" t="s">
        <v>766</v>
      </c>
      <c r="K12">
        <v>106899135</v>
      </c>
      <c r="L12" s="2">
        <v>44606</v>
      </c>
      <c r="M12">
        <v>30</v>
      </c>
      <c r="N12">
        <v>1</v>
      </c>
      <c r="O12">
        <v>0</v>
      </c>
      <c r="P12">
        <v>1</v>
      </c>
      <c r="Q12" t="s">
        <v>7</v>
      </c>
      <c r="W12" t="s">
        <v>1012</v>
      </c>
      <c r="X12" t="s">
        <v>715</v>
      </c>
      <c r="Y12" t="s">
        <v>1003</v>
      </c>
      <c r="Z12" t="s">
        <v>768</v>
      </c>
      <c r="AA12" t="s">
        <v>997</v>
      </c>
      <c r="AB12" t="s">
        <v>1013</v>
      </c>
    </row>
    <row r="13" spans="1:28">
      <c r="A13" t="s">
        <v>867</v>
      </c>
      <c r="B13" t="s">
        <v>762</v>
      </c>
      <c r="C13">
        <v>0</v>
      </c>
      <c r="E13" t="s">
        <v>869</v>
      </c>
      <c r="F13" t="s">
        <v>887</v>
      </c>
      <c r="G13" t="s">
        <v>943</v>
      </c>
      <c r="H13">
        <v>1.36</v>
      </c>
      <c r="J13" s="600" t="s">
        <v>766</v>
      </c>
      <c r="K13">
        <v>107863132</v>
      </c>
      <c r="L13" s="2">
        <v>45555</v>
      </c>
      <c r="M13">
        <v>28</v>
      </c>
      <c r="N13">
        <v>1</v>
      </c>
      <c r="O13">
        <v>10</v>
      </c>
      <c r="P13">
        <v>1</v>
      </c>
      <c r="Q13" t="s">
        <v>7</v>
      </c>
      <c r="W13" t="s">
        <v>1014</v>
      </c>
      <c r="X13" t="s">
        <v>314</v>
      </c>
      <c r="Y13" t="s">
        <v>768</v>
      </c>
      <c r="Z13" t="s">
        <v>768</v>
      </c>
      <c r="AA13" t="s">
        <v>997</v>
      </c>
      <c r="AB13" t="s">
        <v>1015</v>
      </c>
    </row>
    <row r="14" spans="1:28">
      <c r="A14" t="s">
        <v>867</v>
      </c>
      <c r="B14" t="s">
        <v>762</v>
      </c>
      <c r="C14">
        <v>0</v>
      </c>
      <c r="E14" t="s">
        <v>869</v>
      </c>
      <c r="F14" t="s">
        <v>924</v>
      </c>
      <c r="G14" t="s">
        <v>943</v>
      </c>
      <c r="H14">
        <v>1.36</v>
      </c>
      <c r="J14" s="600" t="s">
        <v>766</v>
      </c>
      <c r="K14">
        <v>107982237</v>
      </c>
      <c r="L14" s="2">
        <v>45665</v>
      </c>
      <c r="M14">
        <v>26</v>
      </c>
      <c r="N14">
        <v>1</v>
      </c>
      <c r="O14">
        <v>10</v>
      </c>
      <c r="P14">
        <v>1</v>
      </c>
      <c r="W14" t="s">
        <v>1016</v>
      </c>
      <c r="X14" t="s">
        <v>720</v>
      </c>
      <c r="Y14" t="s">
        <v>784</v>
      </c>
      <c r="Z14" t="s">
        <v>1017</v>
      </c>
      <c r="AA14" t="s">
        <v>994</v>
      </c>
      <c r="AB14" t="s">
        <v>1018</v>
      </c>
    </row>
    <row r="15" spans="1:28" s="608" customFormat="1">
      <c r="A15" s="607" t="s">
        <v>774</v>
      </c>
      <c r="L15" s="609"/>
    </row>
    <row r="16" spans="1:28">
      <c r="A16" t="s">
        <v>867</v>
      </c>
      <c r="B16" t="s">
        <v>762</v>
      </c>
      <c r="C16">
        <v>0</v>
      </c>
      <c r="E16" t="s">
        <v>869</v>
      </c>
      <c r="F16" t="s">
        <v>968</v>
      </c>
      <c r="G16" t="s">
        <v>943</v>
      </c>
      <c r="H16">
        <v>1.36</v>
      </c>
      <c r="J16" s="600" t="s">
        <v>769</v>
      </c>
      <c r="K16">
        <v>105478298</v>
      </c>
      <c r="L16" s="2">
        <v>43234</v>
      </c>
      <c r="M16">
        <v>20</v>
      </c>
      <c r="N16">
        <v>1</v>
      </c>
      <c r="O16">
        <v>0</v>
      </c>
      <c r="P16">
        <v>1</v>
      </c>
      <c r="Q16" t="s">
        <v>7</v>
      </c>
      <c r="W16" t="s">
        <v>1019</v>
      </c>
      <c r="X16" t="s">
        <v>318</v>
      </c>
      <c r="Y16" t="s">
        <v>784</v>
      </c>
      <c r="AA16" t="s">
        <v>997</v>
      </c>
      <c r="AB16" t="s">
        <v>1020</v>
      </c>
    </row>
    <row r="17" spans="1:28">
      <c r="A17" t="s">
        <v>867</v>
      </c>
      <c r="B17" t="s">
        <v>762</v>
      </c>
      <c r="C17">
        <v>1.9E-2</v>
      </c>
      <c r="D17" t="s">
        <v>754</v>
      </c>
      <c r="E17" t="s">
        <v>869</v>
      </c>
      <c r="F17" t="s">
        <v>762</v>
      </c>
      <c r="G17" t="s">
        <v>943</v>
      </c>
      <c r="H17">
        <v>1.379</v>
      </c>
      <c r="J17" s="600" t="s">
        <v>769</v>
      </c>
      <c r="K17">
        <v>105774815</v>
      </c>
      <c r="L17" s="2">
        <v>43511</v>
      </c>
      <c r="M17">
        <v>31</v>
      </c>
      <c r="N17">
        <v>1</v>
      </c>
      <c r="O17">
        <v>0</v>
      </c>
      <c r="P17">
        <v>1</v>
      </c>
      <c r="Q17" t="s">
        <v>7</v>
      </c>
      <c r="W17" t="s">
        <v>1021</v>
      </c>
      <c r="X17" t="s">
        <v>318</v>
      </c>
      <c r="Y17" t="s">
        <v>993</v>
      </c>
      <c r="AA17" t="s">
        <v>997</v>
      </c>
      <c r="AB17" t="s">
        <v>1022</v>
      </c>
    </row>
    <row r="18" spans="1:28">
      <c r="A18" t="s">
        <v>867</v>
      </c>
      <c r="B18" t="s">
        <v>762</v>
      </c>
      <c r="C18">
        <v>0</v>
      </c>
      <c r="E18" t="s">
        <v>869</v>
      </c>
      <c r="F18" t="s">
        <v>869</v>
      </c>
      <c r="G18" t="s">
        <v>943</v>
      </c>
      <c r="H18">
        <v>1.36</v>
      </c>
      <c r="J18" s="600" t="s">
        <v>769</v>
      </c>
      <c r="K18">
        <v>107479858</v>
      </c>
      <c r="L18" s="2">
        <v>45191</v>
      </c>
      <c r="M18">
        <v>31</v>
      </c>
      <c r="N18">
        <v>1</v>
      </c>
      <c r="O18">
        <v>0</v>
      </c>
      <c r="P18">
        <v>1</v>
      </c>
      <c r="Q18" t="s">
        <v>7</v>
      </c>
      <c r="W18" t="s">
        <v>1023</v>
      </c>
      <c r="X18" t="s">
        <v>318</v>
      </c>
      <c r="Y18" t="s">
        <v>993</v>
      </c>
      <c r="Z18" t="s">
        <v>768</v>
      </c>
      <c r="AA18" t="s">
        <v>997</v>
      </c>
      <c r="AB18" t="s">
        <v>1024</v>
      </c>
    </row>
    <row r="19" spans="1:28">
      <c r="A19" t="s">
        <v>867</v>
      </c>
      <c r="B19" t="s">
        <v>762</v>
      </c>
      <c r="C19">
        <v>0</v>
      </c>
      <c r="E19" t="s">
        <v>869</v>
      </c>
      <c r="F19" t="s">
        <v>869</v>
      </c>
      <c r="G19" t="s">
        <v>943</v>
      </c>
      <c r="H19">
        <v>1.36</v>
      </c>
      <c r="J19" s="600" t="s">
        <v>769</v>
      </c>
      <c r="K19">
        <v>107674222</v>
      </c>
      <c r="L19" s="2">
        <v>45384</v>
      </c>
      <c r="M19">
        <v>30</v>
      </c>
      <c r="N19">
        <v>1</v>
      </c>
      <c r="O19">
        <v>0</v>
      </c>
      <c r="P19">
        <v>1</v>
      </c>
      <c r="Q19" t="s">
        <v>7</v>
      </c>
      <c r="W19" t="s">
        <v>1025</v>
      </c>
      <c r="X19" t="s">
        <v>318</v>
      </c>
      <c r="Y19" t="s">
        <v>993</v>
      </c>
      <c r="Z19" t="s">
        <v>768</v>
      </c>
      <c r="AA19" t="s">
        <v>997</v>
      </c>
      <c r="AB19" t="s">
        <v>1026</v>
      </c>
    </row>
    <row r="20" spans="1:28">
      <c r="A20" t="s">
        <v>867</v>
      </c>
      <c r="B20" t="s">
        <v>762</v>
      </c>
      <c r="C20">
        <v>0</v>
      </c>
      <c r="E20" t="s">
        <v>869</v>
      </c>
      <c r="F20" t="s">
        <v>762</v>
      </c>
      <c r="G20" t="s">
        <v>943</v>
      </c>
      <c r="H20">
        <v>1.36</v>
      </c>
      <c r="J20" s="600" t="s">
        <v>769</v>
      </c>
      <c r="K20">
        <v>107817083</v>
      </c>
      <c r="L20" s="2">
        <v>45505</v>
      </c>
      <c r="M20">
        <v>21</v>
      </c>
      <c r="N20">
        <v>1</v>
      </c>
      <c r="O20">
        <v>0</v>
      </c>
      <c r="P20">
        <v>1</v>
      </c>
      <c r="Q20" t="s">
        <v>7</v>
      </c>
      <c r="W20" t="s">
        <v>1027</v>
      </c>
      <c r="X20" t="s">
        <v>318</v>
      </c>
      <c r="Y20" t="s">
        <v>993</v>
      </c>
      <c r="Z20" t="s">
        <v>768</v>
      </c>
      <c r="AA20" t="s">
        <v>997</v>
      </c>
      <c r="AB20" t="s">
        <v>1028</v>
      </c>
    </row>
    <row r="21" spans="1:28">
      <c r="A21" t="s">
        <v>867</v>
      </c>
      <c r="B21" t="s">
        <v>762</v>
      </c>
      <c r="C21">
        <v>1.9E-2</v>
      </c>
      <c r="D21" t="s">
        <v>761</v>
      </c>
      <c r="E21" t="s">
        <v>869</v>
      </c>
      <c r="F21" t="s">
        <v>968</v>
      </c>
      <c r="G21" t="s">
        <v>943</v>
      </c>
      <c r="H21">
        <v>1.379</v>
      </c>
      <c r="J21" s="600" t="s">
        <v>769</v>
      </c>
      <c r="K21">
        <v>108004793</v>
      </c>
      <c r="L21" s="2">
        <v>45682</v>
      </c>
      <c r="M21">
        <v>30</v>
      </c>
      <c r="N21">
        <v>1</v>
      </c>
      <c r="O21">
        <v>0</v>
      </c>
      <c r="P21">
        <v>1</v>
      </c>
      <c r="Q21" t="s">
        <v>7</v>
      </c>
      <c r="W21" t="s">
        <v>1029</v>
      </c>
      <c r="X21" t="s">
        <v>318</v>
      </c>
      <c r="Y21" t="s">
        <v>993</v>
      </c>
      <c r="AA21" t="s">
        <v>997</v>
      </c>
      <c r="AB21" t="s">
        <v>1030</v>
      </c>
    </row>
    <row r="22" spans="1:28">
      <c r="A22" t="s">
        <v>867</v>
      </c>
      <c r="B22" t="s">
        <v>762</v>
      </c>
      <c r="C22">
        <v>0</v>
      </c>
      <c r="E22" t="s">
        <v>869</v>
      </c>
      <c r="F22" t="s">
        <v>891</v>
      </c>
      <c r="G22" t="s">
        <v>943</v>
      </c>
      <c r="H22">
        <v>1.36</v>
      </c>
      <c r="J22" s="600" t="s">
        <v>769</v>
      </c>
      <c r="K22">
        <v>108089406</v>
      </c>
      <c r="L22" s="2">
        <v>45771</v>
      </c>
      <c r="M22">
        <v>31</v>
      </c>
      <c r="N22">
        <v>1</v>
      </c>
      <c r="O22">
        <v>0</v>
      </c>
      <c r="P22">
        <v>1</v>
      </c>
      <c r="Q22" t="s">
        <v>7</v>
      </c>
      <c r="W22" t="s">
        <v>1031</v>
      </c>
      <c r="X22" t="s">
        <v>318</v>
      </c>
      <c r="Z22" t="s">
        <v>993</v>
      </c>
      <c r="AA22" t="s">
        <v>994</v>
      </c>
      <c r="AB22" t="s">
        <v>1032</v>
      </c>
    </row>
    <row r="23" spans="1:28" s="605" customFormat="1">
      <c r="A23" s="604" t="s">
        <v>773</v>
      </c>
      <c r="L23" s="606"/>
    </row>
    <row r="24" spans="1:28">
      <c r="A24" t="s">
        <v>867</v>
      </c>
      <c r="B24" t="s">
        <v>762</v>
      </c>
      <c r="C24">
        <v>1.9E-2</v>
      </c>
      <c r="D24" t="s">
        <v>6</v>
      </c>
      <c r="E24" t="s">
        <v>903</v>
      </c>
      <c r="F24" t="s">
        <v>891</v>
      </c>
      <c r="G24" t="s">
        <v>943</v>
      </c>
      <c r="H24">
        <v>1.149</v>
      </c>
      <c r="J24" s="600" t="s">
        <v>767</v>
      </c>
      <c r="K24">
        <v>105034371</v>
      </c>
      <c r="L24" s="2">
        <v>42804</v>
      </c>
      <c r="M24">
        <v>31</v>
      </c>
      <c r="N24">
        <v>1</v>
      </c>
      <c r="O24">
        <v>0</v>
      </c>
      <c r="P24">
        <v>1</v>
      </c>
      <c r="Q24" t="s">
        <v>7</v>
      </c>
      <c r="W24" t="s">
        <v>1033</v>
      </c>
      <c r="X24" t="s">
        <v>318</v>
      </c>
      <c r="Y24" t="s">
        <v>993</v>
      </c>
      <c r="AA24" t="s">
        <v>997</v>
      </c>
      <c r="AB24" t="s">
        <v>1034</v>
      </c>
    </row>
    <row r="25" spans="1:28">
      <c r="A25" t="s">
        <v>867</v>
      </c>
      <c r="B25" t="s">
        <v>869</v>
      </c>
      <c r="C25">
        <v>0</v>
      </c>
      <c r="E25" t="s">
        <v>869</v>
      </c>
      <c r="F25" t="s">
        <v>930</v>
      </c>
      <c r="G25" t="s">
        <v>869</v>
      </c>
      <c r="H25">
        <v>999.99900000000002</v>
      </c>
      <c r="J25" s="600" t="s">
        <v>767</v>
      </c>
      <c r="K25">
        <v>105202508</v>
      </c>
      <c r="L25" s="2">
        <v>42965</v>
      </c>
      <c r="M25">
        <v>21</v>
      </c>
      <c r="N25">
        <v>1</v>
      </c>
      <c r="O25">
        <v>0</v>
      </c>
      <c r="P25">
        <v>1</v>
      </c>
      <c r="Q25" t="s">
        <v>3</v>
      </c>
      <c r="W25" t="s">
        <v>1035</v>
      </c>
      <c r="X25" t="s">
        <v>311</v>
      </c>
      <c r="Y25" t="s">
        <v>771</v>
      </c>
      <c r="Z25" t="s">
        <v>1010</v>
      </c>
      <c r="AA25" t="s">
        <v>997</v>
      </c>
      <c r="AB25" t="s">
        <v>1036</v>
      </c>
    </row>
    <row r="26" spans="1:28">
      <c r="A26" t="s">
        <v>751</v>
      </c>
      <c r="B26" t="s">
        <v>943</v>
      </c>
      <c r="C26">
        <v>8.9999999999999993E-3</v>
      </c>
      <c r="D26" t="s">
        <v>6</v>
      </c>
      <c r="E26" t="s">
        <v>949</v>
      </c>
      <c r="F26" t="s">
        <v>966</v>
      </c>
      <c r="G26" t="s">
        <v>943</v>
      </c>
      <c r="H26">
        <v>1.4950000000000001</v>
      </c>
      <c r="J26" s="600" t="s">
        <v>767</v>
      </c>
      <c r="K26">
        <v>105220466</v>
      </c>
      <c r="L26" s="2">
        <v>42991</v>
      </c>
      <c r="M26">
        <v>21</v>
      </c>
      <c r="N26">
        <v>1</v>
      </c>
      <c r="O26">
        <v>7</v>
      </c>
      <c r="P26">
        <v>1</v>
      </c>
      <c r="Q26" t="s">
        <v>7</v>
      </c>
      <c r="W26" t="s">
        <v>1037</v>
      </c>
      <c r="X26" t="s">
        <v>311</v>
      </c>
      <c r="Y26" t="s">
        <v>1038</v>
      </c>
      <c r="Z26" t="s">
        <v>1038</v>
      </c>
      <c r="AA26" t="s">
        <v>997</v>
      </c>
      <c r="AB26" t="s">
        <v>1039</v>
      </c>
    </row>
    <row r="27" spans="1:28">
      <c r="A27" t="s">
        <v>867</v>
      </c>
      <c r="B27" t="s">
        <v>762</v>
      </c>
      <c r="C27">
        <v>0.114</v>
      </c>
      <c r="D27" t="s">
        <v>6</v>
      </c>
      <c r="E27" t="s">
        <v>891</v>
      </c>
      <c r="F27" t="s">
        <v>869</v>
      </c>
      <c r="G27" t="s">
        <v>943</v>
      </c>
      <c r="H27">
        <v>1.39</v>
      </c>
      <c r="J27" s="600" t="s">
        <v>767</v>
      </c>
      <c r="K27">
        <v>105255322</v>
      </c>
      <c r="L27" s="2">
        <v>43025</v>
      </c>
      <c r="M27">
        <v>31</v>
      </c>
      <c r="N27">
        <v>1</v>
      </c>
      <c r="O27">
        <v>0</v>
      </c>
      <c r="P27">
        <v>1</v>
      </c>
      <c r="Q27" t="s">
        <v>7</v>
      </c>
      <c r="W27" t="s">
        <v>1040</v>
      </c>
      <c r="X27" t="s">
        <v>318</v>
      </c>
      <c r="Z27" t="s">
        <v>993</v>
      </c>
      <c r="AA27" t="s">
        <v>994</v>
      </c>
      <c r="AB27" t="s">
        <v>1041</v>
      </c>
    </row>
    <row r="28" spans="1:28">
      <c r="A28" t="s">
        <v>867</v>
      </c>
      <c r="B28" t="s">
        <v>762</v>
      </c>
      <c r="C28">
        <v>0</v>
      </c>
      <c r="D28" t="s">
        <v>753</v>
      </c>
      <c r="E28" t="s">
        <v>891</v>
      </c>
      <c r="F28" t="s">
        <v>869</v>
      </c>
      <c r="G28" t="s">
        <v>943</v>
      </c>
      <c r="H28">
        <v>1.504</v>
      </c>
      <c r="J28" s="600" t="s">
        <v>767</v>
      </c>
      <c r="K28">
        <v>105471861</v>
      </c>
      <c r="L28" s="2">
        <v>43228</v>
      </c>
      <c r="M28">
        <v>18</v>
      </c>
      <c r="N28">
        <v>1</v>
      </c>
      <c r="O28">
        <v>0</v>
      </c>
      <c r="P28">
        <v>1</v>
      </c>
      <c r="Q28" t="s">
        <v>7</v>
      </c>
      <c r="W28" t="s">
        <v>1042</v>
      </c>
      <c r="X28" t="s">
        <v>318</v>
      </c>
      <c r="Y28" t="s">
        <v>993</v>
      </c>
      <c r="Z28" t="s">
        <v>768</v>
      </c>
      <c r="AA28" t="s">
        <v>997</v>
      </c>
      <c r="AB28" t="s">
        <v>1043</v>
      </c>
    </row>
    <row r="29" spans="1:28">
      <c r="A29" t="s">
        <v>867</v>
      </c>
      <c r="B29" t="s">
        <v>762</v>
      </c>
      <c r="C29">
        <v>3.7999999999999999E-2</v>
      </c>
      <c r="D29" t="s">
        <v>754</v>
      </c>
      <c r="E29" t="s">
        <v>869</v>
      </c>
      <c r="F29" t="s">
        <v>968</v>
      </c>
      <c r="G29" t="s">
        <v>943</v>
      </c>
      <c r="H29">
        <v>1.3979999999999999</v>
      </c>
      <c r="J29" s="600" t="s">
        <v>767</v>
      </c>
      <c r="K29">
        <v>105555859</v>
      </c>
      <c r="L29" s="2">
        <v>43311</v>
      </c>
      <c r="M29">
        <v>20</v>
      </c>
      <c r="N29">
        <v>1</v>
      </c>
      <c r="O29">
        <v>0</v>
      </c>
      <c r="P29">
        <v>1</v>
      </c>
      <c r="W29" t="s">
        <v>1044</v>
      </c>
      <c r="X29" t="s">
        <v>318</v>
      </c>
      <c r="Y29" t="s">
        <v>784</v>
      </c>
      <c r="AA29" t="s">
        <v>997</v>
      </c>
      <c r="AB29" t="s">
        <v>1045</v>
      </c>
    </row>
    <row r="30" spans="1:28">
      <c r="A30" t="s">
        <v>751</v>
      </c>
      <c r="B30" t="s">
        <v>943</v>
      </c>
      <c r="C30">
        <v>0.6</v>
      </c>
      <c r="D30" t="s">
        <v>6</v>
      </c>
      <c r="E30" t="s">
        <v>949</v>
      </c>
      <c r="F30" t="s">
        <v>966</v>
      </c>
      <c r="G30" t="s">
        <v>943</v>
      </c>
      <c r="H30">
        <v>0.90400000000000003</v>
      </c>
      <c r="J30" s="600" t="s">
        <v>767</v>
      </c>
      <c r="K30">
        <v>105563645</v>
      </c>
      <c r="L30" s="2">
        <v>43315</v>
      </c>
      <c r="M30">
        <v>21</v>
      </c>
      <c r="N30">
        <v>2</v>
      </c>
      <c r="O30">
        <v>4</v>
      </c>
      <c r="P30">
        <v>1</v>
      </c>
      <c r="Q30" t="s">
        <v>7</v>
      </c>
      <c r="W30" t="s">
        <v>1046</v>
      </c>
      <c r="X30" t="s">
        <v>311</v>
      </c>
      <c r="Y30" t="s">
        <v>784</v>
      </c>
      <c r="Z30" t="s">
        <v>784</v>
      </c>
      <c r="AA30" t="s">
        <v>997</v>
      </c>
      <c r="AB30" t="s">
        <v>1047</v>
      </c>
    </row>
    <row r="31" spans="1:28">
      <c r="A31" t="s">
        <v>867</v>
      </c>
      <c r="B31" t="s">
        <v>762</v>
      </c>
      <c r="C31">
        <v>0</v>
      </c>
      <c r="E31" t="s">
        <v>968</v>
      </c>
      <c r="F31" t="s">
        <v>869</v>
      </c>
      <c r="G31" t="s">
        <v>943</v>
      </c>
      <c r="H31">
        <v>1.421</v>
      </c>
      <c r="J31" s="600" t="s">
        <v>767</v>
      </c>
      <c r="K31">
        <v>105733123</v>
      </c>
      <c r="L31" s="2">
        <v>43467</v>
      </c>
      <c r="M31">
        <v>30</v>
      </c>
      <c r="N31">
        <v>1</v>
      </c>
      <c r="O31">
        <v>0</v>
      </c>
      <c r="P31">
        <v>1</v>
      </c>
      <c r="Q31" t="s">
        <v>7</v>
      </c>
      <c r="W31" t="s">
        <v>1048</v>
      </c>
      <c r="X31" t="s">
        <v>318</v>
      </c>
      <c r="Y31" t="s">
        <v>783</v>
      </c>
      <c r="Z31" t="s">
        <v>993</v>
      </c>
      <c r="AA31" t="s">
        <v>310</v>
      </c>
      <c r="AB31" t="s">
        <v>1049</v>
      </c>
    </row>
    <row r="32" spans="1:28">
      <c r="A32" t="s">
        <v>867</v>
      </c>
      <c r="B32" t="s">
        <v>762</v>
      </c>
      <c r="C32">
        <v>1.0999999999999999E-2</v>
      </c>
      <c r="D32" t="s">
        <v>6</v>
      </c>
      <c r="E32" t="s">
        <v>891</v>
      </c>
      <c r="F32" t="s">
        <v>762</v>
      </c>
      <c r="G32" t="s">
        <v>943</v>
      </c>
      <c r="H32">
        <v>1.4930000000000001</v>
      </c>
      <c r="J32" s="600" t="s">
        <v>767</v>
      </c>
      <c r="K32">
        <v>105803061</v>
      </c>
      <c r="L32" s="2">
        <v>43540</v>
      </c>
      <c r="M32">
        <v>32</v>
      </c>
      <c r="N32">
        <v>1</v>
      </c>
      <c r="O32">
        <v>0</v>
      </c>
      <c r="P32">
        <v>1</v>
      </c>
      <c r="Q32" t="s">
        <v>7</v>
      </c>
      <c r="W32" t="s">
        <v>1050</v>
      </c>
      <c r="X32" t="s">
        <v>318</v>
      </c>
      <c r="Y32" t="s">
        <v>1038</v>
      </c>
      <c r="AA32" t="s">
        <v>997</v>
      </c>
      <c r="AB32" t="s">
        <v>1051</v>
      </c>
    </row>
    <row r="33" spans="1:28">
      <c r="A33" t="s">
        <v>867</v>
      </c>
      <c r="B33" t="s">
        <v>884</v>
      </c>
      <c r="C33">
        <v>0</v>
      </c>
      <c r="E33" t="s">
        <v>762</v>
      </c>
      <c r="F33" t="s">
        <v>869</v>
      </c>
      <c r="H33">
        <v>999.99900000000002</v>
      </c>
      <c r="J33" s="600" t="s">
        <v>767</v>
      </c>
      <c r="K33">
        <v>106017912</v>
      </c>
      <c r="L33" s="2">
        <v>43739</v>
      </c>
      <c r="M33">
        <v>31</v>
      </c>
      <c r="N33">
        <v>1</v>
      </c>
      <c r="O33">
        <v>0</v>
      </c>
      <c r="P33">
        <v>1</v>
      </c>
      <c r="Q33" t="s">
        <v>7</v>
      </c>
      <c r="W33" t="s">
        <v>1052</v>
      </c>
      <c r="X33" t="s">
        <v>318</v>
      </c>
      <c r="Y33" t="s">
        <v>993</v>
      </c>
      <c r="Z33" t="s">
        <v>784</v>
      </c>
      <c r="AA33" t="s">
        <v>997</v>
      </c>
      <c r="AB33" t="s">
        <v>1053</v>
      </c>
    </row>
    <row r="34" spans="1:28">
      <c r="A34" t="s">
        <v>867</v>
      </c>
      <c r="B34" t="s">
        <v>935</v>
      </c>
      <c r="C34">
        <v>4.0000000000000001E-3</v>
      </c>
      <c r="D34" t="s">
        <v>754</v>
      </c>
      <c r="E34" t="s">
        <v>869</v>
      </c>
      <c r="F34" t="s">
        <v>762</v>
      </c>
      <c r="G34" t="s">
        <v>869</v>
      </c>
      <c r="H34">
        <v>999.99900000000002</v>
      </c>
      <c r="J34" s="600" t="s">
        <v>767</v>
      </c>
      <c r="K34">
        <v>106036274</v>
      </c>
      <c r="L34" s="2">
        <v>43761</v>
      </c>
      <c r="M34">
        <v>20</v>
      </c>
      <c r="N34">
        <v>1</v>
      </c>
      <c r="O34">
        <v>4</v>
      </c>
      <c r="P34">
        <v>1</v>
      </c>
      <c r="Q34" t="s">
        <v>7</v>
      </c>
      <c r="W34" t="s">
        <v>1054</v>
      </c>
      <c r="X34" t="s">
        <v>318</v>
      </c>
      <c r="Z34" t="s">
        <v>993</v>
      </c>
      <c r="AA34" t="s">
        <v>994</v>
      </c>
      <c r="AB34" t="s">
        <v>1055</v>
      </c>
    </row>
    <row r="35" spans="1:28">
      <c r="A35" t="s">
        <v>867</v>
      </c>
      <c r="B35" t="s">
        <v>762</v>
      </c>
      <c r="C35">
        <v>9.5000000000000001E-2</v>
      </c>
      <c r="D35" t="s">
        <v>754</v>
      </c>
      <c r="E35" t="s">
        <v>869</v>
      </c>
      <c r="F35" t="s">
        <v>927</v>
      </c>
      <c r="G35" t="s">
        <v>943</v>
      </c>
      <c r="H35">
        <v>1.4550000000000001</v>
      </c>
      <c r="J35" s="600" t="s">
        <v>767</v>
      </c>
      <c r="K35">
        <v>106038134</v>
      </c>
      <c r="L35" s="2">
        <v>43763</v>
      </c>
      <c r="M35">
        <v>31</v>
      </c>
      <c r="N35">
        <v>1</v>
      </c>
      <c r="O35">
        <v>0</v>
      </c>
      <c r="P35">
        <v>1</v>
      </c>
      <c r="Q35" t="s">
        <v>7</v>
      </c>
      <c r="W35" t="s">
        <v>1056</v>
      </c>
      <c r="X35" t="s">
        <v>318</v>
      </c>
      <c r="Y35" t="s">
        <v>993</v>
      </c>
      <c r="Z35" t="s">
        <v>768</v>
      </c>
      <c r="AA35" t="s">
        <v>997</v>
      </c>
      <c r="AB35" t="s">
        <v>1057</v>
      </c>
    </row>
    <row r="36" spans="1:28">
      <c r="A36" t="s">
        <v>867</v>
      </c>
      <c r="B36" t="s">
        <v>762</v>
      </c>
      <c r="C36">
        <v>0</v>
      </c>
      <c r="E36" t="s">
        <v>968</v>
      </c>
      <c r="F36" t="s">
        <v>869</v>
      </c>
      <c r="G36" t="s">
        <v>943</v>
      </c>
      <c r="H36">
        <v>1.421</v>
      </c>
      <c r="J36" s="600" t="s">
        <v>767</v>
      </c>
      <c r="K36">
        <v>106197362</v>
      </c>
      <c r="L36" s="2">
        <v>43915</v>
      </c>
      <c r="M36">
        <v>21</v>
      </c>
      <c r="N36">
        <v>2</v>
      </c>
      <c r="O36">
        <v>8</v>
      </c>
      <c r="P36">
        <v>1</v>
      </c>
      <c r="Q36" t="s">
        <v>7</v>
      </c>
      <c r="W36" t="s">
        <v>1058</v>
      </c>
      <c r="X36" t="s">
        <v>311</v>
      </c>
      <c r="Y36" t="s">
        <v>768</v>
      </c>
      <c r="Z36" t="s">
        <v>768</v>
      </c>
      <c r="AA36" t="s">
        <v>997</v>
      </c>
      <c r="AB36" t="s">
        <v>1059</v>
      </c>
    </row>
    <row r="37" spans="1:28">
      <c r="A37" t="s">
        <v>867</v>
      </c>
      <c r="B37" t="s">
        <v>762</v>
      </c>
      <c r="C37">
        <v>0</v>
      </c>
      <c r="D37" t="s">
        <v>6</v>
      </c>
      <c r="E37" t="s">
        <v>881</v>
      </c>
      <c r="F37" t="s">
        <v>903</v>
      </c>
      <c r="G37" t="s">
        <v>762</v>
      </c>
      <c r="H37">
        <v>999.99900000000002</v>
      </c>
      <c r="J37" s="600" t="s">
        <v>767</v>
      </c>
      <c r="K37">
        <v>106558296</v>
      </c>
      <c r="L37" s="2">
        <v>44309</v>
      </c>
      <c r="M37">
        <v>30</v>
      </c>
      <c r="N37">
        <v>1</v>
      </c>
      <c r="O37">
        <v>0</v>
      </c>
      <c r="P37">
        <v>1</v>
      </c>
      <c r="Q37" t="s">
        <v>7</v>
      </c>
      <c r="W37" t="s">
        <v>1060</v>
      </c>
      <c r="X37" t="s">
        <v>311</v>
      </c>
      <c r="Y37" t="s">
        <v>768</v>
      </c>
      <c r="Z37" t="s">
        <v>768</v>
      </c>
      <c r="AA37" t="s">
        <v>997</v>
      </c>
      <c r="AB37" t="s">
        <v>1061</v>
      </c>
    </row>
    <row r="38" spans="1:28">
      <c r="A38" t="s">
        <v>867</v>
      </c>
      <c r="B38" t="s">
        <v>869</v>
      </c>
      <c r="C38">
        <v>0</v>
      </c>
      <c r="E38" t="s">
        <v>891</v>
      </c>
      <c r="F38" t="s">
        <v>869</v>
      </c>
      <c r="G38" t="s">
        <v>869</v>
      </c>
      <c r="H38">
        <v>999.99900000000002</v>
      </c>
      <c r="J38" s="600" t="s">
        <v>767</v>
      </c>
      <c r="K38">
        <v>106899128</v>
      </c>
      <c r="L38" s="2">
        <v>44578</v>
      </c>
      <c r="M38">
        <v>20</v>
      </c>
      <c r="N38">
        <v>1</v>
      </c>
      <c r="O38">
        <v>0</v>
      </c>
      <c r="P38">
        <v>1</v>
      </c>
      <c r="W38" t="s">
        <v>1062</v>
      </c>
      <c r="X38" t="s">
        <v>318</v>
      </c>
      <c r="Y38" t="s">
        <v>1003</v>
      </c>
      <c r="AA38" t="s">
        <v>997</v>
      </c>
      <c r="AB38" t="s">
        <v>1063</v>
      </c>
    </row>
    <row r="39" spans="1:28">
      <c r="A39" t="s">
        <v>867</v>
      </c>
      <c r="B39" t="s">
        <v>869</v>
      </c>
      <c r="C39">
        <v>0</v>
      </c>
      <c r="E39" t="s">
        <v>924</v>
      </c>
      <c r="F39" t="s">
        <v>762</v>
      </c>
      <c r="G39" t="s">
        <v>869</v>
      </c>
      <c r="H39">
        <v>999.99900000000002</v>
      </c>
      <c r="J39" s="600" t="s">
        <v>767</v>
      </c>
      <c r="K39">
        <v>106955408</v>
      </c>
      <c r="L39" s="2">
        <v>44683</v>
      </c>
      <c r="M39">
        <v>13</v>
      </c>
      <c r="N39">
        <v>1</v>
      </c>
      <c r="O39">
        <v>0</v>
      </c>
      <c r="P39">
        <v>1</v>
      </c>
      <c r="Q39" t="s">
        <v>10</v>
      </c>
      <c r="R39">
        <v>36.309199</v>
      </c>
      <c r="S39">
        <v>-78.590108999999998</v>
      </c>
      <c r="T39" t="s">
        <v>756</v>
      </c>
      <c r="V39">
        <v>0.16506981945358781</v>
      </c>
      <c r="W39" t="s">
        <v>1064</v>
      </c>
      <c r="X39" t="s">
        <v>714</v>
      </c>
      <c r="Y39" t="s">
        <v>771</v>
      </c>
      <c r="AA39" t="s">
        <v>997</v>
      </c>
      <c r="AB39" t="s">
        <v>1065</v>
      </c>
    </row>
    <row r="40" spans="1:28">
      <c r="A40" t="s">
        <v>867</v>
      </c>
      <c r="B40" t="s">
        <v>869</v>
      </c>
      <c r="C40">
        <v>0</v>
      </c>
      <c r="E40" t="s">
        <v>914</v>
      </c>
      <c r="F40" t="s">
        <v>869</v>
      </c>
      <c r="G40" t="s">
        <v>869</v>
      </c>
      <c r="H40">
        <v>999.99900000000002</v>
      </c>
      <c r="J40" s="600" t="s">
        <v>767</v>
      </c>
      <c r="K40">
        <v>107105886</v>
      </c>
      <c r="L40" s="2">
        <v>44835</v>
      </c>
      <c r="M40">
        <v>3</v>
      </c>
      <c r="N40">
        <v>2</v>
      </c>
      <c r="O40">
        <v>0</v>
      </c>
      <c r="P40">
        <v>6</v>
      </c>
      <c r="W40" t="s">
        <v>1066</v>
      </c>
      <c r="X40" t="s">
        <v>315</v>
      </c>
      <c r="Y40" t="s">
        <v>1067</v>
      </c>
      <c r="AA40" t="s">
        <v>997</v>
      </c>
      <c r="AB40" t="s">
        <v>1068</v>
      </c>
    </row>
    <row r="41" spans="1:28">
      <c r="A41" t="s">
        <v>867</v>
      </c>
      <c r="B41" t="s">
        <v>869</v>
      </c>
      <c r="C41">
        <v>0</v>
      </c>
      <c r="E41" t="s">
        <v>930</v>
      </c>
      <c r="G41" t="s">
        <v>869</v>
      </c>
      <c r="H41">
        <v>999.99900000000002</v>
      </c>
      <c r="J41" s="600" t="s">
        <v>767</v>
      </c>
      <c r="K41">
        <v>107195886</v>
      </c>
      <c r="L41" s="2">
        <v>44848</v>
      </c>
      <c r="M41">
        <v>28</v>
      </c>
      <c r="N41">
        <v>1</v>
      </c>
      <c r="O41">
        <v>0</v>
      </c>
      <c r="P41">
        <v>1</v>
      </c>
      <c r="Q41" t="s">
        <v>7</v>
      </c>
      <c r="W41" t="s">
        <v>1069</v>
      </c>
      <c r="X41" t="s">
        <v>717</v>
      </c>
      <c r="Y41" t="s">
        <v>770</v>
      </c>
      <c r="Z41" t="s">
        <v>784</v>
      </c>
      <c r="AA41" t="s">
        <v>997</v>
      </c>
      <c r="AB41" t="s">
        <v>1070</v>
      </c>
    </row>
    <row r="42" spans="1:28">
      <c r="A42" t="s">
        <v>751</v>
      </c>
      <c r="B42" t="s">
        <v>943</v>
      </c>
      <c r="C42">
        <v>0.1</v>
      </c>
      <c r="D42" t="s">
        <v>753</v>
      </c>
      <c r="E42" t="s">
        <v>949</v>
      </c>
      <c r="F42" t="s">
        <v>971</v>
      </c>
      <c r="G42" t="s">
        <v>943</v>
      </c>
      <c r="H42">
        <v>1.4039999999999999</v>
      </c>
      <c r="J42" s="600" t="s">
        <v>767</v>
      </c>
      <c r="K42">
        <v>107150708</v>
      </c>
      <c r="L42" s="2">
        <v>44880</v>
      </c>
      <c r="M42">
        <v>19</v>
      </c>
      <c r="N42">
        <v>1</v>
      </c>
      <c r="O42">
        <v>0</v>
      </c>
      <c r="P42">
        <v>4</v>
      </c>
      <c r="W42" t="s">
        <v>1071</v>
      </c>
      <c r="X42" t="s">
        <v>312</v>
      </c>
      <c r="Y42" t="s">
        <v>1003</v>
      </c>
      <c r="AA42" t="s">
        <v>997</v>
      </c>
      <c r="AB42" t="s">
        <v>1072</v>
      </c>
    </row>
    <row r="43" spans="1:28">
      <c r="A43" t="s">
        <v>867</v>
      </c>
      <c r="B43" t="s">
        <v>762</v>
      </c>
      <c r="C43">
        <v>2.8000000000000001E-2</v>
      </c>
      <c r="D43" t="s">
        <v>754</v>
      </c>
      <c r="E43" t="s">
        <v>968</v>
      </c>
      <c r="F43" t="s">
        <v>869</v>
      </c>
      <c r="G43" t="s">
        <v>943</v>
      </c>
      <c r="H43">
        <v>1.4490000000000001</v>
      </c>
      <c r="J43" s="600" t="s">
        <v>767</v>
      </c>
      <c r="K43">
        <v>107343387</v>
      </c>
      <c r="L43" s="2">
        <v>45063</v>
      </c>
      <c r="M43">
        <v>30</v>
      </c>
      <c r="N43">
        <v>1</v>
      </c>
      <c r="O43">
        <v>0</v>
      </c>
      <c r="P43">
        <v>1</v>
      </c>
      <c r="W43" t="s">
        <v>1073</v>
      </c>
      <c r="X43" t="s">
        <v>318</v>
      </c>
      <c r="Y43" t="s">
        <v>768</v>
      </c>
      <c r="AA43" t="s">
        <v>997</v>
      </c>
      <c r="AB43" t="s">
        <v>1074</v>
      </c>
    </row>
    <row r="44" spans="1:28">
      <c r="A44" t="s">
        <v>867</v>
      </c>
      <c r="B44" t="s">
        <v>872</v>
      </c>
      <c r="C44">
        <v>0</v>
      </c>
      <c r="E44" t="s">
        <v>969</v>
      </c>
      <c r="F44" t="s">
        <v>869</v>
      </c>
      <c r="G44" t="s">
        <v>943</v>
      </c>
      <c r="H44">
        <v>1.36</v>
      </c>
      <c r="J44" s="600" t="s">
        <v>767</v>
      </c>
      <c r="K44">
        <v>107433763</v>
      </c>
      <c r="L44" s="2">
        <v>45162</v>
      </c>
      <c r="M44">
        <v>31</v>
      </c>
      <c r="N44">
        <v>1</v>
      </c>
      <c r="O44">
        <v>0</v>
      </c>
      <c r="P44">
        <v>1</v>
      </c>
      <c r="W44" t="s">
        <v>1075</v>
      </c>
      <c r="X44" t="s">
        <v>318</v>
      </c>
      <c r="Y44" t="s">
        <v>993</v>
      </c>
      <c r="Z44" t="s">
        <v>1003</v>
      </c>
      <c r="AA44" t="s">
        <v>997</v>
      </c>
      <c r="AB44" t="s">
        <v>1076</v>
      </c>
    </row>
    <row r="45" spans="1:28">
      <c r="A45" t="s">
        <v>867</v>
      </c>
      <c r="B45" t="s">
        <v>762</v>
      </c>
      <c r="C45">
        <v>0</v>
      </c>
      <c r="E45" t="s">
        <v>968</v>
      </c>
      <c r="F45" t="s">
        <v>762</v>
      </c>
      <c r="G45" t="s">
        <v>943</v>
      </c>
      <c r="H45">
        <v>1.421</v>
      </c>
      <c r="J45" s="600" t="s">
        <v>767</v>
      </c>
      <c r="K45">
        <v>107470908</v>
      </c>
      <c r="L45" s="2">
        <v>45196</v>
      </c>
      <c r="M45">
        <v>21</v>
      </c>
      <c r="N45">
        <v>1</v>
      </c>
      <c r="O45">
        <v>0</v>
      </c>
      <c r="P45">
        <v>1</v>
      </c>
      <c r="Q45" t="s">
        <v>7</v>
      </c>
      <c r="W45" t="s">
        <v>1077</v>
      </c>
      <c r="X45" t="s">
        <v>311</v>
      </c>
      <c r="Y45" t="s">
        <v>784</v>
      </c>
      <c r="Z45" t="s">
        <v>784</v>
      </c>
      <c r="AA45" t="s">
        <v>997</v>
      </c>
      <c r="AB45" t="s">
        <v>1078</v>
      </c>
    </row>
    <row r="46" spans="1:28">
      <c r="A46" t="s">
        <v>867</v>
      </c>
      <c r="B46" t="s">
        <v>869</v>
      </c>
      <c r="C46">
        <v>0</v>
      </c>
      <c r="E46" t="s">
        <v>924</v>
      </c>
      <c r="F46" t="s">
        <v>869</v>
      </c>
      <c r="G46" t="s">
        <v>869</v>
      </c>
      <c r="H46">
        <v>999.99900000000002</v>
      </c>
      <c r="J46" s="600" t="s">
        <v>767</v>
      </c>
      <c r="K46">
        <v>107874844</v>
      </c>
      <c r="L46" s="2">
        <v>45572</v>
      </c>
      <c r="M46">
        <v>28</v>
      </c>
      <c r="N46">
        <v>1</v>
      </c>
      <c r="O46">
        <v>7</v>
      </c>
      <c r="P46">
        <v>1</v>
      </c>
      <c r="Q46" t="s">
        <v>7</v>
      </c>
      <c r="W46" t="s">
        <v>1079</v>
      </c>
      <c r="X46" t="s">
        <v>314</v>
      </c>
      <c r="Y46" t="s">
        <v>783</v>
      </c>
      <c r="Z46" t="s">
        <v>1003</v>
      </c>
      <c r="AA46" t="s">
        <v>994</v>
      </c>
      <c r="AB46" t="s">
        <v>1080</v>
      </c>
    </row>
    <row r="47" spans="1:28">
      <c r="A47" t="s">
        <v>867</v>
      </c>
      <c r="B47" t="s">
        <v>869</v>
      </c>
      <c r="C47">
        <v>0</v>
      </c>
      <c r="E47" t="s">
        <v>926</v>
      </c>
      <c r="F47" t="s">
        <v>762</v>
      </c>
      <c r="G47" t="s">
        <v>869</v>
      </c>
      <c r="H47">
        <v>0.09</v>
      </c>
      <c r="J47" s="600" t="s">
        <v>767</v>
      </c>
      <c r="K47">
        <v>107935640</v>
      </c>
      <c r="L47" s="2">
        <v>45608</v>
      </c>
      <c r="M47">
        <v>30</v>
      </c>
      <c r="N47">
        <v>1</v>
      </c>
      <c r="O47">
        <v>0</v>
      </c>
      <c r="P47">
        <v>4</v>
      </c>
      <c r="Q47" t="s">
        <v>7</v>
      </c>
      <c r="W47" t="s">
        <v>1081</v>
      </c>
      <c r="X47" t="s">
        <v>717</v>
      </c>
      <c r="Y47" t="s">
        <v>783</v>
      </c>
      <c r="Z47" t="s">
        <v>771</v>
      </c>
      <c r="AA47" t="s">
        <v>997</v>
      </c>
      <c r="AB47" t="s">
        <v>1082</v>
      </c>
    </row>
    <row r="48" spans="1:28">
      <c r="A48" t="s">
        <v>867</v>
      </c>
      <c r="B48" t="s">
        <v>869</v>
      </c>
      <c r="C48">
        <v>0</v>
      </c>
      <c r="E48" t="s">
        <v>869</v>
      </c>
      <c r="F48" t="s">
        <v>924</v>
      </c>
      <c r="G48" t="s">
        <v>869</v>
      </c>
      <c r="H48">
        <v>999.99900000000002</v>
      </c>
      <c r="J48" s="600" t="s">
        <v>767</v>
      </c>
      <c r="K48">
        <v>108080999</v>
      </c>
      <c r="L48" s="2">
        <v>45763</v>
      </c>
      <c r="M48">
        <v>31</v>
      </c>
      <c r="N48">
        <v>1</v>
      </c>
      <c r="O48">
        <v>13</v>
      </c>
      <c r="P48">
        <v>1</v>
      </c>
      <c r="Q48" t="s">
        <v>7</v>
      </c>
      <c r="W48" t="s">
        <v>1083</v>
      </c>
      <c r="X48" t="s">
        <v>318</v>
      </c>
      <c r="Y48" t="s">
        <v>993</v>
      </c>
      <c r="AA48" t="s">
        <v>997</v>
      </c>
      <c r="AB48" t="s">
        <v>1084</v>
      </c>
    </row>
    <row r="49" spans="1:28">
      <c r="A49" t="s">
        <v>867</v>
      </c>
      <c r="B49" t="s">
        <v>762</v>
      </c>
      <c r="C49">
        <v>0</v>
      </c>
      <c r="E49" t="s">
        <v>881</v>
      </c>
      <c r="F49" t="s">
        <v>869</v>
      </c>
      <c r="G49" t="s">
        <v>762</v>
      </c>
      <c r="H49">
        <v>999.99900000000002</v>
      </c>
      <c r="J49" s="600" t="s">
        <v>767</v>
      </c>
      <c r="K49">
        <v>108099425</v>
      </c>
      <c r="L49" s="2">
        <v>45782</v>
      </c>
      <c r="M49">
        <v>31</v>
      </c>
      <c r="N49">
        <v>1</v>
      </c>
      <c r="O49">
        <v>0</v>
      </c>
      <c r="P49">
        <v>1</v>
      </c>
      <c r="Q49" t="s">
        <v>7</v>
      </c>
      <c r="W49" t="s">
        <v>1085</v>
      </c>
      <c r="X49" t="s">
        <v>318</v>
      </c>
      <c r="Y49" t="s">
        <v>993</v>
      </c>
      <c r="Z49" t="s">
        <v>768</v>
      </c>
      <c r="AA49" t="s">
        <v>997</v>
      </c>
      <c r="AB49" t="s">
        <v>1086</v>
      </c>
    </row>
    <row r="50" spans="1:28">
      <c r="A50" t="s">
        <v>867</v>
      </c>
      <c r="B50" t="s">
        <v>869</v>
      </c>
      <c r="C50">
        <v>0</v>
      </c>
      <c r="E50" t="s">
        <v>896</v>
      </c>
      <c r="F50" t="s">
        <v>869</v>
      </c>
      <c r="H50">
        <v>999.99900000000002</v>
      </c>
      <c r="J50" s="600" t="s">
        <v>767</v>
      </c>
      <c r="K50">
        <v>108256216</v>
      </c>
      <c r="L50" s="2">
        <v>45929</v>
      </c>
      <c r="M50">
        <v>32</v>
      </c>
      <c r="N50">
        <v>2</v>
      </c>
      <c r="O50">
        <v>0</v>
      </c>
      <c r="P50">
        <v>1</v>
      </c>
      <c r="Q50" t="s">
        <v>7</v>
      </c>
      <c r="W50" t="s">
        <v>1087</v>
      </c>
      <c r="X50" t="s">
        <v>718</v>
      </c>
      <c r="Y50" t="s">
        <v>783</v>
      </c>
      <c r="Z50" t="s">
        <v>771</v>
      </c>
      <c r="AA50" t="s">
        <v>997</v>
      </c>
      <c r="AB50" t="s">
        <v>1088</v>
      </c>
    </row>
    <row r="51" spans="1:28">
      <c r="A51" t="s">
        <v>867</v>
      </c>
      <c r="B51" t="s">
        <v>934</v>
      </c>
      <c r="C51">
        <v>0</v>
      </c>
      <c r="E51" t="s">
        <v>934</v>
      </c>
      <c r="F51" t="s">
        <v>934</v>
      </c>
      <c r="G51" t="s">
        <v>869</v>
      </c>
      <c r="H51">
        <v>999.99900000000002</v>
      </c>
      <c r="J51" s="600" t="s">
        <v>767</v>
      </c>
      <c r="K51">
        <v>108526964</v>
      </c>
      <c r="L51" s="2">
        <v>46185</v>
      </c>
      <c r="M51">
        <v>31</v>
      </c>
      <c r="N51">
        <v>1</v>
      </c>
      <c r="O51">
        <v>0</v>
      </c>
      <c r="P51">
        <v>1</v>
      </c>
      <c r="W51" t="s">
        <v>1089</v>
      </c>
      <c r="X51" t="s">
        <v>318</v>
      </c>
      <c r="Y51" t="s">
        <v>993</v>
      </c>
      <c r="AA51" t="s">
        <v>997</v>
      </c>
      <c r="AB51" t="s">
        <v>1090</v>
      </c>
    </row>
    <row r="52" spans="1:28" s="601" customFormat="1">
      <c r="A52" s="603" t="s">
        <v>772</v>
      </c>
      <c r="L52" s="602"/>
    </row>
    <row r="53" spans="1:28">
      <c r="A53" t="s">
        <v>867</v>
      </c>
      <c r="B53" t="s">
        <v>924</v>
      </c>
      <c r="C53">
        <v>0</v>
      </c>
      <c r="E53" t="s">
        <v>869</v>
      </c>
      <c r="F53" t="s">
        <v>869</v>
      </c>
      <c r="G53" t="s">
        <v>925</v>
      </c>
      <c r="H53">
        <v>17.59</v>
      </c>
      <c r="J53" s="600" t="s">
        <v>767</v>
      </c>
      <c r="K53">
        <v>105030848</v>
      </c>
      <c r="L53" s="2">
        <v>42802</v>
      </c>
      <c r="M53">
        <v>32</v>
      </c>
      <c r="N53">
        <v>1</v>
      </c>
      <c r="O53">
        <v>7</v>
      </c>
      <c r="P53">
        <v>1</v>
      </c>
      <c r="Q53" t="s">
        <v>3</v>
      </c>
    </row>
    <row r="54" spans="1:28">
      <c r="A54" t="s">
        <v>850</v>
      </c>
      <c r="B54" t="s">
        <v>872</v>
      </c>
      <c r="C54">
        <v>0</v>
      </c>
      <c r="E54" t="s">
        <v>872</v>
      </c>
      <c r="G54" t="s">
        <v>940</v>
      </c>
      <c r="H54">
        <v>5.0730000000000004</v>
      </c>
      <c r="J54" s="600" t="s">
        <v>767</v>
      </c>
      <c r="K54">
        <v>105116773</v>
      </c>
      <c r="L54" s="2">
        <v>42804</v>
      </c>
      <c r="M54">
        <v>31</v>
      </c>
      <c r="N54">
        <v>1</v>
      </c>
      <c r="O54">
        <v>0</v>
      </c>
      <c r="P54">
        <v>1</v>
      </c>
      <c r="Q54" t="s">
        <v>7</v>
      </c>
    </row>
    <row r="55" spans="1:28">
      <c r="A55" t="s">
        <v>850</v>
      </c>
      <c r="B55" t="s">
        <v>864</v>
      </c>
      <c r="C55">
        <v>0</v>
      </c>
      <c r="E55" t="s">
        <v>762</v>
      </c>
      <c r="F55" t="s">
        <v>865</v>
      </c>
      <c r="H55">
        <v>999.99900000000002</v>
      </c>
      <c r="J55" s="600" t="s">
        <v>767</v>
      </c>
      <c r="K55">
        <v>105053293</v>
      </c>
      <c r="L55" s="2">
        <v>42812</v>
      </c>
      <c r="M55">
        <v>30</v>
      </c>
      <c r="N55">
        <v>1</v>
      </c>
      <c r="O55">
        <v>0</v>
      </c>
      <c r="P55">
        <v>4</v>
      </c>
      <c r="Q55" t="s">
        <v>7</v>
      </c>
    </row>
    <row r="56" spans="1:28">
      <c r="A56" t="s">
        <v>850</v>
      </c>
      <c r="B56" t="s">
        <v>762</v>
      </c>
      <c r="C56">
        <v>0</v>
      </c>
      <c r="E56" t="s">
        <v>976</v>
      </c>
      <c r="F56" t="s">
        <v>913</v>
      </c>
      <c r="G56" t="s">
        <v>975</v>
      </c>
      <c r="H56">
        <v>0.11</v>
      </c>
      <c r="J56" s="600" t="s">
        <v>767</v>
      </c>
      <c r="K56">
        <v>105053295</v>
      </c>
      <c r="L56" s="2">
        <v>42815</v>
      </c>
      <c r="M56">
        <v>17</v>
      </c>
      <c r="N56">
        <v>1</v>
      </c>
      <c r="O56">
        <v>0</v>
      </c>
      <c r="P56">
        <v>1</v>
      </c>
      <c r="Q56" t="s">
        <v>7</v>
      </c>
    </row>
    <row r="57" spans="1:28">
      <c r="A57" t="s">
        <v>751</v>
      </c>
      <c r="B57" t="s">
        <v>897</v>
      </c>
      <c r="C57">
        <v>0.2</v>
      </c>
      <c r="D57" t="s">
        <v>753</v>
      </c>
      <c r="E57" t="s">
        <v>964</v>
      </c>
      <c r="F57" t="s">
        <v>899</v>
      </c>
      <c r="G57" t="s">
        <v>897</v>
      </c>
      <c r="H57">
        <v>999.99900000000002</v>
      </c>
      <c r="J57" s="600" t="s">
        <v>767</v>
      </c>
      <c r="K57">
        <v>105058532</v>
      </c>
      <c r="L57" s="2">
        <v>42823</v>
      </c>
      <c r="M57">
        <v>21</v>
      </c>
      <c r="N57">
        <v>1</v>
      </c>
      <c r="O57">
        <v>0</v>
      </c>
      <c r="P57">
        <v>1</v>
      </c>
      <c r="Q57" t="s">
        <v>3</v>
      </c>
    </row>
    <row r="58" spans="1:28">
      <c r="A58" t="s">
        <v>867</v>
      </c>
      <c r="B58" t="s">
        <v>881</v>
      </c>
      <c r="C58">
        <v>4.0000000000000001E-3</v>
      </c>
      <c r="D58" t="s">
        <v>753</v>
      </c>
      <c r="E58" t="s">
        <v>869</v>
      </c>
      <c r="F58" t="s">
        <v>936</v>
      </c>
      <c r="G58" t="s">
        <v>938</v>
      </c>
      <c r="H58">
        <v>17.827999999999999</v>
      </c>
      <c r="J58" s="600" t="s">
        <v>767</v>
      </c>
      <c r="K58">
        <v>105070792</v>
      </c>
      <c r="L58" s="2">
        <v>42835</v>
      </c>
      <c r="M58">
        <v>1</v>
      </c>
      <c r="N58">
        <v>1</v>
      </c>
      <c r="O58">
        <v>0</v>
      </c>
      <c r="P58">
        <v>4</v>
      </c>
      <c r="Q58" t="s">
        <v>7</v>
      </c>
    </row>
    <row r="59" spans="1:28">
      <c r="A59" t="s">
        <v>850</v>
      </c>
      <c r="B59" t="s">
        <v>919</v>
      </c>
      <c r="C59">
        <v>0</v>
      </c>
      <c r="D59" t="s">
        <v>755</v>
      </c>
      <c r="E59" t="s">
        <v>762</v>
      </c>
      <c r="F59" t="s">
        <v>923</v>
      </c>
      <c r="G59" t="s">
        <v>909</v>
      </c>
      <c r="H59">
        <v>3.2850000000000001</v>
      </c>
      <c r="J59" s="600" t="s">
        <v>767</v>
      </c>
      <c r="K59">
        <v>105071492</v>
      </c>
      <c r="L59" s="2">
        <v>42843</v>
      </c>
      <c r="M59">
        <v>21</v>
      </c>
      <c r="N59">
        <v>1</v>
      </c>
      <c r="O59">
        <v>0</v>
      </c>
      <c r="P59">
        <v>1</v>
      </c>
      <c r="Q59" t="s">
        <v>7</v>
      </c>
    </row>
    <row r="60" spans="1:28">
      <c r="A60" t="s">
        <v>850</v>
      </c>
      <c r="B60" t="s">
        <v>872</v>
      </c>
      <c r="C60">
        <v>0</v>
      </c>
      <c r="D60" t="s">
        <v>6</v>
      </c>
      <c r="E60" t="s">
        <v>862</v>
      </c>
      <c r="F60" t="s">
        <v>865</v>
      </c>
      <c r="G60" t="s">
        <v>909</v>
      </c>
      <c r="H60">
        <v>2.8679999999999999</v>
      </c>
      <c r="J60" s="600" t="s">
        <v>767</v>
      </c>
      <c r="K60">
        <v>105071495</v>
      </c>
      <c r="L60" s="2">
        <v>42843</v>
      </c>
      <c r="M60">
        <v>31</v>
      </c>
      <c r="N60">
        <v>1</v>
      </c>
      <c r="O60">
        <v>4</v>
      </c>
      <c r="P60">
        <v>1</v>
      </c>
      <c r="Q60" t="s">
        <v>7</v>
      </c>
    </row>
    <row r="61" spans="1:28">
      <c r="A61" t="s">
        <v>867</v>
      </c>
      <c r="B61" t="s">
        <v>924</v>
      </c>
      <c r="C61">
        <v>0</v>
      </c>
      <c r="E61" t="s">
        <v>869</v>
      </c>
      <c r="F61" t="s">
        <v>928</v>
      </c>
      <c r="G61" t="s">
        <v>925</v>
      </c>
      <c r="H61">
        <v>17.59</v>
      </c>
      <c r="J61" s="600" t="s">
        <v>767</v>
      </c>
      <c r="K61">
        <v>105076245</v>
      </c>
      <c r="L61" s="2">
        <v>42850</v>
      </c>
      <c r="M61">
        <v>30</v>
      </c>
      <c r="N61">
        <v>1</v>
      </c>
      <c r="O61">
        <v>7</v>
      </c>
      <c r="P61">
        <v>1</v>
      </c>
      <c r="Q61" t="s">
        <v>7</v>
      </c>
    </row>
    <row r="62" spans="1:28">
      <c r="A62" t="s">
        <v>867</v>
      </c>
      <c r="B62" t="s">
        <v>869</v>
      </c>
      <c r="C62">
        <v>0</v>
      </c>
      <c r="E62" t="s">
        <v>936</v>
      </c>
      <c r="F62" t="s">
        <v>930</v>
      </c>
      <c r="G62" t="s">
        <v>869</v>
      </c>
      <c r="H62">
        <v>999.99900000000002</v>
      </c>
      <c r="J62" s="600" t="s">
        <v>767</v>
      </c>
      <c r="K62">
        <v>105077632</v>
      </c>
      <c r="L62" s="2">
        <v>42851</v>
      </c>
      <c r="M62">
        <v>24</v>
      </c>
      <c r="N62">
        <v>1</v>
      </c>
      <c r="O62">
        <v>7</v>
      </c>
      <c r="P62">
        <v>1</v>
      </c>
      <c r="Q62" t="s">
        <v>3</v>
      </c>
    </row>
    <row r="63" spans="1:28">
      <c r="A63" t="s">
        <v>867</v>
      </c>
      <c r="B63" t="s">
        <v>869</v>
      </c>
      <c r="C63">
        <v>0</v>
      </c>
      <c r="E63" t="s">
        <v>926</v>
      </c>
      <c r="F63" t="s">
        <v>924</v>
      </c>
      <c r="G63" t="s">
        <v>869</v>
      </c>
      <c r="H63">
        <v>0.09</v>
      </c>
      <c r="J63" s="600" t="s">
        <v>767</v>
      </c>
      <c r="K63">
        <v>105115267</v>
      </c>
      <c r="L63" s="2">
        <v>42852</v>
      </c>
      <c r="M63">
        <v>30</v>
      </c>
      <c r="N63">
        <v>1</v>
      </c>
      <c r="O63">
        <v>0</v>
      </c>
      <c r="P63">
        <v>1</v>
      </c>
      <c r="Q63" t="s">
        <v>3</v>
      </c>
    </row>
    <row r="64" spans="1:28">
      <c r="A64" t="s">
        <v>867</v>
      </c>
      <c r="B64" t="s">
        <v>891</v>
      </c>
      <c r="C64">
        <v>0</v>
      </c>
      <c r="E64" t="s">
        <v>762</v>
      </c>
      <c r="F64" t="s">
        <v>989</v>
      </c>
      <c r="G64" t="s">
        <v>953</v>
      </c>
      <c r="H64">
        <v>2.0550000000000002</v>
      </c>
      <c r="J64" s="600" t="s">
        <v>767</v>
      </c>
      <c r="K64">
        <v>105164921</v>
      </c>
      <c r="L64" s="2">
        <v>42852</v>
      </c>
      <c r="M64">
        <v>21</v>
      </c>
      <c r="N64">
        <v>1</v>
      </c>
      <c r="O64">
        <v>0</v>
      </c>
      <c r="P64">
        <v>1</v>
      </c>
      <c r="Q64" t="s">
        <v>7</v>
      </c>
    </row>
    <row r="65" spans="1:17">
      <c r="A65" t="s">
        <v>867</v>
      </c>
      <c r="B65" t="s">
        <v>762</v>
      </c>
      <c r="C65">
        <v>0</v>
      </c>
      <c r="E65" t="s">
        <v>762</v>
      </c>
      <c r="F65" t="s">
        <v>869</v>
      </c>
      <c r="G65" t="s">
        <v>940</v>
      </c>
      <c r="H65">
        <v>5.0730000000000004</v>
      </c>
      <c r="J65" s="600" t="s">
        <v>767</v>
      </c>
      <c r="K65">
        <v>105088904</v>
      </c>
      <c r="L65" s="2">
        <v>42861</v>
      </c>
      <c r="M65">
        <v>30</v>
      </c>
      <c r="N65">
        <v>1</v>
      </c>
      <c r="O65">
        <v>7</v>
      </c>
      <c r="P65">
        <v>1</v>
      </c>
      <c r="Q65" t="s">
        <v>7</v>
      </c>
    </row>
    <row r="66" spans="1:17">
      <c r="A66" t="s">
        <v>751</v>
      </c>
      <c r="B66" t="s">
        <v>897</v>
      </c>
      <c r="C66">
        <v>3.0000000000000001E-3</v>
      </c>
      <c r="D66" t="s">
        <v>6</v>
      </c>
      <c r="E66" t="s">
        <v>949</v>
      </c>
      <c r="F66" t="s">
        <v>954</v>
      </c>
      <c r="G66" t="s">
        <v>897</v>
      </c>
      <c r="H66">
        <v>0.879</v>
      </c>
      <c r="J66" s="600" t="s">
        <v>767</v>
      </c>
      <c r="K66">
        <v>105113138</v>
      </c>
      <c r="L66" s="2">
        <v>42873</v>
      </c>
      <c r="M66">
        <v>21</v>
      </c>
      <c r="N66">
        <v>1</v>
      </c>
      <c r="O66">
        <v>0</v>
      </c>
      <c r="P66">
        <v>1</v>
      </c>
      <c r="Q66" t="s">
        <v>7</v>
      </c>
    </row>
    <row r="67" spans="1:17">
      <c r="A67" t="s">
        <v>867</v>
      </c>
      <c r="B67" t="s">
        <v>924</v>
      </c>
      <c r="C67">
        <v>0</v>
      </c>
      <c r="E67" t="s">
        <v>869</v>
      </c>
      <c r="F67" t="s">
        <v>881</v>
      </c>
      <c r="G67" t="s">
        <v>925</v>
      </c>
      <c r="H67">
        <v>17.59</v>
      </c>
      <c r="J67" s="600" t="s">
        <v>767</v>
      </c>
      <c r="K67">
        <v>105115262</v>
      </c>
      <c r="L67" s="2">
        <v>42880</v>
      </c>
      <c r="M67">
        <v>24</v>
      </c>
      <c r="N67">
        <v>2</v>
      </c>
      <c r="O67">
        <v>0</v>
      </c>
      <c r="P67">
        <v>1</v>
      </c>
      <c r="Q67" t="s">
        <v>7</v>
      </c>
    </row>
    <row r="68" spans="1:17">
      <c r="A68" t="s">
        <v>751</v>
      </c>
      <c r="B68" t="s">
        <v>897</v>
      </c>
      <c r="C68">
        <v>0.2</v>
      </c>
      <c r="D68" t="s">
        <v>753</v>
      </c>
      <c r="E68" t="s">
        <v>965</v>
      </c>
      <c r="F68" t="s">
        <v>960</v>
      </c>
      <c r="G68" t="s">
        <v>897</v>
      </c>
      <c r="H68">
        <v>999.99900000000002</v>
      </c>
      <c r="J68" s="600" t="s">
        <v>767</v>
      </c>
      <c r="K68">
        <v>105123982</v>
      </c>
      <c r="L68" s="2">
        <v>42888</v>
      </c>
      <c r="M68">
        <v>23</v>
      </c>
      <c r="N68">
        <v>1</v>
      </c>
      <c r="O68">
        <v>5</v>
      </c>
      <c r="P68">
        <v>1</v>
      </c>
      <c r="Q68" t="s">
        <v>3</v>
      </c>
    </row>
    <row r="69" spans="1:17">
      <c r="A69" t="s">
        <v>751</v>
      </c>
      <c r="B69" t="s">
        <v>949</v>
      </c>
      <c r="C69">
        <v>0</v>
      </c>
      <c r="E69" t="s">
        <v>897</v>
      </c>
      <c r="F69" t="s">
        <v>954</v>
      </c>
      <c r="G69" t="s">
        <v>949</v>
      </c>
      <c r="H69">
        <v>14.055</v>
      </c>
      <c r="J69" s="600" t="s">
        <v>767</v>
      </c>
      <c r="K69">
        <v>105142851</v>
      </c>
      <c r="L69" s="2">
        <v>42892</v>
      </c>
      <c r="M69">
        <v>24</v>
      </c>
      <c r="N69">
        <v>1</v>
      </c>
      <c r="O69">
        <v>4</v>
      </c>
      <c r="P69">
        <v>1</v>
      </c>
      <c r="Q69" t="s">
        <v>8</v>
      </c>
    </row>
    <row r="70" spans="1:17">
      <c r="A70" t="s">
        <v>867</v>
      </c>
      <c r="B70" t="s">
        <v>762</v>
      </c>
      <c r="C70">
        <v>0</v>
      </c>
      <c r="E70" t="s">
        <v>762</v>
      </c>
      <c r="F70" t="s">
        <v>891</v>
      </c>
      <c r="G70" t="s">
        <v>940</v>
      </c>
      <c r="H70">
        <v>5.0730000000000004</v>
      </c>
      <c r="J70" s="600" t="s">
        <v>767</v>
      </c>
      <c r="K70">
        <v>105135600</v>
      </c>
      <c r="L70" s="2">
        <v>42898</v>
      </c>
      <c r="M70">
        <v>22</v>
      </c>
      <c r="N70">
        <v>1</v>
      </c>
      <c r="O70">
        <v>0</v>
      </c>
      <c r="P70">
        <v>1</v>
      </c>
      <c r="Q70" t="s">
        <v>7</v>
      </c>
    </row>
    <row r="71" spans="1:17">
      <c r="A71" t="s">
        <v>751</v>
      </c>
      <c r="B71" t="s">
        <v>897</v>
      </c>
      <c r="C71">
        <v>1.4E-2</v>
      </c>
      <c r="D71" t="s">
        <v>754</v>
      </c>
      <c r="E71" t="s">
        <v>949</v>
      </c>
      <c r="F71" t="s">
        <v>901</v>
      </c>
      <c r="G71" t="s">
        <v>897</v>
      </c>
      <c r="H71">
        <v>0.89600000000000002</v>
      </c>
      <c r="J71" s="600" t="s">
        <v>767</v>
      </c>
      <c r="K71">
        <v>105142894</v>
      </c>
      <c r="L71" s="2">
        <v>42910</v>
      </c>
      <c r="M71">
        <v>21</v>
      </c>
      <c r="N71">
        <v>1</v>
      </c>
      <c r="O71">
        <v>0</v>
      </c>
      <c r="P71">
        <v>1</v>
      </c>
      <c r="Q71" t="s">
        <v>7</v>
      </c>
    </row>
    <row r="72" spans="1:17">
      <c r="A72" t="s">
        <v>751</v>
      </c>
      <c r="B72" t="s">
        <v>938</v>
      </c>
      <c r="C72">
        <v>0</v>
      </c>
      <c r="E72" t="s">
        <v>762</v>
      </c>
      <c r="F72" t="s">
        <v>939</v>
      </c>
      <c r="G72" t="s">
        <v>938</v>
      </c>
      <c r="H72">
        <v>6.6040000000000001</v>
      </c>
      <c r="J72" s="600" t="s">
        <v>767</v>
      </c>
      <c r="K72">
        <v>105147018</v>
      </c>
      <c r="L72" s="2">
        <v>42915</v>
      </c>
      <c r="M72">
        <v>19</v>
      </c>
      <c r="N72">
        <v>1</v>
      </c>
      <c r="O72">
        <v>8</v>
      </c>
      <c r="P72">
        <v>1</v>
      </c>
      <c r="Q72" t="s">
        <v>7</v>
      </c>
    </row>
    <row r="73" spans="1:17">
      <c r="A73" t="s">
        <v>850</v>
      </c>
      <c r="B73" t="s">
        <v>762</v>
      </c>
      <c r="C73">
        <v>0</v>
      </c>
      <c r="D73" t="s">
        <v>6</v>
      </c>
      <c r="E73" t="s">
        <v>855</v>
      </c>
      <c r="F73" t="s">
        <v>911</v>
      </c>
      <c r="G73" t="s">
        <v>909</v>
      </c>
      <c r="H73">
        <v>2.996</v>
      </c>
      <c r="J73" s="600" t="s">
        <v>767</v>
      </c>
      <c r="K73">
        <v>105156577</v>
      </c>
      <c r="L73" s="2">
        <v>42926</v>
      </c>
      <c r="M73">
        <v>30</v>
      </c>
      <c r="N73">
        <v>1</v>
      </c>
      <c r="O73">
        <v>0</v>
      </c>
      <c r="P73">
        <v>1</v>
      </c>
      <c r="Q73" t="s">
        <v>3</v>
      </c>
    </row>
    <row r="74" spans="1:17">
      <c r="A74" t="s">
        <v>867</v>
      </c>
      <c r="B74" t="s">
        <v>936</v>
      </c>
      <c r="C74">
        <v>0</v>
      </c>
      <c r="E74" t="s">
        <v>869</v>
      </c>
      <c r="F74" t="s">
        <v>930</v>
      </c>
      <c r="G74" t="s">
        <v>883</v>
      </c>
      <c r="H74">
        <v>20.498000000000001</v>
      </c>
      <c r="J74" s="600" t="s">
        <v>767</v>
      </c>
      <c r="K74">
        <v>105180482</v>
      </c>
      <c r="L74" s="2">
        <v>42953</v>
      </c>
      <c r="M74">
        <v>30</v>
      </c>
      <c r="N74">
        <v>1</v>
      </c>
      <c r="O74">
        <v>7</v>
      </c>
      <c r="P74">
        <v>5</v>
      </c>
      <c r="Q74" t="s">
        <v>7</v>
      </c>
    </row>
    <row r="75" spans="1:17">
      <c r="A75" t="s">
        <v>850</v>
      </c>
      <c r="B75" t="s">
        <v>762</v>
      </c>
      <c r="C75">
        <v>1.9E-2</v>
      </c>
      <c r="D75" t="s">
        <v>6</v>
      </c>
      <c r="E75" t="s">
        <v>860</v>
      </c>
      <c r="F75" t="s">
        <v>914</v>
      </c>
      <c r="G75" t="s">
        <v>909</v>
      </c>
      <c r="H75">
        <v>2.9969999999999999</v>
      </c>
      <c r="J75" s="600" t="s">
        <v>767</v>
      </c>
      <c r="K75">
        <v>105185581</v>
      </c>
      <c r="L75" s="2">
        <v>42953</v>
      </c>
      <c r="M75">
        <v>28</v>
      </c>
      <c r="N75">
        <v>1</v>
      </c>
      <c r="O75">
        <v>0</v>
      </c>
      <c r="P75">
        <v>4</v>
      </c>
      <c r="Q75" t="s">
        <v>7</v>
      </c>
    </row>
    <row r="76" spans="1:17">
      <c r="A76" t="s">
        <v>850</v>
      </c>
      <c r="B76" t="s">
        <v>762</v>
      </c>
      <c r="C76">
        <v>0</v>
      </c>
      <c r="E76" t="s">
        <v>862</v>
      </c>
      <c r="F76" t="s">
        <v>911</v>
      </c>
      <c r="G76" t="s">
        <v>909</v>
      </c>
      <c r="H76">
        <v>2.8679999999999999</v>
      </c>
      <c r="J76" s="600" t="s">
        <v>767</v>
      </c>
      <c r="K76">
        <v>105507729</v>
      </c>
      <c r="L76" s="2">
        <v>42965</v>
      </c>
      <c r="M76">
        <v>30</v>
      </c>
      <c r="N76">
        <v>1</v>
      </c>
      <c r="O76">
        <v>7</v>
      </c>
      <c r="P76">
        <v>1</v>
      </c>
      <c r="Q76" t="s">
        <v>7</v>
      </c>
    </row>
    <row r="77" spans="1:17">
      <c r="A77" t="s">
        <v>850</v>
      </c>
      <c r="B77" t="s">
        <v>762</v>
      </c>
      <c r="C77">
        <v>7.0000000000000001E-3</v>
      </c>
      <c r="D77" t="s">
        <v>754</v>
      </c>
      <c r="E77" t="s">
        <v>860</v>
      </c>
      <c r="F77" t="s">
        <v>855</v>
      </c>
      <c r="G77" t="s">
        <v>909</v>
      </c>
      <c r="H77">
        <v>3.0230000000000001</v>
      </c>
      <c r="J77" s="600" t="s">
        <v>767</v>
      </c>
      <c r="K77">
        <v>105199106</v>
      </c>
      <c r="L77" s="2">
        <v>42969</v>
      </c>
      <c r="M77">
        <v>32</v>
      </c>
      <c r="N77">
        <v>1</v>
      </c>
      <c r="O77">
        <v>0</v>
      </c>
      <c r="P77">
        <v>1</v>
      </c>
      <c r="Q77" t="s">
        <v>7</v>
      </c>
    </row>
    <row r="78" spans="1:17">
      <c r="A78" t="s">
        <v>751</v>
      </c>
      <c r="B78" t="s">
        <v>897</v>
      </c>
      <c r="C78">
        <v>0.1</v>
      </c>
      <c r="D78" t="s">
        <v>6</v>
      </c>
      <c r="E78" t="s">
        <v>949</v>
      </c>
      <c r="F78" t="s">
        <v>891</v>
      </c>
      <c r="G78" t="s">
        <v>897</v>
      </c>
      <c r="H78">
        <v>0.78200000000000003</v>
      </c>
      <c r="J78" s="600" t="s">
        <v>767</v>
      </c>
      <c r="K78">
        <v>105206557</v>
      </c>
      <c r="L78" s="2">
        <v>42977</v>
      </c>
      <c r="M78">
        <v>27</v>
      </c>
      <c r="N78">
        <v>1</v>
      </c>
      <c r="O78">
        <v>0</v>
      </c>
      <c r="P78">
        <v>1</v>
      </c>
      <c r="Q78" t="s">
        <v>8</v>
      </c>
    </row>
    <row r="79" spans="1:17">
      <c r="A79" t="s">
        <v>751</v>
      </c>
      <c r="B79" t="s">
        <v>897</v>
      </c>
      <c r="C79">
        <v>0.5</v>
      </c>
      <c r="D79" t="s">
        <v>760</v>
      </c>
      <c r="E79" t="s">
        <v>899</v>
      </c>
      <c r="F79" t="s">
        <v>948</v>
      </c>
      <c r="G79" t="s">
        <v>897</v>
      </c>
      <c r="H79">
        <v>2.4129999999999998</v>
      </c>
      <c r="J79" s="600" t="s">
        <v>767</v>
      </c>
      <c r="K79">
        <v>105210501</v>
      </c>
      <c r="L79" s="2">
        <v>42979</v>
      </c>
      <c r="M79">
        <v>19</v>
      </c>
      <c r="N79">
        <v>2</v>
      </c>
      <c r="O79">
        <v>5</v>
      </c>
      <c r="P79">
        <v>2</v>
      </c>
      <c r="Q79" t="s">
        <v>3</v>
      </c>
    </row>
    <row r="80" spans="1:17">
      <c r="A80" t="s">
        <v>751</v>
      </c>
      <c r="B80" t="s">
        <v>897</v>
      </c>
      <c r="C80">
        <v>0</v>
      </c>
      <c r="E80" t="s">
        <v>949</v>
      </c>
      <c r="F80" t="s">
        <v>901</v>
      </c>
      <c r="G80" t="s">
        <v>897</v>
      </c>
      <c r="H80">
        <v>0.88200000000000001</v>
      </c>
      <c r="J80" s="600" t="s">
        <v>767</v>
      </c>
      <c r="K80">
        <v>105227631</v>
      </c>
      <c r="L80" s="2">
        <v>42995</v>
      </c>
      <c r="M80">
        <v>30</v>
      </c>
      <c r="N80">
        <v>1</v>
      </c>
      <c r="O80">
        <v>7</v>
      </c>
      <c r="P80">
        <v>1</v>
      </c>
      <c r="Q80" t="s">
        <v>7</v>
      </c>
    </row>
    <row r="81" spans="1:22">
      <c r="A81" t="s">
        <v>850</v>
      </c>
      <c r="B81" t="s">
        <v>872</v>
      </c>
      <c r="C81">
        <v>0</v>
      </c>
      <c r="E81" t="s">
        <v>874</v>
      </c>
      <c r="H81">
        <v>999.99900000000002</v>
      </c>
      <c r="J81" s="600" t="s">
        <v>767</v>
      </c>
      <c r="K81">
        <v>105230066</v>
      </c>
      <c r="L81" s="2">
        <v>42998</v>
      </c>
      <c r="M81">
        <v>20</v>
      </c>
      <c r="N81">
        <v>1</v>
      </c>
      <c r="O81">
        <v>0</v>
      </c>
      <c r="P81">
        <v>1</v>
      </c>
      <c r="Q81" t="s">
        <v>7</v>
      </c>
    </row>
    <row r="82" spans="1:22">
      <c r="A82" t="s">
        <v>850</v>
      </c>
      <c r="B82" t="s">
        <v>762</v>
      </c>
      <c r="C82">
        <v>0</v>
      </c>
      <c r="E82" t="s">
        <v>919</v>
      </c>
      <c r="F82" t="s">
        <v>914</v>
      </c>
      <c r="G82" t="s">
        <v>909</v>
      </c>
      <c r="H82">
        <v>3.2850000000000001</v>
      </c>
      <c r="J82" s="600" t="s">
        <v>767</v>
      </c>
      <c r="K82">
        <v>105230312</v>
      </c>
      <c r="L82" s="2">
        <v>43003</v>
      </c>
      <c r="M82">
        <v>21</v>
      </c>
      <c r="N82">
        <v>1</v>
      </c>
      <c r="O82">
        <v>0</v>
      </c>
      <c r="P82">
        <v>1</v>
      </c>
      <c r="Q82" t="s">
        <v>7</v>
      </c>
    </row>
    <row r="83" spans="1:22">
      <c r="A83" t="s">
        <v>850</v>
      </c>
      <c r="B83" t="s">
        <v>864</v>
      </c>
      <c r="C83">
        <v>0</v>
      </c>
      <c r="E83" t="s">
        <v>762</v>
      </c>
      <c r="F83" t="s">
        <v>865</v>
      </c>
      <c r="H83">
        <v>999.99900000000002</v>
      </c>
      <c r="J83" s="600" t="s">
        <v>767</v>
      </c>
      <c r="K83">
        <v>105250200</v>
      </c>
      <c r="L83" s="2">
        <v>43014</v>
      </c>
      <c r="M83">
        <v>31</v>
      </c>
      <c r="N83">
        <v>1</v>
      </c>
      <c r="O83">
        <v>0</v>
      </c>
      <c r="P83">
        <v>1</v>
      </c>
      <c r="Q83" t="s">
        <v>7</v>
      </c>
    </row>
    <row r="84" spans="1:22">
      <c r="A84" t="s">
        <v>867</v>
      </c>
      <c r="B84" t="s">
        <v>891</v>
      </c>
      <c r="C84">
        <v>0</v>
      </c>
      <c r="D84" t="s">
        <v>755</v>
      </c>
      <c r="E84" t="s">
        <v>762</v>
      </c>
      <c r="F84" t="s">
        <v>869</v>
      </c>
      <c r="G84" t="s">
        <v>953</v>
      </c>
      <c r="H84">
        <v>2.0550000000000002</v>
      </c>
      <c r="J84" s="600" t="s">
        <v>767</v>
      </c>
      <c r="K84">
        <v>105247665</v>
      </c>
      <c r="L84" s="2">
        <v>43018</v>
      </c>
      <c r="M84">
        <v>23</v>
      </c>
      <c r="N84">
        <v>1</v>
      </c>
      <c r="O84">
        <v>7</v>
      </c>
      <c r="P84">
        <v>1</v>
      </c>
      <c r="Q84" t="s">
        <v>7</v>
      </c>
    </row>
    <row r="85" spans="1:22">
      <c r="A85" t="s">
        <v>850</v>
      </c>
      <c r="B85" t="s">
        <v>861</v>
      </c>
      <c r="C85">
        <v>6.0000000000000001E-3</v>
      </c>
      <c r="D85" t="s">
        <v>755</v>
      </c>
      <c r="E85" t="s">
        <v>762</v>
      </c>
      <c r="F85" t="s">
        <v>862</v>
      </c>
      <c r="H85">
        <v>999.99900000000002</v>
      </c>
      <c r="J85" s="600" t="s">
        <v>767</v>
      </c>
      <c r="K85">
        <v>105984303</v>
      </c>
      <c r="L85" s="2">
        <v>43018</v>
      </c>
      <c r="M85">
        <v>31</v>
      </c>
      <c r="N85">
        <v>1</v>
      </c>
      <c r="O85">
        <v>0</v>
      </c>
      <c r="P85">
        <v>1</v>
      </c>
      <c r="Q85" t="s">
        <v>7</v>
      </c>
    </row>
    <row r="86" spans="1:22">
      <c r="A86" t="s">
        <v>850</v>
      </c>
      <c r="B86" t="s">
        <v>917</v>
      </c>
      <c r="C86">
        <v>0</v>
      </c>
      <c r="D86" t="s">
        <v>755</v>
      </c>
      <c r="E86" t="s">
        <v>916</v>
      </c>
      <c r="F86" t="s">
        <v>915</v>
      </c>
      <c r="G86" t="s">
        <v>909</v>
      </c>
      <c r="H86">
        <v>3.206</v>
      </c>
      <c r="J86" s="600" t="s">
        <v>767</v>
      </c>
      <c r="K86">
        <v>105251330</v>
      </c>
      <c r="L86" s="2">
        <v>43020</v>
      </c>
      <c r="M86">
        <v>31</v>
      </c>
      <c r="N86">
        <v>1</v>
      </c>
      <c r="O86">
        <v>4</v>
      </c>
      <c r="P86">
        <v>1</v>
      </c>
      <c r="Q86" t="s">
        <v>7</v>
      </c>
    </row>
    <row r="87" spans="1:22">
      <c r="A87" t="s">
        <v>850</v>
      </c>
      <c r="B87" t="s">
        <v>762</v>
      </c>
      <c r="C87">
        <v>0</v>
      </c>
      <c r="D87" t="s">
        <v>755</v>
      </c>
      <c r="E87" t="s">
        <v>907</v>
      </c>
      <c r="F87" t="s">
        <v>908</v>
      </c>
      <c r="G87" t="s">
        <v>909</v>
      </c>
      <c r="H87">
        <v>2.6</v>
      </c>
      <c r="J87" s="600" t="s">
        <v>767</v>
      </c>
      <c r="K87">
        <v>105251331</v>
      </c>
      <c r="L87" s="2">
        <v>43020</v>
      </c>
      <c r="M87">
        <v>21</v>
      </c>
      <c r="N87">
        <v>1</v>
      </c>
      <c r="O87">
        <v>0</v>
      </c>
      <c r="P87">
        <v>4</v>
      </c>
      <c r="Q87" t="s">
        <v>7</v>
      </c>
    </row>
    <row r="88" spans="1:22">
      <c r="A88" t="s">
        <v>850</v>
      </c>
      <c r="B88" t="s">
        <v>762</v>
      </c>
      <c r="C88">
        <v>5.7000000000000002E-2</v>
      </c>
      <c r="D88" t="s">
        <v>754</v>
      </c>
      <c r="E88" t="s">
        <v>922</v>
      </c>
      <c r="F88" t="s">
        <v>762</v>
      </c>
      <c r="G88" t="s">
        <v>975</v>
      </c>
      <c r="H88">
        <v>0.53500000000000003</v>
      </c>
      <c r="J88" s="600" t="s">
        <v>767</v>
      </c>
      <c r="K88">
        <v>105269639</v>
      </c>
      <c r="L88" s="2">
        <v>43035</v>
      </c>
      <c r="M88">
        <v>21</v>
      </c>
      <c r="N88">
        <v>1</v>
      </c>
      <c r="O88">
        <v>0</v>
      </c>
      <c r="P88">
        <v>1</v>
      </c>
      <c r="Q88" t="s">
        <v>7</v>
      </c>
    </row>
    <row r="89" spans="1:22">
      <c r="A89" t="s">
        <v>850</v>
      </c>
      <c r="B89" t="s">
        <v>762</v>
      </c>
      <c r="C89">
        <v>0</v>
      </c>
      <c r="E89" t="s">
        <v>860</v>
      </c>
      <c r="G89" t="s">
        <v>909</v>
      </c>
      <c r="H89">
        <v>3.016</v>
      </c>
      <c r="J89" s="600" t="s">
        <v>767</v>
      </c>
      <c r="K89">
        <v>105285187</v>
      </c>
      <c r="L89" s="2">
        <v>43049</v>
      </c>
      <c r="M89">
        <v>28</v>
      </c>
      <c r="N89">
        <v>1</v>
      </c>
      <c r="O89">
        <v>0</v>
      </c>
      <c r="P89">
        <v>2</v>
      </c>
      <c r="Q89" t="s">
        <v>7</v>
      </c>
    </row>
    <row r="90" spans="1:22">
      <c r="A90" t="s">
        <v>867</v>
      </c>
      <c r="B90" t="s">
        <v>869</v>
      </c>
      <c r="C90">
        <v>0</v>
      </c>
      <c r="E90" t="s">
        <v>930</v>
      </c>
      <c r="F90" t="s">
        <v>930</v>
      </c>
      <c r="G90" t="s">
        <v>869</v>
      </c>
      <c r="H90">
        <v>999.99900000000002</v>
      </c>
      <c r="J90" s="600" t="s">
        <v>767</v>
      </c>
      <c r="K90">
        <v>105297726</v>
      </c>
      <c r="L90" s="2">
        <v>43063</v>
      </c>
      <c r="M90">
        <v>30</v>
      </c>
      <c r="N90">
        <v>1</v>
      </c>
      <c r="O90">
        <v>0</v>
      </c>
      <c r="P90">
        <v>1</v>
      </c>
      <c r="Q90" t="s">
        <v>10</v>
      </c>
      <c r="R90">
        <v>36.308058000000003</v>
      </c>
      <c r="S90">
        <v>-78.592676999999995</v>
      </c>
      <c r="T90" t="s">
        <v>756</v>
      </c>
      <c r="V90">
        <v>0.3274226257464975</v>
      </c>
    </row>
    <row r="91" spans="1:22">
      <c r="A91" t="s">
        <v>867</v>
      </c>
      <c r="B91" t="s">
        <v>871</v>
      </c>
      <c r="C91">
        <v>0</v>
      </c>
      <c r="E91" t="s">
        <v>869</v>
      </c>
      <c r="F91" t="s">
        <v>869</v>
      </c>
      <c r="H91">
        <v>999.99900000000002</v>
      </c>
      <c r="J91" s="600" t="s">
        <v>767</v>
      </c>
      <c r="K91">
        <v>105310344</v>
      </c>
      <c r="L91" s="2">
        <v>43068</v>
      </c>
      <c r="M91">
        <v>18</v>
      </c>
      <c r="N91">
        <v>1</v>
      </c>
      <c r="O91">
        <v>0</v>
      </c>
      <c r="P91">
        <v>1</v>
      </c>
      <c r="Q91" t="s">
        <v>7</v>
      </c>
    </row>
    <row r="92" spans="1:22">
      <c r="A92" t="s">
        <v>850</v>
      </c>
      <c r="B92" t="s">
        <v>762</v>
      </c>
      <c r="C92">
        <v>2.3E-2</v>
      </c>
      <c r="D92" t="s">
        <v>754</v>
      </c>
      <c r="E92" t="s">
        <v>865</v>
      </c>
      <c r="F92" t="s">
        <v>854</v>
      </c>
      <c r="G92" t="s">
        <v>909</v>
      </c>
      <c r="H92">
        <v>2.96</v>
      </c>
      <c r="J92" s="600" t="s">
        <v>767</v>
      </c>
      <c r="K92">
        <v>105317302</v>
      </c>
      <c r="L92" s="2">
        <v>43074</v>
      </c>
      <c r="M92">
        <v>28</v>
      </c>
      <c r="N92">
        <v>1</v>
      </c>
      <c r="O92">
        <v>0</v>
      </c>
      <c r="P92">
        <v>1</v>
      </c>
    </row>
    <row r="93" spans="1:22">
      <c r="A93" t="s">
        <v>867</v>
      </c>
      <c r="B93" t="s">
        <v>888</v>
      </c>
      <c r="C93">
        <v>0</v>
      </c>
      <c r="D93" t="s">
        <v>755</v>
      </c>
      <c r="E93" t="s">
        <v>947</v>
      </c>
      <c r="F93" t="s">
        <v>892</v>
      </c>
      <c r="G93" t="s">
        <v>901</v>
      </c>
      <c r="H93">
        <v>10.077999999999999</v>
      </c>
      <c r="J93" s="600" t="s">
        <v>767</v>
      </c>
      <c r="K93">
        <v>105319066</v>
      </c>
      <c r="L93" s="2">
        <v>43082</v>
      </c>
      <c r="M93">
        <v>17</v>
      </c>
      <c r="N93">
        <v>1</v>
      </c>
      <c r="O93">
        <v>0</v>
      </c>
      <c r="P93">
        <v>4</v>
      </c>
      <c r="Q93" t="s">
        <v>7</v>
      </c>
    </row>
    <row r="94" spans="1:22">
      <c r="A94" t="s">
        <v>850</v>
      </c>
      <c r="B94" t="s">
        <v>762</v>
      </c>
      <c r="C94">
        <v>3.7999999999999999E-2</v>
      </c>
      <c r="D94" t="s">
        <v>6</v>
      </c>
      <c r="E94" t="s">
        <v>915</v>
      </c>
      <c r="F94" t="s">
        <v>860</v>
      </c>
      <c r="G94" t="s">
        <v>909</v>
      </c>
      <c r="H94">
        <v>3.0880000000000001</v>
      </c>
      <c r="J94" s="600" t="s">
        <v>767</v>
      </c>
      <c r="K94">
        <v>105334610</v>
      </c>
      <c r="L94" s="2">
        <v>43090</v>
      </c>
      <c r="M94">
        <v>28</v>
      </c>
      <c r="N94">
        <v>1</v>
      </c>
      <c r="O94">
        <v>0</v>
      </c>
      <c r="P94">
        <v>1</v>
      </c>
      <c r="Q94" t="s">
        <v>7</v>
      </c>
    </row>
    <row r="95" spans="1:22">
      <c r="A95" t="s">
        <v>867</v>
      </c>
      <c r="B95" t="s">
        <v>924</v>
      </c>
      <c r="C95">
        <v>0</v>
      </c>
      <c r="E95" t="s">
        <v>869</v>
      </c>
      <c r="F95" t="s">
        <v>926</v>
      </c>
      <c r="G95" t="s">
        <v>925</v>
      </c>
      <c r="H95">
        <v>17.59</v>
      </c>
      <c r="J95" s="600" t="s">
        <v>767</v>
      </c>
      <c r="K95">
        <v>105336080</v>
      </c>
      <c r="L95" s="2">
        <v>43099</v>
      </c>
      <c r="M95">
        <v>30</v>
      </c>
      <c r="N95">
        <v>1</v>
      </c>
      <c r="O95">
        <v>0</v>
      </c>
      <c r="P95">
        <v>4</v>
      </c>
      <c r="Q95" t="s">
        <v>7</v>
      </c>
    </row>
    <row r="96" spans="1:22">
      <c r="A96" t="s">
        <v>867</v>
      </c>
      <c r="B96" t="s">
        <v>869</v>
      </c>
      <c r="C96">
        <v>0</v>
      </c>
      <c r="E96" t="s">
        <v>881</v>
      </c>
      <c r="F96" t="s">
        <v>936</v>
      </c>
      <c r="G96" t="s">
        <v>869</v>
      </c>
      <c r="H96">
        <v>999.99900000000002</v>
      </c>
      <c r="J96" s="600" t="s">
        <v>767</v>
      </c>
      <c r="K96">
        <v>105375720</v>
      </c>
      <c r="L96" s="2">
        <v>43139</v>
      </c>
      <c r="M96">
        <v>30</v>
      </c>
      <c r="N96">
        <v>1</v>
      </c>
      <c r="O96">
        <v>7</v>
      </c>
      <c r="P96">
        <v>1</v>
      </c>
      <c r="Q96" t="s">
        <v>7</v>
      </c>
    </row>
    <row r="97" spans="1:17">
      <c r="A97" t="s">
        <v>850</v>
      </c>
      <c r="B97" t="s">
        <v>762</v>
      </c>
      <c r="C97">
        <v>0</v>
      </c>
      <c r="E97" t="s">
        <v>860</v>
      </c>
      <c r="F97" t="s">
        <v>915</v>
      </c>
      <c r="G97" t="s">
        <v>909</v>
      </c>
      <c r="H97">
        <v>3.016</v>
      </c>
      <c r="J97" s="600" t="s">
        <v>767</v>
      </c>
      <c r="K97">
        <v>105399346</v>
      </c>
      <c r="L97" s="2">
        <v>43142</v>
      </c>
      <c r="M97">
        <v>27</v>
      </c>
      <c r="N97">
        <v>2</v>
      </c>
      <c r="O97">
        <v>0</v>
      </c>
      <c r="P97">
        <v>3</v>
      </c>
      <c r="Q97" t="s">
        <v>3</v>
      </c>
    </row>
    <row r="98" spans="1:17">
      <c r="A98" t="s">
        <v>867</v>
      </c>
      <c r="B98" t="s">
        <v>924</v>
      </c>
      <c r="C98">
        <v>0</v>
      </c>
      <c r="E98" t="s">
        <v>869</v>
      </c>
      <c r="F98" t="s">
        <v>927</v>
      </c>
      <c r="G98" t="s">
        <v>925</v>
      </c>
      <c r="H98">
        <v>17.59</v>
      </c>
      <c r="J98" s="600" t="s">
        <v>767</v>
      </c>
      <c r="K98">
        <v>105397737</v>
      </c>
      <c r="L98" s="2">
        <v>43161</v>
      </c>
      <c r="M98">
        <v>30</v>
      </c>
      <c r="N98">
        <v>1</v>
      </c>
      <c r="O98">
        <v>0</v>
      </c>
      <c r="P98">
        <v>4</v>
      </c>
    </row>
    <row r="99" spans="1:17">
      <c r="A99" t="s">
        <v>867</v>
      </c>
      <c r="B99" t="s">
        <v>875</v>
      </c>
      <c r="C99">
        <v>0</v>
      </c>
      <c r="E99" t="s">
        <v>869</v>
      </c>
      <c r="F99" t="s">
        <v>869</v>
      </c>
      <c r="H99">
        <v>999.99900000000002</v>
      </c>
      <c r="J99" s="600" t="s">
        <v>767</v>
      </c>
      <c r="K99">
        <v>105402812</v>
      </c>
      <c r="L99" s="2">
        <v>43166</v>
      </c>
      <c r="M99">
        <v>21</v>
      </c>
      <c r="N99">
        <v>1</v>
      </c>
      <c r="O99">
        <v>0</v>
      </c>
      <c r="P99">
        <v>1</v>
      </c>
      <c r="Q99" t="s">
        <v>7</v>
      </c>
    </row>
    <row r="100" spans="1:17">
      <c r="A100" t="s">
        <v>850</v>
      </c>
      <c r="B100" t="s">
        <v>762</v>
      </c>
      <c r="C100">
        <v>8.9999999999999993E-3</v>
      </c>
      <c r="D100" t="s">
        <v>6</v>
      </c>
      <c r="E100" t="s">
        <v>914</v>
      </c>
      <c r="F100" t="s">
        <v>916</v>
      </c>
      <c r="G100" t="s">
        <v>909</v>
      </c>
      <c r="H100">
        <v>3.1469999999999998</v>
      </c>
      <c r="J100" s="600" t="s">
        <v>767</v>
      </c>
      <c r="K100">
        <v>105417620</v>
      </c>
      <c r="L100" s="2">
        <v>43174</v>
      </c>
      <c r="M100">
        <v>1</v>
      </c>
      <c r="N100">
        <v>1</v>
      </c>
      <c r="O100">
        <v>0</v>
      </c>
      <c r="P100">
        <v>1</v>
      </c>
      <c r="Q100" t="s">
        <v>7</v>
      </c>
    </row>
    <row r="101" spans="1:17">
      <c r="A101" t="s">
        <v>850</v>
      </c>
      <c r="B101" t="s">
        <v>762</v>
      </c>
      <c r="C101">
        <v>0</v>
      </c>
      <c r="E101" t="s">
        <v>913</v>
      </c>
      <c r="F101" t="s">
        <v>883</v>
      </c>
      <c r="G101" t="s">
        <v>909</v>
      </c>
      <c r="H101">
        <v>3.2839999999999998</v>
      </c>
      <c r="J101" s="600" t="s">
        <v>767</v>
      </c>
      <c r="K101">
        <v>105417622</v>
      </c>
      <c r="L101" s="2">
        <v>43174</v>
      </c>
      <c r="M101">
        <v>23</v>
      </c>
      <c r="N101">
        <v>1</v>
      </c>
      <c r="O101">
        <v>7</v>
      </c>
      <c r="P101">
        <v>1</v>
      </c>
      <c r="Q101" t="s">
        <v>7</v>
      </c>
    </row>
    <row r="102" spans="1:17">
      <c r="A102" t="s">
        <v>850</v>
      </c>
      <c r="B102" t="s">
        <v>876</v>
      </c>
      <c r="C102">
        <v>8.9999999999999993E-3</v>
      </c>
      <c r="D102" t="s">
        <v>753</v>
      </c>
      <c r="E102" t="s">
        <v>762</v>
      </c>
      <c r="F102" t="s">
        <v>877</v>
      </c>
      <c r="H102">
        <v>999.99900000000002</v>
      </c>
      <c r="J102" s="600" t="s">
        <v>767</v>
      </c>
      <c r="K102">
        <v>105984302</v>
      </c>
      <c r="L102" s="2">
        <v>43175</v>
      </c>
      <c r="M102">
        <v>31</v>
      </c>
      <c r="N102">
        <v>1</v>
      </c>
      <c r="O102">
        <v>0</v>
      </c>
      <c r="P102">
        <v>4</v>
      </c>
      <c r="Q102" t="s">
        <v>7</v>
      </c>
    </row>
    <row r="103" spans="1:17">
      <c r="A103" t="s">
        <v>867</v>
      </c>
      <c r="B103" t="s">
        <v>924</v>
      </c>
      <c r="C103">
        <v>0</v>
      </c>
      <c r="E103" t="s">
        <v>869</v>
      </c>
      <c r="F103" t="s">
        <v>881</v>
      </c>
      <c r="G103" t="s">
        <v>925</v>
      </c>
      <c r="H103">
        <v>17.59</v>
      </c>
      <c r="J103" s="600" t="s">
        <v>767</v>
      </c>
      <c r="K103">
        <v>105421874</v>
      </c>
      <c r="L103" s="2">
        <v>43183</v>
      </c>
      <c r="M103">
        <v>30</v>
      </c>
      <c r="N103">
        <v>6</v>
      </c>
      <c r="O103">
        <v>7</v>
      </c>
      <c r="P103">
        <v>4</v>
      </c>
      <c r="Q103" t="s">
        <v>3</v>
      </c>
    </row>
    <row r="104" spans="1:17">
      <c r="A104" t="s">
        <v>850</v>
      </c>
      <c r="B104" t="s">
        <v>762</v>
      </c>
      <c r="C104">
        <v>1.4999999999999999E-2</v>
      </c>
      <c r="D104" t="s">
        <v>6</v>
      </c>
      <c r="E104" t="s">
        <v>915</v>
      </c>
      <c r="F104" t="s">
        <v>914</v>
      </c>
      <c r="G104" t="s">
        <v>909</v>
      </c>
      <c r="H104">
        <v>3.1110000000000002</v>
      </c>
      <c r="J104" s="600" t="s">
        <v>767</v>
      </c>
      <c r="K104">
        <v>105433973</v>
      </c>
      <c r="L104" s="2">
        <v>43187</v>
      </c>
      <c r="M104">
        <v>21</v>
      </c>
      <c r="N104">
        <v>1</v>
      </c>
      <c r="O104">
        <v>0</v>
      </c>
      <c r="P104">
        <v>1</v>
      </c>
      <c r="Q104" t="s">
        <v>7</v>
      </c>
    </row>
    <row r="105" spans="1:17">
      <c r="A105" t="s">
        <v>850</v>
      </c>
      <c r="B105" t="s">
        <v>872</v>
      </c>
      <c r="C105">
        <v>8.9999999999999993E-3</v>
      </c>
      <c r="D105" t="s">
        <v>6</v>
      </c>
      <c r="E105" t="s">
        <v>862</v>
      </c>
      <c r="F105" t="s">
        <v>911</v>
      </c>
      <c r="G105" t="s">
        <v>909</v>
      </c>
      <c r="H105">
        <v>2.859</v>
      </c>
      <c r="J105" s="600" t="s">
        <v>767</v>
      </c>
      <c r="K105">
        <v>105433975</v>
      </c>
      <c r="L105" s="2">
        <v>43192</v>
      </c>
      <c r="M105">
        <v>20</v>
      </c>
      <c r="N105">
        <v>1</v>
      </c>
      <c r="P105">
        <v>1</v>
      </c>
      <c r="Q105" t="s">
        <v>7</v>
      </c>
    </row>
    <row r="106" spans="1:17">
      <c r="A106" t="s">
        <v>850</v>
      </c>
      <c r="B106" t="s">
        <v>762</v>
      </c>
      <c r="C106">
        <v>0</v>
      </c>
      <c r="E106" t="s">
        <v>862</v>
      </c>
      <c r="G106" t="s">
        <v>909</v>
      </c>
      <c r="H106">
        <v>2.8679999999999999</v>
      </c>
      <c r="J106" s="600" t="s">
        <v>767</v>
      </c>
      <c r="K106">
        <v>105449819</v>
      </c>
      <c r="L106" s="2">
        <v>43203</v>
      </c>
      <c r="M106">
        <v>30</v>
      </c>
      <c r="N106">
        <v>1</v>
      </c>
      <c r="O106">
        <v>7</v>
      </c>
      <c r="P106">
        <v>1</v>
      </c>
      <c r="Q106" t="s">
        <v>3</v>
      </c>
    </row>
    <row r="107" spans="1:17">
      <c r="A107" t="s">
        <v>850</v>
      </c>
      <c r="B107" t="s">
        <v>762</v>
      </c>
      <c r="C107">
        <v>0</v>
      </c>
      <c r="E107" t="s">
        <v>865</v>
      </c>
      <c r="F107" t="s">
        <v>862</v>
      </c>
      <c r="G107" t="s">
        <v>909</v>
      </c>
      <c r="H107">
        <v>2.9369999999999998</v>
      </c>
      <c r="J107" s="600" t="s">
        <v>767</v>
      </c>
      <c r="K107">
        <v>105449820</v>
      </c>
      <c r="L107" s="2">
        <v>43206</v>
      </c>
      <c r="M107">
        <v>24</v>
      </c>
      <c r="N107">
        <v>1</v>
      </c>
      <c r="O107">
        <v>12</v>
      </c>
      <c r="P107">
        <v>1</v>
      </c>
      <c r="Q107" t="s">
        <v>7</v>
      </c>
    </row>
    <row r="108" spans="1:17">
      <c r="A108" t="s">
        <v>867</v>
      </c>
      <c r="B108" t="s">
        <v>936</v>
      </c>
      <c r="C108">
        <v>0</v>
      </c>
      <c r="E108" t="s">
        <v>869</v>
      </c>
      <c r="F108" t="s">
        <v>881</v>
      </c>
      <c r="G108" t="s">
        <v>883</v>
      </c>
      <c r="H108">
        <v>20.498000000000001</v>
      </c>
      <c r="J108" s="600" t="s">
        <v>767</v>
      </c>
      <c r="K108">
        <v>105468703</v>
      </c>
      <c r="L108" s="2">
        <v>43218</v>
      </c>
      <c r="M108">
        <v>30</v>
      </c>
      <c r="N108">
        <v>1</v>
      </c>
      <c r="O108">
        <v>7</v>
      </c>
      <c r="P108">
        <v>1</v>
      </c>
      <c r="Q108" t="s">
        <v>7</v>
      </c>
    </row>
    <row r="109" spans="1:17">
      <c r="A109" t="s">
        <v>867</v>
      </c>
      <c r="B109" t="s">
        <v>880</v>
      </c>
      <c r="C109">
        <v>0</v>
      </c>
      <c r="E109" t="s">
        <v>869</v>
      </c>
      <c r="F109" t="s">
        <v>881</v>
      </c>
      <c r="H109">
        <v>999.99900000000002</v>
      </c>
      <c r="J109" s="600" t="s">
        <v>767</v>
      </c>
      <c r="K109">
        <v>105465888</v>
      </c>
      <c r="L109" s="2">
        <v>43222</v>
      </c>
      <c r="M109">
        <v>20</v>
      </c>
      <c r="N109">
        <v>1</v>
      </c>
      <c r="O109">
        <v>0</v>
      </c>
      <c r="P109">
        <v>1</v>
      </c>
      <c r="Q109" t="s">
        <v>7</v>
      </c>
    </row>
    <row r="110" spans="1:17">
      <c r="A110" t="s">
        <v>867</v>
      </c>
      <c r="B110" t="s">
        <v>762</v>
      </c>
      <c r="C110">
        <v>0</v>
      </c>
      <c r="E110" t="s">
        <v>968</v>
      </c>
      <c r="F110" t="s">
        <v>891</v>
      </c>
      <c r="G110" t="s">
        <v>943</v>
      </c>
      <c r="H110">
        <v>1.421</v>
      </c>
      <c r="J110" s="600" t="s">
        <v>767</v>
      </c>
      <c r="K110">
        <v>105481992</v>
      </c>
      <c r="L110" s="2">
        <v>43236</v>
      </c>
      <c r="M110">
        <v>28</v>
      </c>
      <c r="N110">
        <v>10</v>
      </c>
      <c r="O110">
        <v>0</v>
      </c>
      <c r="P110">
        <v>1</v>
      </c>
    </row>
    <row r="111" spans="1:17">
      <c r="A111" t="s">
        <v>850</v>
      </c>
      <c r="B111" t="s">
        <v>913</v>
      </c>
      <c r="C111">
        <v>0</v>
      </c>
      <c r="E111" t="s">
        <v>762</v>
      </c>
      <c r="F111" t="s">
        <v>913</v>
      </c>
      <c r="G111" t="s">
        <v>909</v>
      </c>
      <c r="H111">
        <v>3.2839999999999998</v>
      </c>
      <c r="J111" s="600" t="s">
        <v>767</v>
      </c>
      <c r="K111">
        <v>105508622</v>
      </c>
      <c r="L111" s="2">
        <v>43238</v>
      </c>
      <c r="M111">
        <v>23</v>
      </c>
      <c r="N111">
        <v>1</v>
      </c>
      <c r="O111">
        <v>7</v>
      </c>
      <c r="P111">
        <v>1</v>
      </c>
      <c r="Q111" t="s">
        <v>7</v>
      </c>
    </row>
    <row r="112" spans="1:17">
      <c r="A112" t="s">
        <v>867</v>
      </c>
      <c r="B112" t="s">
        <v>869</v>
      </c>
      <c r="C112">
        <v>0</v>
      </c>
      <c r="E112" t="s">
        <v>870</v>
      </c>
      <c r="F112" t="s">
        <v>870</v>
      </c>
      <c r="G112" t="s">
        <v>869</v>
      </c>
      <c r="H112">
        <v>0.62</v>
      </c>
      <c r="J112" s="600" t="s">
        <v>767</v>
      </c>
      <c r="K112">
        <v>105494799</v>
      </c>
      <c r="L112" s="2">
        <v>43241</v>
      </c>
      <c r="M112">
        <v>19</v>
      </c>
      <c r="N112">
        <v>1</v>
      </c>
      <c r="O112">
        <v>0</v>
      </c>
      <c r="P112">
        <v>1</v>
      </c>
      <c r="Q112" t="s">
        <v>7</v>
      </c>
    </row>
    <row r="113" spans="1:17">
      <c r="A113" t="s">
        <v>867</v>
      </c>
      <c r="B113" t="s">
        <v>891</v>
      </c>
      <c r="C113">
        <v>0</v>
      </c>
      <c r="E113" t="s">
        <v>869</v>
      </c>
      <c r="F113" t="s">
        <v>888</v>
      </c>
      <c r="G113" t="s">
        <v>953</v>
      </c>
      <c r="H113">
        <v>2.6850000000000001</v>
      </c>
      <c r="J113" s="600" t="s">
        <v>767</v>
      </c>
      <c r="K113">
        <v>105494802</v>
      </c>
      <c r="L113" s="2">
        <v>43242</v>
      </c>
      <c r="M113">
        <v>30</v>
      </c>
      <c r="N113">
        <v>1</v>
      </c>
      <c r="O113">
        <v>7</v>
      </c>
      <c r="P113">
        <v>1</v>
      </c>
      <c r="Q113" t="s">
        <v>7</v>
      </c>
    </row>
    <row r="114" spans="1:17">
      <c r="A114" t="s">
        <v>850</v>
      </c>
      <c r="B114" t="s">
        <v>762</v>
      </c>
      <c r="C114">
        <v>0</v>
      </c>
      <c r="E114" t="s">
        <v>916</v>
      </c>
      <c r="G114" t="s">
        <v>909</v>
      </c>
      <c r="H114">
        <v>3.206</v>
      </c>
      <c r="J114" s="600" t="s">
        <v>767</v>
      </c>
      <c r="K114">
        <v>105526147</v>
      </c>
      <c r="L114" s="2">
        <v>43280</v>
      </c>
      <c r="M114">
        <v>30</v>
      </c>
      <c r="N114">
        <v>1</v>
      </c>
      <c r="O114">
        <v>8</v>
      </c>
      <c r="P114">
        <v>1</v>
      </c>
      <c r="Q114" t="s">
        <v>7</v>
      </c>
    </row>
    <row r="115" spans="1:17">
      <c r="A115" t="s">
        <v>867</v>
      </c>
      <c r="B115" t="s">
        <v>891</v>
      </c>
      <c r="C115">
        <v>0</v>
      </c>
      <c r="E115" t="s">
        <v>762</v>
      </c>
      <c r="F115" t="s">
        <v>987</v>
      </c>
      <c r="G115" t="s">
        <v>953</v>
      </c>
      <c r="H115">
        <v>2.0550000000000002</v>
      </c>
      <c r="J115" s="600" t="s">
        <v>767</v>
      </c>
      <c r="K115">
        <v>105552281</v>
      </c>
      <c r="L115" s="2">
        <v>43291</v>
      </c>
      <c r="M115">
        <v>21</v>
      </c>
      <c r="N115">
        <v>1</v>
      </c>
      <c r="O115">
        <v>8</v>
      </c>
      <c r="P115">
        <v>1</v>
      </c>
      <c r="Q115" t="s">
        <v>7</v>
      </c>
    </row>
    <row r="116" spans="1:17">
      <c r="A116" t="s">
        <v>850</v>
      </c>
      <c r="B116" t="s">
        <v>762</v>
      </c>
      <c r="C116">
        <v>3.1E-2</v>
      </c>
      <c r="D116" t="s">
        <v>6</v>
      </c>
      <c r="E116" t="s">
        <v>865</v>
      </c>
      <c r="F116" t="s">
        <v>862</v>
      </c>
      <c r="G116" t="s">
        <v>909</v>
      </c>
      <c r="H116">
        <v>2.9060000000000001</v>
      </c>
      <c r="J116" s="600" t="s">
        <v>767</v>
      </c>
      <c r="K116">
        <v>105551538</v>
      </c>
      <c r="L116" s="2">
        <v>43307</v>
      </c>
      <c r="M116">
        <v>30</v>
      </c>
      <c r="N116">
        <v>1</v>
      </c>
      <c r="O116">
        <v>4</v>
      </c>
      <c r="P116">
        <v>1</v>
      </c>
      <c r="Q116" t="s">
        <v>7</v>
      </c>
    </row>
    <row r="117" spans="1:17">
      <c r="A117" t="s">
        <v>867</v>
      </c>
      <c r="B117" t="s">
        <v>926</v>
      </c>
      <c r="C117">
        <v>0</v>
      </c>
      <c r="E117" t="s">
        <v>869</v>
      </c>
      <c r="F117" t="s">
        <v>927</v>
      </c>
      <c r="G117" t="s">
        <v>869</v>
      </c>
      <c r="H117">
        <v>0.09</v>
      </c>
      <c r="J117" s="600" t="s">
        <v>767</v>
      </c>
      <c r="K117">
        <v>105573027</v>
      </c>
      <c r="L117" s="2">
        <v>43310</v>
      </c>
      <c r="M117">
        <v>30</v>
      </c>
      <c r="N117">
        <v>1</v>
      </c>
      <c r="O117">
        <v>0</v>
      </c>
      <c r="P117">
        <v>1</v>
      </c>
      <c r="Q117" t="s">
        <v>8</v>
      </c>
    </row>
    <row r="118" spans="1:17">
      <c r="A118" t="s">
        <v>867</v>
      </c>
      <c r="B118" t="s">
        <v>869</v>
      </c>
      <c r="C118">
        <v>0</v>
      </c>
      <c r="E118" t="s">
        <v>870</v>
      </c>
      <c r="F118" t="s">
        <v>931</v>
      </c>
      <c r="G118" t="s">
        <v>869</v>
      </c>
      <c r="H118">
        <v>0.62</v>
      </c>
      <c r="J118" s="600" t="s">
        <v>767</v>
      </c>
      <c r="K118">
        <v>105618961</v>
      </c>
      <c r="L118" s="2">
        <v>43337</v>
      </c>
      <c r="M118">
        <v>1</v>
      </c>
      <c r="N118">
        <v>1</v>
      </c>
      <c r="O118">
        <v>0</v>
      </c>
      <c r="P118">
        <v>4</v>
      </c>
      <c r="Q118" t="s">
        <v>3</v>
      </c>
    </row>
    <row r="119" spans="1:17">
      <c r="A119" t="s">
        <v>850</v>
      </c>
      <c r="B119" t="s">
        <v>762</v>
      </c>
      <c r="C119">
        <v>0.01</v>
      </c>
      <c r="D119" t="s">
        <v>6</v>
      </c>
      <c r="E119" t="s">
        <v>855</v>
      </c>
      <c r="F119" t="s">
        <v>853</v>
      </c>
      <c r="G119" t="s">
        <v>909</v>
      </c>
      <c r="H119">
        <v>2.9860000000000002</v>
      </c>
      <c r="J119" s="600" t="s">
        <v>767</v>
      </c>
      <c r="K119">
        <v>105601554</v>
      </c>
      <c r="L119" s="2">
        <v>43350</v>
      </c>
      <c r="M119">
        <v>28</v>
      </c>
      <c r="N119">
        <v>1</v>
      </c>
      <c r="O119">
        <v>0</v>
      </c>
      <c r="P119">
        <v>1</v>
      </c>
      <c r="Q119" t="s">
        <v>7</v>
      </c>
    </row>
    <row r="120" spans="1:17">
      <c r="A120" t="s">
        <v>850</v>
      </c>
      <c r="B120" t="s">
        <v>855</v>
      </c>
      <c r="C120">
        <v>1.9E-2</v>
      </c>
      <c r="D120" t="s">
        <v>755</v>
      </c>
      <c r="E120" t="s">
        <v>762</v>
      </c>
      <c r="F120" t="s">
        <v>858</v>
      </c>
      <c r="H120">
        <v>999.99900000000002</v>
      </c>
      <c r="J120" s="600" t="s">
        <v>767</v>
      </c>
      <c r="K120">
        <v>105601553</v>
      </c>
      <c r="L120" s="2">
        <v>43353</v>
      </c>
      <c r="M120">
        <v>31</v>
      </c>
      <c r="N120">
        <v>1</v>
      </c>
      <c r="O120">
        <v>0</v>
      </c>
      <c r="P120">
        <v>1</v>
      </c>
      <c r="Q120" t="s">
        <v>7</v>
      </c>
    </row>
    <row r="121" spans="1:17">
      <c r="A121" t="s">
        <v>850</v>
      </c>
      <c r="B121" t="s">
        <v>762</v>
      </c>
      <c r="C121">
        <v>0</v>
      </c>
      <c r="E121" t="s">
        <v>913</v>
      </c>
      <c r="F121" t="s">
        <v>918</v>
      </c>
      <c r="G121" t="s">
        <v>909</v>
      </c>
      <c r="H121">
        <v>3.2839999999999998</v>
      </c>
      <c r="J121" s="600" t="s">
        <v>767</v>
      </c>
      <c r="K121">
        <v>105601555</v>
      </c>
      <c r="L121" s="2">
        <v>43353</v>
      </c>
      <c r="M121">
        <v>26</v>
      </c>
      <c r="N121">
        <v>1</v>
      </c>
      <c r="O121">
        <v>7</v>
      </c>
      <c r="P121">
        <v>1</v>
      </c>
      <c r="Q121" t="s">
        <v>7</v>
      </c>
    </row>
    <row r="122" spans="1:17">
      <c r="A122" t="s">
        <v>867</v>
      </c>
      <c r="B122" t="s">
        <v>887</v>
      </c>
      <c r="C122">
        <v>0</v>
      </c>
      <c r="E122" t="s">
        <v>869</v>
      </c>
      <c r="F122" t="s">
        <v>881</v>
      </c>
      <c r="G122" t="s">
        <v>869</v>
      </c>
      <c r="H122">
        <v>0.22</v>
      </c>
      <c r="J122" s="600" t="s">
        <v>767</v>
      </c>
      <c r="K122">
        <v>105616476</v>
      </c>
      <c r="L122" s="2">
        <v>43370</v>
      </c>
      <c r="M122">
        <v>29</v>
      </c>
      <c r="N122">
        <v>2</v>
      </c>
      <c r="O122">
        <v>4</v>
      </c>
      <c r="P122">
        <v>1</v>
      </c>
      <c r="Q122" t="s">
        <v>7</v>
      </c>
    </row>
    <row r="123" spans="1:17">
      <c r="A123" t="s">
        <v>867</v>
      </c>
      <c r="B123" t="s">
        <v>869</v>
      </c>
      <c r="C123">
        <v>0</v>
      </c>
      <c r="E123" t="s">
        <v>931</v>
      </c>
      <c r="F123" t="s">
        <v>870</v>
      </c>
      <c r="G123" t="s">
        <v>869</v>
      </c>
      <c r="H123">
        <v>0.47</v>
      </c>
      <c r="J123" s="600" t="s">
        <v>767</v>
      </c>
      <c r="K123">
        <v>105656255</v>
      </c>
      <c r="L123" s="2">
        <v>43379</v>
      </c>
      <c r="M123">
        <v>30</v>
      </c>
      <c r="N123">
        <v>1</v>
      </c>
      <c r="O123">
        <v>0</v>
      </c>
      <c r="P123">
        <v>1</v>
      </c>
      <c r="Q123" t="s">
        <v>7</v>
      </c>
    </row>
    <row r="124" spans="1:17">
      <c r="A124" t="s">
        <v>850</v>
      </c>
      <c r="B124" t="s">
        <v>762</v>
      </c>
      <c r="C124">
        <v>0</v>
      </c>
      <c r="E124" t="s">
        <v>918</v>
      </c>
      <c r="F124" t="s">
        <v>916</v>
      </c>
      <c r="G124" t="s">
        <v>909</v>
      </c>
      <c r="H124">
        <v>3.226</v>
      </c>
      <c r="J124" s="600" t="s">
        <v>767</v>
      </c>
      <c r="K124">
        <v>105658855</v>
      </c>
      <c r="L124" s="2">
        <v>43396</v>
      </c>
      <c r="M124">
        <v>24</v>
      </c>
      <c r="N124">
        <v>1</v>
      </c>
      <c r="O124">
        <v>12</v>
      </c>
      <c r="P124">
        <v>1</v>
      </c>
      <c r="Q124" t="s">
        <v>7</v>
      </c>
    </row>
    <row r="125" spans="1:17">
      <c r="A125" t="s">
        <v>867</v>
      </c>
      <c r="B125" t="s">
        <v>891</v>
      </c>
      <c r="C125">
        <v>0</v>
      </c>
      <c r="D125" t="s">
        <v>6</v>
      </c>
      <c r="E125" t="s">
        <v>888</v>
      </c>
      <c r="F125" t="s">
        <v>991</v>
      </c>
      <c r="G125" t="s">
        <v>953</v>
      </c>
      <c r="H125">
        <v>2.6850000000000001</v>
      </c>
      <c r="J125" s="600" t="s">
        <v>767</v>
      </c>
      <c r="K125">
        <v>105765497</v>
      </c>
      <c r="L125" s="2">
        <v>43396</v>
      </c>
      <c r="M125">
        <v>18</v>
      </c>
      <c r="N125">
        <v>1</v>
      </c>
      <c r="O125">
        <v>0</v>
      </c>
      <c r="P125">
        <v>1</v>
      </c>
      <c r="Q125" t="s">
        <v>7</v>
      </c>
    </row>
    <row r="126" spans="1:17">
      <c r="A126" t="s">
        <v>867</v>
      </c>
      <c r="B126" t="s">
        <v>888</v>
      </c>
      <c r="C126">
        <v>0</v>
      </c>
      <c r="E126" t="s">
        <v>891</v>
      </c>
      <c r="F126" t="s">
        <v>869</v>
      </c>
      <c r="G126" t="s">
        <v>953</v>
      </c>
      <c r="H126">
        <v>2.6850000000000001</v>
      </c>
      <c r="J126" s="600" t="s">
        <v>767</v>
      </c>
      <c r="K126">
        <v>105650743</v>
      </c>
      <c r="L126" s="2">
        <v>43399</v>
      </c>
      <c r="M126">
        <v>18</v>
      </c>
      <c r="N126">
        <v>2</v>
      </c>
      <c r="O126">
        <v>0</v>
      </c>
      <c r="P126">
        <v>5</v>
      </c>
      <c r="Q126" t="s">
        <v>7</v>
      </c>
    </row>
    <row r="127" spans="1:17">
      <c r="A127" t="s">
        <v>751</v>
      </c>
      <c r="B127" t="s">
        <v>949</v>
      </c>
      <c r="C127">
        <v>0</v>
      </c>
      <c r="E127" t="s">
        <v>897</v>
      </c>
      <c r="F127" t="s">
        <v>901</v>
      </c>
      <c r="G127" t="s">
        <v>949</v>
      </c>
      <c r="H127">
        <v>14.055</v>
      </c>
      <c r="J127" s="600" t="s">
        <v>767</v>
      </c>
      <c r="K127">
        <v>105665237</v>
      </c>
      <c r="L127" s="2">
        <v>43404</v>
      </c>
      <c r="M127">
        <v>23</v>
      </c>
      <c r="N127">
        <v>1</v>
      </c>
      <c r="O127">
        <v>7</v>
      </c>
      <c r="P127">
        <v>1</v>
      </c>
      <c r="Q127" t="s">
        <v>3</v>
      </c>
    </row>
    <row r="128" spans="1:17">
      <c r="A128" t="s">
        <v>850</v>
      </c>
      <c r="B128" t="s">
        <v>917</v>
      </c>
      <c r="C128">
        <v>0</v>
      </c>
      <c r="E128" t="s">
        <v>762</v>
      </c>
      <c r="F128" t="s">
        <v>860</v>
      </c>
      <c r="G128" t="s">
        <v>940</v>
      </c>
      <c r="H128">
        <v>5.0730000000000004</v>
      </c>
      <c r="J128" s="600" t="s">
        <v>767</v>
      </c>
      <c r="K128">
        <v>105662698</v>
      </c>
      <c r="L128" s="2">
        <v>43405</v>
      </c>
      <c r="M128">
        <v>21</v>
      </c>
      <c r="N128">
        <v>1</v>
      </c>
      <c r="O128">
        <v>0</v>
      </c>
      <c r="P128">
        <v>4</v>
      </c>
      <c r="Q128" t="s">
        <v>7</v>
      </c>
    </row>
    <row r="129" spans="1:17">
      <c r="A129" t="s">
        <v>867</v>
      </c>
      <c r="B129" t="s">
        <v>930</v>
      </c>
      <c r="C129">
        <v>0</v>
      </c>
      <c r="E129" t="s">
        <v>869</v>
      </c>
      <c r="F129" t="s">
        <v>930</v>
      </c>
      <c r="G129" t="s">
        <v>869</v>
      </c>
      <c r="H129">
        <v>999.99900000000002</v>
      </c>
      <c r="J129" s="600" t="s">
        <v>767</v>
      </c>
      <c r="K129">
        <v>105663384</v>
      </c>
      <c r="L129" s="2">
        <v>43410</v>
      </c>
      <c r="M129">
        <v>1</v>
      </c>
      <c r="N129">
        <v>2</v>
      </c>
      <c r="O129">
        <v>0</v>
      </c>
      <c r="P129">
        <v>1</v>
      </c>
      <c r="Q129" t="s">
        <v>7</v>
      </c>
    </row>
    <row r="130" spans="1:17">
      <c r="A130" t="s">
        <v>850</v>
      </c>
      <c r="B130" t="s">
        <v>762</v>
      </c>
      <c r="C130">
        <v>0.15</v>
      </c>
      <c r="D130" t="s">
        <v>754</v>
      </c>
      <c r="E130" t="s">
        <v>865</v>
      </c>
      <c r="F130" t="s">
        <v>860</v>
      </c>
      <c r="G130" t="s">
        <v>909</v>
      </c>
      <c r="H130">
        <v>3.0870000000000002</v>
      </c>
      <c r="J130" s="600" t="s">
        <v>767</v>
      </c>
      <c r="K130">
        <v>105680090</v>
      </c>
      <c r="L130" s="2">
        <v>43412</v>
      </c>
      <c r="M130">
        <v>23</v>
      </c>
      <c r="N130">
        <v>1</v>
      </c>
      <c r="O130">
        <v>0</v>
      </c>
      <c r="P130">
        <v>1</v>
      </c>
      <c r="Q130" t="s">
        <v>7</v>
      </c>
    </row>
    <row r="131" spans="1:17">
      <c r="A131" t="s">
        <v>867</v>
      </c>
      <c r="B131" t="s">
        <v>891</v>
      </c>
      <c r="C131">
        <v>1.9E-2</v>
      </c>
      <c r="D131" t="s">
        <v>753</v>
      </c>
      <c r="E131" t="s">
        <v>762</v>
      </c>
      <c r="F131" t="s">
        <v>902</v>
      </c>
      <c r="G131" t="s">
        <v>953</v>
      </c>
      <c r="H131">
        <v>2.0739999999999998</v>
      </c>
      <c r="J131" s="600" t="s">
        <v>767</v>
      </c>
      <c r="K131">
        <v>105684376</v>
      </c>
      <c r="L131" s="2">
        <v>43420</v>
      </c>
      <c r="M131">
        <v>20</v>
      </c>
      <c r="N131">
        <v>1</v>
      </c>
      <c r="O131">
        <v>0</v>
      </c>
      <c r="P131">
        <v>2</v>
      </c>
      <c r="Q131" t="s">
        <v>7</v>
      </c>
    </row>
    <row r="132" spans="1:17">
      <c r="A132" t="s">
        <v>850</v>
      </c>
      <c r="B132" t="s">
        <v>762</v>
      </c>
      <c r="C132">
        <v>4.7E-2</v>
      </c>
      <c r="D132" t="s">
        <v>754</v>
      </c>
      <c r="E132" t="s">
        <v>941</v>
      </c>
      <c r="F132" t="s">
        <v>922</v>
      </c>
      <c r="G132" t="s">
        <v>975</v>
      </c>
      <c r="H132">
        <v>0.47199999999999998</v>
      </c>
      <c r="J132" s="600" t="s">
        <v>767</v>
      </c>
      <c r="K132">
        <v>105984781</v>
      </c>
      <c r="L132" s="2">
        <v>43427</v>
      </c>
      <c r="M132">
        <v>17</v>
      </c>
      <c r="N132">
        <v>1</v>
      </c>
      <c r="P132">
        <v>4</v>
      </c>
      <c r="Q132" t="s">
        <v>7</v>
      </c>
    </row>
    <row r="133" spans="1:17">
      <c r="A133" t="s">
        <v>751</v>
      </c>
      <c r="B133" t="s">
        <v>897</v>
      </c>
      <c r="C133">
        <v>6.6000000000000003E-2</v>
      </c>
      <c r="D133" t="s">
        <v>6</v>
      </c>
      <c r="E133" t="s">
        <v>949</v>
      </c>
      <c r="F133" t="s">
        <v>954</v>
      </c>
      <c r="G133" t="s">
        <v>897</v>
      </c>
      <c r="H133">
        <v>0.81599999999999995</v>
      </c>
      <c r="J133" s="600" t="s">
        <v>767</v>
      </c>
      <c r="K133">
        <v>105715890</v>
      </c>
      <c r="L133" s="2">
        <v>43450</v>
      </c>
      <c r="M133">
        <v>19</v>
      </c>
      <c r="N133">
        <v>1</v>
      </c>
      <c r="O133">
        <v>0</v>
      </c>
      <c r="P133">
        <v>1</v>
      </c>
      <c r="Q133" t="s">
        <v>7</v>
      </c>
    </row>
    <row r="134" spans="1:17">
      <c r="A134" t="s">
        <v>850</v>
      </c>
      <c r="B134" t="s">
        <v>919</v>
      </c>
      <c r="C134">
        <v>0</v>
      </c>
      <c r="E134" t="s">
        <v>762</v>
      </c>
      <c r="F134" t="s">
        <v>922</v>
      </c>
      <c r="G134" t="s">
        <v>909</v>
      </c>
      <c r="H134">
        <v>3.2850000000000001</v>
      </c>
      <c r="J134" s="600" t="s">
        <v>767</v>
      </c>
      <c r="K134">
        <v>105750544</v>
      </c>
      <c r="L134" s="2">
        <v>43479</v>
      </c>
      <c r="M134">
        <v>28</v>
      </c>
      <c r="N134">
        <v>1</v>
      </c>
      <c r="O134">
        <v>7</v>
      </c>
      <c r="P134">
        <v>3</v>
      </c>
      <c r="Q134" t="s">
        <v>7</v>
      </c>
    </row>
    <row r="135" spans="1:17">
      <c r="A135" t="s">
        <v>850</v>
      </c>
      <c r="B135" t="s">
        <v>917</v>
      </c>
      <c r="C135">
        <v>0</v>
      </c>
      <c r="E135" t="s">
        <v>913</v>
      </c>
      <c r="F135" t="s">
        <v>913</v>
      </c>
      <c r="G135" t="s">
        <v>909</v>
      </c>
      <c r="H135">
        <v>3.2839999999999998</v>
      </c>
      <c r="J135" s="600" t="s">
        <v>767</v>
      </c>
      <c r="K135">
        <v>105762325</v>
      </c>
      <c r="L135" s="2">
        <v>43497</v>
      </c>
      <c r="M135">
        <v>19</v>
      </c>
      <c r="N135">
        <v>1</v>
      </c>
      <c r="O135">
        <v>0</v>
      </c>
      <c r="P135">
        <v>1</v>
      </c>
      <c r="Q135" t="s">
        <v>7</v>
      </c>
    </row>
    <row r="136" spans="1:17">
      <c r="A136" t="s">
        <v>867</v>
      </c>
      <c r="B136" t="s">
        <v>869</v>
      </c>
      <c r="C136">
        <v>0</v>
      </c>
      <c r="E136" t="s">
        <v>926</v>
      </c>
      <c r="F136" t="s">
        <v>924</v>
      </c>
      <c r="G136" t="s">
        <v>869</v>
      </c>
      <c r="H136">
        <v>0.09</v>
      </c>
      <c r="J136" s="600" t="s">
        <v>767</v>
      </c>
      <c r="K136">
        <v>105771423</v>
      </c>
      <c r="L136" s="2">
        <v>43501</v>
      </c>
      <c r="M136">
        <v>21</v>
      </c>
      <c r="N136">
        <v>1</v>
      </c>
      <c r="O136">
        <v>0</v>
      </c>
      <c r="P136">
        <v>1</v>
      </c>
      <c r="Q136" t="s">
        <v>3</v>
      </c>
    </row>
    <row r="137" spans="1:17">
      <c r="A137" t="s">
        <v>751</v>
      </c>
      <c r="B137" t="s">
        <v>948</v>
      </c>
      <c r="C137">
        <v>8.9999999999999993E-3</v>
      </c>
      <c r="D137" t="s">
        <v>6</v>
      </c>
      <c r="E137" t="s">
        <v>897</v>
      </c>
      <c r="F137" t="s">
        <v>950</v>
      </c>
      <c r="G137" t="s">
        <v>948</v>
      </c>
      <c r="H137">
        <v>3.298</v>
      </c>
      <c r="J137" s="600" t="s">
        <v>767</v>
      </c>
      <c r="K137">
        <v>105770209</v>
      </c>
      <c r="L137" s="2">
        <v>43505</v>
      </c>
      <c r="M137">
        <v>29</v>
      </c>
      <c r="N137">
        <v>1</v>
      </c>
      <c r="O137">
        <v>0</v>
      </c>
      <c r="P137">
        <v>1</v>
      </c>
      <c r="Q137" t="s">
        <v>3</v>
      </c>
    </row>
    <row r="138" spans="1:17">
      <c r="A138" t="s">
        <v>751</v>
      </c>
      <c r="B138" t="s">
        <v>949</v>
      </c>
      <c r="C138">
        <v>0.01</v>
      </c>
      <c r="D138" t="s">
        <v>755</v>
      </c>
      <c r="E138" t="s">
        <v>897</v>
      </c>
      <c r="F138" t="s">
        <v>883</v>
      </c>
      <c r="G138" t="s">
        <v>949</v>
      </c>
      <c r="H138">
        <v>14.045</v>
      </c>
      <c r="J138" s="600" t="s">
        <v>767</v>
      </c>
      <c r="K138">
        <v>105790343</v>
      </c>
      <c r="L138" s="2">
        <v>43523</v>
      </c>
      <c r="M138">
        <v>21</v>
      </c>
      <c r="N138">
        <v>1</v>
      </c>
      <c r="O138">
        <v>0</v>
      </c>
      <c r="P138">
        <v>1</v>
      </c>
      <c r="Q138" t="s">
        <v>8</v>
      </c>
    </row>
    <row r="139" spans="1:17">
      <c r="A139" t="s">
        <v>867</v>
      </c>
      <c r="B139" t="s">
        <v>878</v>
      </c>
      <c r="C139">
        <v>0</v>
      </c>
      <c r="E139" t="s">
        <v>869</v>
      </c>
      <c r="F139" t="s">
        <v>879</v>
      </c>
      <c r="H139">
        <v>999.99900000000002</v>
      </c>
      <c r="J139" s="600" t="s">
        <v>767</v>
      </c>
      <c r="K139">
        <v>105808057</v>
      </c>
      <c r="L139" s="2">
        <v>43526</v>
      </c>
      <c r="M139">
        <v>5</v>
      </c>
      <c r="N139">
        <v>1</v>
      </c>
      <c r="O139">
        <v>0</v>
      </c>
      <c r="P139">
        <v>1</v>
      </c>
    </row>
    <row r="140" spans="1:17">
      <c r="A140" t="s">
        <v>850</v>
      </c>
      <c r="B140" t="s">
        <v>919</v>
      </c>
      <c r="C140">
        <v>8.0000000000000002E-3</v>
      </c>
      <c r="D140" t="s">
        <v>755</v>
      </c>
      <c r="E140" t="s">
        <v>762</v>
      </c>
      <c r="F140" t="s">
        <v>883</v>
      </c>
      <c r="G140" t="s">
        <v>909</v>
      </c>
      <c r="H140">
        <v>3.2930000000000001</v>
      </c>
      <c r="J140" s="600" t="s">
        <v>767</v>
      </c>
      <c r="K140">
        <v>105924216</v>
      </c>
      <c r="L140" s="2">
        <v>43526</v>
      </c>
      <c r="M140">
        <v>2</v>
      </c>
      <c r="N140">
        <v>1</v>
      </c>
      <c r="O140">
        <v>7</v>
      </c>
      <c r="P140">
        <v>4</v>
      </c>
      <c r="Q140" t="s">
        <v>7</v>
      </c>
    </row>
    <row r="141" spans="1:17">
      <c r="A141" t="s">
        <v>867</v>
      </c>
      <c r="B141" t="s">
        <v>762</v>
      </c>
      <c r="C141">
        <v>2.8000000000000001E-2</v>
      </c>
      <c r="D141" t="s">
        <v>6</v>
      </c>
      <c r="E141" t="s">
        <v>891</v>
      </c>
      <c r="F141" t="s">
        <v>970</v>
      </c>
      <c r="G141" t="s">
        <v>943</v>
      </c>
      <c r="H141">
        <v>1.476</v>
      </c>
      <c r="J141" s="600" t="s">
        <v>767</v>
      </c>
      <c r="K141">
        <v>105799613</v>
      </c>
      <c r="L141" s="2">
        <v>43535</v>
      </c>
      <c r="M141">
        <v>31</v>
      </c>
      <c r="N141">
        <v>1</v>
      </c>
      <c r="O141">
        <v>0</v>
      </c>
      <c r="P141">
        <v>1</v>
      </c>
      <c r="Q141" t="s">
        <v>7</v>
      </c>
    </row>
    <row r="142" spans="1:17">
      <c r="A142" t="s">
        <v>850</v>
      </c>
      <c r="B142" t="s">
        <v>762</v>
      </c>
      <c r="C142">
        <v>0</v>
      </c>
      <c r="E142" t="s">
        <v>862</v>
      </c>
      <c r="F142" t="s">
        <v>911</v>
      </c>
      <c r="G142" t="s">
        <v>909</v>
      </c>
      <c r="H142">
        <v>2.8679999999999999</v>
      </c>
      <c r="J142" s="600" t="s">
        <v>767</v>
      </c>
      <c r="K142">
        <v>105801665</v>
      </c>
      <c r="L142" s="2">
        <v>43536</v>
      </c>
      <c r="M142">
        <v>21</v>
      </c>
      <c r="N142">
        <v>1</v>
      </c>
      <c r="O142">
        <v>7</v>
      </c>
      <c r="P142">
        <v>1</v>
      </c>
      <c r="Q142" t="s">
        <v>7</v>
      </c>
    </row>
    <row r="143" spans="1:17">
      <c r="A143" t="s">
        <v>867</v>
      </c>
      <c r="B143" t="s">
        <v>869</v>
      </c>
      <c r="C143">
        <v>0</v>
      </c>
      <c r="E143" t="s">
        <v>924</v>
      </c>
      <c r="F143" t="s">
        <v>887</v>
      </c>
      <c r="G143" t="s">
        <v>869</v>
      </c>
      <c r="H143">
        <v>999.99900000000002</v>
      </c>
      <c r="J143" s="600" t="s">
        <v>767</v>
      </c>
      <c r="K143">
        <v>105801662</v>
      </c>
      <c r="L143" s="2">
        <v>43537</v>
      </c>
      <c r="M143">
        <v>31</v>
      </c>
      <c r="N143">
        <v>1</v>
      </c>
      <c r="O143">
        <v>0</v>
      </c>
      <c r="P143">
        <v>1</v>
      </c>
      <c r="Q143" t="s">
        <v>7</v>
      </c>
    </row>
    <row r="144" spans="1:17">
      <c r="A144" t="s">
        <v>751</v>
      </c>
      <c r="B144" t="s">
        <v>897</v>
      </c>
      <c r="C144">
        <v>0</v>
      </c>
      <c r="E144" t="s">
        <v>899</v>
      </c>
      <c r="F144" t="s">
        <v>948</v>
      </c>
      <c r="G144" t="s">
        <v>897</v>
      </c>
      <c r="H144">
        <v>1.913</v>
      </c>
      <c r="J144" s="600" t="s">
        <v>767</v>
      </c>
      <c r="K144">
        <v>105807326</v>
      </c>
      <c r="L144" s="2">
        <v>43543</v>
      </c>
      <c r="M144">
        <v>21</v>
      </c>
      <c r="N144">
        <v>1</v>
      </c>
      <c r="O144">
        <v>8</v>
      </c>
      <c r="P144">
        <v>1</v>
      </c>
      <c r="Q144" t="s">
        <v>7</v>
      </c>
    </row>
    <row r="145" spans="1:22">
      <c r="A145" t="s">
        <v>850</v>
      </c>
      <c r="B145" t="s">
        <v>762</v>
      </c>
      <c r="C145">
        <v>1.4E-2</v>
      </c>
      <c r="D145" t="s">
        <v>754</v>
      </c>
      <c r="E145" t="s">
        <v>865</v>
      </c>
      <c r="F145" t="s">
        <v>855</v>
      </c>
      <c r="G145" t="s">
        <v>909</v>
      </c>
      <c r="H145">
        <v>2.9510000000000001</v>
      </c>
      <c r="J145" s="600" t="s">
        <v>767</v>
      </c>
      <c r="K145">
        <v>105822297</v>
      </c>
      <c r="L145" s="2">
        <v>43551</v>
      </c>
      <c r="M145">
        <v>28</v>
      </c>
      <c r="N145">
        <v>1</v>
      </c>
      <c r="O145">
        <v>0</v>
      </c>
      <c r="P145">
        <v>1</v>
      </c>
    </row>
    <row r="146" spans="1:22">
      <c r="A146" t="s">
        <v>867</v>
      </c>
      <c r="B146" t="s">
        <v>891</v>
      </c>
      <c r="C146">
        <v>0</v>
      </c>
      <c r="E146" t="s">
        <v>888</v>
      </c>
      <c r="F146" t="s">
        <v>990</v>
      </c>
      <c r="G146" t="s">
        <v>953</v>
      </c>
      <c r="H146">
        <v>2.6850000000000001</v>
      </c>
      <c r="J146" s="600" t="s">
        <v>767</v>
      </c>
      <c r="K146">
        <v>105836651</v>
      </c>
      <c r="L146" s="2">
        <v>43557</v>
      </c>
      <c r="M146">
        <v>30</v>
      </c>
      <c r="N146">
        <v>2</v>
      </c>
      <c r="O146">
        <v>0</v>
      </c>
      <c r="P146">
        <v>1</v>
      </c>
      <c r="Q146" t="s">
        <v>3</v>
      </c>
    </row>
    <row r="147" spans="1:22">
      <c r="A147" t="s">
        <v>751</v>
      </c>
      <c r="B147" t="s">
        <v>949</v>
      </c>
      <c r="C147">
        <v>0</v>
      </c>
      <c r="E147" t="s">
        <v>943</v>
      </c>
      <c r="F147" t="s">
        <v>897</v>
      </c>
      <c r="G147" t="s">
        <v>949</v>
      </c>
      <c r="H147">
        <v>999.99900000000002</v>
      </c>
      <c r="J147" s="600" t="s">
        <v>767</v>
      </c>
      <c r="K147">
        <v>105825638</v>
      </c>
      <c r="L147" s="2">
        <v>43562</v>
      </c>
      <c r="M147">
        <v>23</v>
      </c>
      <c r="N147">
        <v>1</v>
      </c>
      <c r="O147">
        <v>7</v>
      </c>
      <c r="P147">
        <v>1</v>
      </c>
      <c r="Q147" t="s">
        <v>8</v>
      </c>
    </row>
    <row r="148" spans="1:22">
      <c r="A148" t="s">
        <v>867</v>
      </c>
      <c r="B148" t="s">
        <v>891</v>
      </c>
      <c r="C148">
        <v>0</v>
      </c>
      <c r="E148" t="s">
        <v>762</v>
      </c>
      <c r="G148" t="s">
        <v>953</v>
      </c>
      <c r="H148">
        <v>2.0550000000000002</v>
      </c>
      <c r="J148" s="600" t="s">
        <v>767</v>
      </c>
      <c r="K148">
        <v>105849892</v>
      </c>
      <c r="L148" s="2">
        <v>43587</v>
      </c>
      <c r="M148">
        <v>21</v>
      </c>
      <c r="N148">
        <v>1</v>
      </c>
      <c r="O148">
        <v>0</v>
      </c>
      <c r="P148">
        <v>1</v>
      </c>
      <c r="Q148" t="s">
        <v>7</v>
      </c>
    </row>
    <row r="149" spans="1:22">
      <c r="A149" t="s">
        <v>850</v>
      </c>
      <c r="B149" t="s">
        <v>762</v>
      </c>
      <c r="C149">
        <v>8.9999999999999993E-3</v>
      </c>
      <c r="D149" t="s">
        <v>754</v>
      </c>
      <c r="E149" t="s">
        <v>865</v>
      </c>
      <c r="F149" t="s">
        <v>853</v>
      </c>
      <c r="G149" t="s">
        <v>909</v>
      </c>
      <c r="H149">
        <v>2.9460000000000002</v>
      </c>
      <c r="J149" s="600" t="s">
        <v>767</v>
      </c>
      <c r="K149">
        <v>105860727</v>
      </c>
      <c r="L149" s="2">
        <v>43595</v>
      </c>
      <c r="M149">
        <v>28</v>
      </c>
      <c r="N149">
        <v>1</v>
      </c>
      <c r="P149">
        <v>1</v>
      </c>
      <c r="Q149" t="s">
        <v>7</v>
      </c>
    </row>
    <row r="150" spans="1:22">
      <c r="A150" t="s">
        <v>751</v>
      </c>
      <c r="B150" t="s">
        <v>897</v>
      </c>
      <c r="C150">
        <v>0</v>
      </c>
      <c r="E150" t="s">
        <v>963</v>
      </c>
      <c r="F150" t="s">
        <v>899</v>
      </c>
      <c r="G150" t="s">
        <v>897</v>
      </c>
      <c r="H150">
        <v>999.99900000000002</v>
      </c>
      <c r="J150" s="600" t="s">
        <v>767</v>
      </c>
      <c r="K150">
        <v>105865220</v>
      </c>
      <c r="L150" s="2">
        <v>43599</v>
      </c>
      <c r="M150">
        <v>30</v>
      </c>
      <c r="N150">
        <v>1</v>
      </c>
      <c r="O150">
        <v>7</v>
      </c>
      <c r="P150">
        <v>1</v>
      </c>
      <c r="Q150" t="s">
        <v>8</v>
      </c>
    </row>
    <row r="151" spans="1:22">
      <c r="A151" t="s">
        <v>751</v>
      </c>
      <c r="B151" t="s">
        <v>949</v>
      </c>
      <c r="C151">
        <v>0</v>
      </c>
      <c r="E151" t="s">
        <v>897</v>
      </c>
      <c r="F151" t="s">
        <v>883</v>
      </c>
      <c r="G151" t="s">
        <v>949</v>
      </c>
      <c r="H151">
        <v>14.055</v>
      </c>
      <c r="J151" s="600" t="s">
        <v>767</v>
      </c>
      <c r="K151">
        <v>105890212</v>
      </c>
      <c r="L151" s="2">
        <v>43620</v>
      </c>
      <c r="M151">
        <v>30</v>
      </c>
      <c r="N151">
        <v>1</v>
      </c>
      <c r="O151">
        <v>7</v>
      </c>
      <c r="P151">
        <v>1</v>
      </c>
      <c r="Q151" t="s">
        <v>7</v>
      </c>
    </row>
    <row r="152" spans="1:22">
      <c r="A152" t="s">
        <v>751</v>
      </c>
      <c r="B152" t="s">
        <v>897</v>
      </c>
      <c r="C152">
        <v>0.3</v>
      </c>
      <c r="D152" t="s">
        <v>753</v>
      </c>
      <c r="E152" t="s">
        <v>948</v>
      </c>
      <c r="F152" t="s">
        <v>958</v>
      </c>
      <c r="G152" t="s">
        <v>897</v>
      </c>
      <c r="H152">
        <v>3.4039999999999999</v>
      </c>
      <c r="J152" s="600" t="s">
        <v>767</v>
      </c>
      <c r="K152">
        <v>105890878</v>
      </c>
      <c r="L152" s="2">
        <v>43622</v>
      </c>
      <c r="M152">
        <v>27</v>
      </c>
      <c r="N152">
        <v>1</v>
      </c>
      <c r="O152">
        <v>0</v>
      </c>
      <c r="P152">
        <v>1</v>
      </c>
      <c r="Q152" t="s">
        <v>8</v>
      </c>
    </row>
    <row r="153" spans="1:22">
      <c r="A153" t="s">
        <v>867</v>
      </c>
      <c r="B153" t="s">
        <v>869</v>
      </c>
      <c r="C153">
        <v>0</v>
      </c>
      <c r="D153" t="s">
        <v>753</v>
      </c>
      <c r="E153" t="s">
        <v>936</v>
      </c>
      <c r="F153" t="s">
        <v>862</v>
      </c>
      <c r="G153" t="s">
        <v>869</v>
      </c>
      <c r="H153">
        <v>999.99900000000002</v>
      </c>
      <c r="J153" s="600" t="s">
        <v>767</v>
      </c>
      <c r="K153">
        <v>106104024</v>
      </c>
      <c r="L153" s="2">
        <v>43629</v>
      </c>
      <c r="M153">
        <v>19</v>
      </c>
      <c r="N153">
        <v>2</v>
      </c>
      <c r="O153">
        <v>0</v>
      </c>
      <c r="P153">
        <v>2</v>
      </c>
      <c r="Q153" t="s">
        <v>7</v>
      </c>
    </row>
    <row r="154" spans="1:22">
      <c r="A154" t="s">
        <v>850</v>
      </c>
      <c r="B154" t="s">
        <v>762</v>
      </c>
      <c r="C154">
        <v>3.7999999999999999E-2</v>
      </c>
      <c r="D154" t="s">
        <v>6</v>
      </c>
      <c r="E154" t="s">
        <v>911</v>
      </c>
      <c r="F154" t="s">
        <v>907</v>
      </c>
      <c r="G154" t="s">
        <v>909</v>
      </c>
      <c r="H154">
        <v>2.7010000000000001</v>
      </c>
      <c r="J154" s="600" t="s">
        <v>767</v>
      </c>
      <c r="K154">
        <v>105898070</v>
      </c>
      <c r="L154" s="2">
        <v>43633</v>
      </c>
      <c r="M154">
        <v>29</v>
      </c>
      <c r="N154">
        <v>1</v>
      </c>
      <c r="O154">
        <v>0</v>
      </c>
      <c r="P154">
        <v>1</v>
      </c>
      <c r="Q154" t="s">
        <v>7</v>
      </c>
    </row>
    <row r="155" spans="1:22">
      <c r="A155" t="s">
        <v>850</v>
      </c>
      <c r="B155" t="s">
        <v>762</v>
      </c>
      <c r="C155">
        <v>3.2000000000000001E-2</v>
      </c>
      <c r="D155" t="s">
        <v>755</v>
      </c>
      <c r="E155" t="s">
        <v>853</v>
      </c>
      <c r="F155" t="s">
        <v>912</v>
      </c>
      <c r="G155" t="s">
        <v>909</v>
      </c>
      <c r="H155">
        <v>2.9340000000000002</v>
      </c>
      <c r="J155" s="600" t="s">
        <v>767</v>
      </c>
      <c r="K155">
        <v>106032449</v>
      </c>
      <c r="L155" s="2">
        <v>43635</v>
      </c>
      <c r="M155">
        <v>30</v>
      </c>
      <c r="N155">
        <v>1</v>
      </c>
      <c r="O155">
        <v>0</v>
      </c>
      <c r="P155">
        <v>1</v>
      </c>
      <c r="Q155" t="s">
        <v>7</v>
      </c>
    </row>
    <row r="156" spans="1:22">
      <c r="A156" t="s">
        <v>850</v>
      </c>
      <c r="B156" t="s">
        <v>762</v>
      </c>
      <c r="C156">
        <v>0</v>
      </c>
      <c r="E156" t="s">
        <v>856</v>
      </c>
      <c r="F156" t="s">
        <v>857</v>
      </c>
      <c r="H156">
        <v>999.99900000000002</v>
      </c>
      <c r="J156" s="600" t="s">
        <v>767</v>
      </c>
      <c r="K156">
        <v>105908438</v>
      </c>
      <c r="L156" s="2">
        <v>43642</v>
      </c>
      <c r="M156">
        <v>22</v>
      </c>
      <c r="N156">
        <v>1</v>
      </c>
      <c r="O156">
        <v>0</v>
      </c>
      <c r="P156">
        <v>1</v>
      </c>
      <c r="Q156" t="s">
        <v>3</v>
      </c>
      <c r="R156">
        <v>36.111494</v>
      </c>
      <c r="S156">
        <v>-78.687768000000005</v>
      </c>
      <c r="T156" t="s">
        <v>757</v>
      </c>
      <c r="V156">
        <v>14.816118007701826</v>
      </c>
    </row>
    <row r="157" spans="1:22">
      <c r="A157" t="s">
        <v>751</v>
      </c>
      <c r="B157" t="s">
        <v>897</v>
      </c>
      <c r="C157">
        <v>0</v>
      </c>
      <c r="E157" t="s">
        <v>949</v>
      </c>
      <c r="F157" t="s">
        <v>901</v>
      </c>
      <c r="G157" t="s">
        <v>897</v>
      </c>
      <c r="H157">
        <v>0.88200000000000001</v>
      </c>
      <c r="J157" s="600" t="s">
        <v>767</v>
      </c>
      <c r="K157">
        <v>105921384</v>
      </c>
      <c r="L157" s="2">
        <v>43655</v>
      </c>
      <c r="M157">
        <v>30</v>
      </c>
      <c r="N157">
        <v>1</v>
      </c>
      <c r="O157">
        <v>7</v>
      </c>
      <c r="P157">
        <v>1</v>
      </c>
      <c r="Q157" t="s">
        <v>8</v>
      </c>
    </row>
    <row r="158" spans="1:22">
      <c r="A158" t="s">
        <v>850</v>
      </c>
      <c r="B158" t="s">
        <v>762</v>
      </c>
      <c r="C158">
        <v>1.9E-2</v>
      </c>
      <c r="D158" t="s">
        <v>6</v>
      </c>
      <c r="E158" t="s">
        <v>915</v>
      </c>
      <c r="F158" t="s">
        <v>860</v>
      </c>
      <c r="G158" t="s">
        <v>909</v>
      </c>
      <c r="H158">
        <v>3.1070000000000002</v>
      </c>
      <c r="J158" s="600" t="s">
        <v>767</v>
      </c>
      <c r="K158">
        <v>105924215</v>
      </c>
      <c r="L158" s="2">
        <v>43660</v>
      </c>
      <c r="M158">
        <v>19</v>
      </c>
      <c r="N158">
        <v>1</v>
      </c>
      <c r="O158">
        <v>0</v>
      </c>
      <c r="P158">
        <v>4</v>
      </c>
      <c r="Q158" t="s">
        <v>7</v>
      </c>
    </row>
    <row r="159" spans="1:22">
      <c r="A159" t="s">
        <v>867</v>
      </c>
      <c r="B159" t="s">
        <v>762</v>
      </c>
      <c r="C159">
        <v>1.0999999999999999E-2</v>
      </c>
      <c r="D159" t="s">
        <v>754</v>
      </c>
      <c r="E159" t="s">
        <v>904</v>
      </c>
      <c r="F159" t="s">
        <v>881</v>
      </c>
      <c r="G159" t="s">
        <v>762</v>
      </c>
      <c r="H159">
        <v>999.99900000000002</v>
      </c>
      <c r="J159" s="600" t="s">
        <v>767</v>
      </c>
      <c r="K159">
        <v>105928354</v>
      </c>
      <c r="L159" s="2">
        <v>43663</v>
      </c>
      <c r="M159">
        <v>20</v>
      </c>
      <c r="N159">
        <v>1</v>
      </c>
      <c r="O159">
        <v>0</v>
      </c>
      <c r="P159">
        <v>1</v>
      </c>
      <c r="Q159" t="s">
        <v>7</v>
      </c>
    </row>
    <row r="160" spans="1:22">
      <c r="A160" t="s">
        <v>751</v>
      </c>
      <c r="B160" t="s">
        <v>949</v>
      </c>
      <c r="C160">
        <v>0</v>
      </c>
      <c r="E160" t="s">
        <v>897</v>
      </c>
      <c r="F160" t="s">
        <v>883</v>
      </c>
      <c r="G160" t="s">
        <v>949</v>
      </c>
      <c r="H160">
        <v>14.055</v>
      </c>
      <c r="J160" s="600" t="s">
        <v>767</v>
      </c>
      <c r="K160">
        <v>105930374</v>
      </c>
      <c r="L160" s="2">
        <v>43665</v>
      </c>
      <c r="M160">
        <v>30</v>
      </c>
      <c r="N160">
        <v>1</v>
      </c>
      <c r="O160">
        <v>7</v>
      </c>
      <c r="P160">
        <v>1</v>
      </c>
      <c r="Q160" t="s">
        <v>7</v>
      </c>
    </row>
    <row r="161" spans="1:17">
      <c r="A161" t="s">
        <v>850</v>
      </c>
      <c r="B161" t="s">
        <v>762</v>
      </c>
      <c r="C161">
        <v>4.0000000000000001E-3</v>
      </c>
      <c r="D161" t="s">
        <v>6</v>
      </c>
      <c r="E161" t="s">
        <v>862</v>
      </c>
      <c r="F161" t="s">
        <v>907</v>
      </c>
      <c r="G161" t="s">
        <v>909</v>
      </c>
      <c r="H161">
        <v>2.8639999999999999</v>
      </c>
      <c r="J161" s="600" t="s">
        <v>767</v>
      </c>
      <c r="K161">
        <v>105943302</v>
      </c>
      <c r="L161" s="2">
        <v>43676</v>
      </c>
      <c r="M161">
        <v>30</v>
      </c>
      <c r="N161">
        <v>1</v>
      </c>
      <c r="O161">
        <v>4</v>
      </c>
      <c r="P161">
        <v>1</v>
      </c>
      <c r="Q161" t="s">
        <v>3</v>
      </c>
    </row>
    <row r="162" spans="1:17">
      <c r="A162" t="s">
        <v>867</v>
      </c>
      <c r="B162" t="s">
        <v>886</v>
      </c>
      <c r="C162">
        <v>6.0000000000000001E-3</v>
      </c>
      <c r="D162" t="s">
        <v>754</v>
      </c>
      <c r="E162" t="s">
        <v>869</v>
      </c>
      <c r="F162" t="s">
        <v>887</v>
      </c>
      <c r="H162">
        <v>999.99900000000002</v>
      </c>
      <c r="J162" s="600" t="s">
        <v>767</v>
      </c>
      <c r="K162">
        <v>105975736</v>
      </c>
      <c r="L162" s="2">
        <v>43701</v>
      </c>
      <c r="M162">
        <v>31</v>
      </c>
      <c r="N162">
        <v>1</v>
      </c>
      <c r="O162">
        <v>0</v>
      </c>
      <c r="P162">
        <v>1</v>
      </c>
      <c r="Q162" t="s">
        <v>7</v>
      </c>
    </row>
    <row r="163" spans="1:17">
      <c r="A163" t="s">
        <v>867</v>
      </c>
      <c r="B163" t="s">
        <v>762</v>
      </c>
      <c r="C163">
        <v>1.9E-2</v>
      </c>
      <c r="D163" t="s">
        <v>6</v>
      </c>
      <c r="E163" t="s">
        <v>932</v>
      </c>
      <c r="F163" t="s">
        <v>903</v>
      </c>
      <c r="G163" t="s">
        <v>943</v>
      </c>
      <c r="H163">
        <v>1.214</v>
      </c>
      <c r="J163" s="600" t="s">
        <v>767</v>
      </c>
      <c r="K163">
        <v>105988532</v>
      </c>
      <c r="L163" s="2">
        <v>43722</v>
      </c>
      <c r="M163">
        <v>30</v>
      </c>
      <c r="N163">
        <v>1</v>
      </c>
      <c r="O163">
        <v>0</v>
      </c>
      <c r="P163">
        <v>1</v>
      </c>
      <c r="Q163" t="s">
        <v>7</v>
      </c>
    </row>
    <row r="164" spans="1:17">
      <c r="A164" t="s">
        <v>867</v>
      </c>
      <c r="B164" t="s">
        <v>869</v>
      </c>
      <c r="C164">
        <v>0</v>
      </c>
      <c r="E164" t="s">
        <v>902</v>
      </c>
      <c r="F164" t="s">
        <v>931</v>
      </c>
      <c r="G164" t="s">
        <v>869</v>
      </c>
      <c r="H164">
        <v>0.4</v>
      </c>
      <c r="J164" s="600" t="s">
        <v>767</v>
      </c>
      <c r="K164">
        <v>105988533</v>
      </c>
      <c r="L164" s="2">
        <v>43722</v>
      </c>
      <c r="M164">
        <v>0</v>
      </c>
      <c r="N164">
        <v>1</v>
      </c>
      <c r="O164">
        <v>0</v>
      </c>
      <c r="P164">
        <v>1</v>
      </c>
    </row>
    <row r="165" spans="1:17">
      <c r="A165" t="s">
        <v>751</v>
      </c>
      <c r="B165" t="s">
        <v>897</v>
      </c>
      <c r="C165">
        <v>1</v>
      </c>
      <c r="D165" t="s">
        <v>753</v>
      </c>
      <c r="E165" t="s">
        <v>949</v>
      </c>
      <c r="F165" t="s">
        <v>945</v>
      </c>
      <c r="G165" t="s">
        <v>897</v>
      </c>
      <c r="H165">
        <v>1.8819999999999999</v>
      </c>
      <c r="J165" s="600" t="s">
        <v>767</v>
      </c>
      <c r="K165">
        <v>105994366</v>
      </c>
      <c r="L165" s="2">
        <v>43725</v>
      </c>
      <c r="M165">
        <v>17</v>
      </c>
      <c r="N165">
        <v>1</v>
      </c>
      <c r="O165">
        <v>0</v>
      </c>
      <c r="P165">
        <v>5</v>
      </c>
      <c r="Q165" t="s">
        <v>7</v>
      </c>
    </row>
    <row r="166" spans="1:17">
      <c r="A166" t="s">
        <v>867</v>
      </c>
      <c r="B166" t="s">
        <v>942</v>
      </c>
      <c r="C166">
        <v>0</v>
      </c>
      <c r="E166" t="s">
        <v>943</v>
      </c>
      <c r="F166" t="s">
        <v>944</v>
      </c>
      <c r="G166" t="s">
        <v>942</v>
      </c>
      <c r="H166">
        <v>999.99900000000002</v>
      </c>
      <c r="J166" s="600" t="s">
        <v>767</v>
      </c>
      <c r="K166">
        <v>106009333</v>
      </c>
      <c r="L166" s="2">
        <v>43732</v>
      </c>
      <c r="M166">
        <v>19</v>
      </c>
      <c r="N166">
        <v>1</v>
      </c>
      <c r="O166">
        <v>8</v>
      </c>
      <c r="P166">
        <v>4</v>
      </c>
      <c r="Q166" t="s">
        <v>3</v>
      </c>
    </row>
    <row r="167" spans="1:17">
      <c r="A167" t="s">
        <v>751</v>
      </c>
      <c r="B167" t="s">
        <v>897</v>
      </c>
      <c r="C167">
        <v>1.2</v>
      </c>
      <c r="D167" t="s">
        <v>754</v>
      </c>
      <c r="E167" t="s">
        <v>948</v>
      </c>
      <c r="F167" t="s">
        <v>951</v>
      </c>
      <c r="G167" t="s">
        <v>897</v>
      </c>
      <c r="H167">
        <v>4.3040000000000003</v>
      </c>
      <c r="J167" s="600" t="s">
        <v>767</v>
      </c>
      <c r="K167">
        <v>106014443</v>
      </c>
      <c r="L167" s="2">
        <v>43741</v>
      </c>
      <c r="M167">
        <v>28</v>
      </c>
      <c r="N167">
        <v>1</v>
      </c>
      <c r="O167">
        <v>0</v>
      </c>
      <c r="P167">
        <v>1</v>
      </c>
      <c r="Q167" t="s">
        <v>7</v>
      </c>
    </row>
    <row r="168" spans="1:17">
      <c r="A168" t="s">
        <v>751</v>
      </c>
      <c r="B168" t="s">
        <v>897</v>
      </c>
      <c r="C168">
        <v>0</v>
      </c>
      <c r="E168" t="s">
        <v>949</v>
      </c>
      <c r="F168" t="s">
        <v>901</v>
      </c>
      <c r="G168" t="s">
        <v>897</v>
      </c>
      <c r="H168">
        <v>0.88200000000000001</v>
      </c>
      <c r="J168" s="600" t="s">
        <v>767</v>
      </c>
      <c r="K168">
        <v>106039704</v>
      </c>
      <c r="L168" s="2">
        <v>43762</v>
      </c>
      <c r="M168">
        <v>25</v>
      </c>
      <c r="N168">
        <v>1</v>
      </c>
      <c r="O168">
        <v>7</v>
      </c>
      <c r="P168">
        <v>1</v>
      </c>
      <c r="Q168" t="s">
        <v>7</v>
      </c>
    </row>
    <row r="169" spans="1:17">
      <c r="A169" t="s">
        <v>751</v>
      </c>
      <c r="B169" t="s">
        <v>949</v>
      </c>
      <c r="C169">
        <v>4.0000000000000001E-3</v>
      </c>
      <c r="D169" t="s">
        <v>753</v>
      </c>
      <c r="E169" t="s">
        <v>943</v>
      </c>
      <c r="F169" t="s">
        <v>988</v>
      </c>
      <c r="G169" t="s">
        <v>949</v>
      </c>
      <c r="H169">
        <v>999.99900000000002</v>
      </c>
      <c r="J169" s="600" t="s">
        <v>767</v>
      </c>
      <c r="K169">
        <v>106048164</v>
      </c>
      <c r="L169" s="2">
        <v>43768</v>
      </c>
      <c r="M169">
        <v>21</v>
      </c>
      <c r="N169">
        <v>1</v>
      </c>
      <c r="O169">
        <v>0</v>
      </c>
      <c r="P169">
        <v>5</v>
      </c>
      <c r="Q169" t="s">
        <v>7</v>
      </c>
    </row>
    <row r="170" spans="1:17">
      <c r="A170" t="s">
        <v>850</v>
      </c>
      <c r="B170" t="s">
        <v>762</v>
      </c>
      <c r="C170">
        <v>6.3E-2</v>
      </c>
      <c r="D170" t="s">
        <v>6</v>
      </c>
      <c r="E170" t="s">
        <v>941</v>
      </c>
      <c r="F170" t="s">
        <v>978</v>
      </c>
      <c r="G170" t="s">
        <v>975</v>
      </c>
      <c r="H170">
        <v>0.36199999999999999</v>
      </c>
      <c r="J170" s="600" t="s">
        <v>767</v>
      </c>
      <c r="K170">
        <v>106064139</v>
      </c>
      <c r="L170" s="2">
        <v>43774</v>
      </c>
      <c r="M170">
        <v>17</v>
      </c>
      <c r="N170">
        <v>1</v>
      </c>
      <c r="O170">
        <v>0</v>
      </c>
      <c r="P170">
        <v>4</v>
      </c>
      <c r="Q170" t="s">
        <v>7</v>
      </c>
    </row>
    <row r="171" spans="1:17">
      <c r="A171" t="s">
        <v>867</v>
      </c>
      <c r="B171" t="s">
        <v>924</v>
      </c>
      <c r="C171">
        <v>0</v>
      </c>
      <c r="E171" t="s">
        <v>869</v>
      </c>
      <c r="F171" t="s">
        <v>924</v>
      </c>
      <c r="G171" t="s">
        <v>925</v>
      </c>
      <c r="H171">
        <v>17.59</v>
      </c>
      <c r="J171" s="600" t="s">
        <v>767</v>
      </c>
      <c r="K171">
        <v>106061382</v>
      </c>
      <c r="L171" s="2">
        <v>43783</v>
      </c>
      <c r="M171">
        <v>28</v>
      </c>
      <c r="N171">
        <v>1</v>
      </c>
      <c r="O171">
        <v>0</v>
      </c>
      <c r="P171">
        <v>1</v>
      </c>
      <c r="Q171" t="s">
        <v>7</v>
      </c>
    </row>
    <row r="172" spans="1:17">
      <c r="A172" t="s">
        <v>867</v>
      </c>
      <c r="B172" t="s">
        <v>924</v>
      </c>
      <c r="C172">
        <v>0</v>
      </c>
      <c r="E172" t="s">
        <v>869</v>
      </c>
      <c r="F172" t="s">
        <v>869</v>
      </c>
      <c r="G172" t="s">
        <v>925</v>
      </c>
      <c r="H172">
        <v>17.59</v>
      </c>
      <c r="J172" s="600" t="s">
        <v>767</v>
      </c>
      <c r="K172">
        <v>106097128</v>
      </c>
      <c r="L172" s="2">
        <v>43801</v>
      </c>
      <c r="M172">
        <v>21</v>
      </c>
      <c r="N172">
        <v>1</v>
      </c>
      <c r="O172">
        <v>0</v>
      </c>
      <c r="P172">
        <v>1</v>
      </c>
      <c r="Q172" t="s">
        <v>7</v>
      </c>
    </row>
    <row r="173" spans="1:17">
      <c r="A173" t="s">
        <v>850</v>
      </c>
      <c r="B173" t="s">
        <v>919</v>
      </c>
      <c r="C173">
        <v>0</v>
      </c>
      <c r="E173" t="s">
        <v>762</v>
      </c>
      <c r="F173" t="s">
        <v>918</v>
      </c>
      <c r="G173" t="s">
        <v>909</v>
      </c>
      <c r="H173">
        <v>3.2850000000000001</v>
      </c>
      <c r="J173" s="600" t="s">
        <v>767</v>
      </c>
      <c r="K173">
        <v>106108451</v>
      </c>
      <c r="L173" s="2">
        <v>43823</v>
      </c>
      <c r="M173">
        <v>21</v>
      </c>
      <c r="N173">
        <v>1</v>
      </c>
      <c r="O173">
        <v>0</v>
      </c>
      <c r="P173">
        <v>1</v>
      </c>
      <c r="Q173" t="s">
        <v>3</v>
      </c>
    </row>
    <row r="174" spans="1:17">
      <c r="A174" t="s">
        <v>850</v>
      </c>
      <c r="B174" t="s">
        <v>762</v>
      </c>
      <c r="C174">
        <v>0</v>
      </c>
      <c r="E174" t="s">
        <v>862</v>
      </c>
      <c r="F174" t="s">
        <v>911</v>
      </c>
      <c r="G174" t="s">
        <v>909</v>
      </c>
      <c r="H174">
        <v>2.8679999999999999</v>
      </c>
      <c r="J174" s="600" t="s">
        <v>767</v>
      </c>
      <c r="K174">
        <v>106125842</v>
      </c>
      <c r="L174" s="2">
        <v>43845</v>
      </c>
      <c r="M174">
        <v>30</v>
      </c>
      <c r="N174">
        <v>1</v>
      </c>
      <c r="O174">
        <v>7</v>
      </c>
      <c r="P174">
        <v>1</v>
      </c>
      <c r="Q174" t="s">
        <v>3</v>
      </c>
    </row>
    <row r="175" spans="1:17">
      <c r="A175" t="s">
        <v>867</v>
      </c>
      <c r="B175" t="s">
        <v>930</v>
      </c>
      <c r="C175">
        <v>0</v>
      </c>
      <c r="E175" t="s">
        <v>869</v>
      </c>
      <c r="F175" t="s">
        <v>869</v>
      </c>
      <c r="G175" t="s">
        <v>869</v>
      </c>
      <c r="H175">
        <v>999.99900000000002</v>
      </c>
      <c r="J175" s="600" t="s">
        <v>767</v>
      </c>
      <c r="K175">
        <v>106147279</v>
      </c>
      <c r="L175" s="2">
        <v>43867</v>
      </c>
      <c r="M175">
        <v>30</v>
      </c>
      <c r="N175">
        <v>2</v>
      </c>
      <c r="O175">
        <v>0</v>
      </c>
      <c r="P175">
        <v>1</v>
      </c>
      <c r="Q175" t="s">
        <v>7</v>
      </c>
    </row>
    <row r="176" spans="1:17">
      <c r="A176" t="s">
        <v>850</v>
      </c>
      <c r="B176" t="s">
        <v>762</v>
      </c>
      <c r="C176">
        <v>0</v>
      </c>
      <c r="E176" t="s">
        <v>860</v>
      </c>
      <c r="F176" t="s">
        <v>915</v>
      </c>
      <c r="G176" t="s">
        <v>909</v>
      </c>
      <c r="H176">
        <v>3.016</v>
      </c>
      <c r="J176" s="600" t="s">
        <v>767</v>
      </c>
      <c r="K176">
        <v>106157107</v>
      </c>
      <c r="L176" s="2">
        <v>43875</v>
      </c>
      <c r="M176">
        <v>30</v>
      </c>
      <c r="N176">
        <v>1</v>
      </c>
      <c r="O176">
        <v>8</v>
      </c>
      <c r="P176">
        <v>1</v>
      </c>
      <c r="Q176" t="s">
        <v>7</v>
      </c>
    </row>
    <row r="177" spans="1:17">
      <c r="A177" t="s">
        <v>850</v>
      </c>
      <c r="B177" t="s">
        <v>913</v>
      </c>
      <c r="C177">
        <v>0</v>
      </c>
      <c r="E177" t="s">
        <v>762</v>
      </c>
      <c r="F177" t="s">
        <v>883</v>
      </c>
      <c r="G177" t="s">
        <v>909</v>
      </c>
      <c r="H177">
        <v>3.2839999999999998</v>
      </c>
      <c r="J177" s="600" t="s">
        <v>767</v>
      </c>
      <c r="K177">
        <v>106186679</v>
      </c>
      <c r="L177" s="2">
        <v>43907</v>
      </c>
      <c r="M177">
        <v>30</v>
      </c>
      <c r="N177">
        <v>1</v>
      </c>
      <c r="O177">
        <v>7</v>
      </c>
      <c r="P177">
        <v>1</v>
      </c>
      <c r="Q177" t="s">
        <v>7</v>
      </c>
    </row>
    <row r="178" spans="1:17">
      <c r="A178" t="s">
        <v>751</v>
      </c>
      <c r="B178" t="s">
        <v>897</v>
      </c>
      <c r="C178">
        <v>0.3</v>
      </c>
      <c r="D178" t="s">
        <v>755</v>
      </c>
      <c r="E178" t="s">
        <v>956</v>
      </c>
      <c r="F178" t="s">
        <v>948</v>
      </c>
      <c r="G178" t="s">
        <v>897</v>
      </c>
      <c r="H178">
        <v>3.806</v>
      </c>
      <c r="J178" s="600" t="s">
        <v>767</v>
      </c>
      <c r="K178">
        <v>106189866</v>
      </c>
      <c r="L178" s="2">
        <v>43911</v>
      </c>
      <c r="M178">
        <v>19</v>
      </c>
      <c r="N178">
        <v>1</v>
      </c>
      <c r="O178">
        <v>0</v>
      </c>
      <c r="P178">
        <v>1</v>
      </c>
      <c r="Q178" t="s">
        <v>8</v>
      </c>
    </row>
    <row r="179" spans="1:17">
      <c r="A179" t="s">
        <v>751</v>
      </c>
      <c r="B179" t="s">
        <v>949</v>
      </c>
      <c r="C179">
        <v>2.1000000000000001E-2</v>
      </c>
      <c r="D179" t="s">
        <v>755</v>
      </c>
      <c r="E179" t="s">
        <v>897</v>
      </c>
      <c r="F179" t="s">
        <v>883</v>
      </c>
      <c r="G179" t="s">
        <v>949</v>
      </c>
      <c r="H179">
        <v>14.034000000000001</v>
      </c>
      <c r="J179" s="600" t="s">
        <v>767</v>
      </c>
      <c r="K179">
        <v>106194763</v>
      </c>
      <c r="L179" s="2">
        <v>43917</v>
      </c>
      <c r="M179">
        <v>5</v>
      </c>
      <c r="N179">
        <v>1</v>
      </c>
      <c r="O179">
        <v>7</v>
      </c>
      <c r="P179">
        <v>5</v>
      </c>
      <c r="Q179" t="s">
        <v>7</v>
      </c>
    </row>
    <row r="180" spans="1:17">
      <c r="A180" t="s">
        <v>850</v>
      </c>
      <c r="B180" t="s">
        <v>762</v>
      </c>
      <c r="C180">
        <v>2.1000000000000001E-2</v>
      </c>
      <c r="D180" t="s">
        <v>754</v>
      </c>
      <c r="E180" t="s">
        <v>862</v>
      </c>
      <c r="F180" t="s">
        <v>911</v>
      </c>
      <c r="G180" t="s">
        <v>909</v>
      </c>
      <c r="H180">
        <v>2.8889999999999998</v>
      </c>
      <c r="J180" s="600" t="s">
        <v>767</v>
      </c>
      <c r="K180">
        <v>106205408</v>
      </c>
      <c r="L180" s="2">
        <v>43930</v>
      </c>
      <c r="M180">
        <v>21</v>
      </c>
      <c r="N180">
        <v>2</v>
      </c>
      <c r="O180">
        <v>0</v>
      </c>
      <c r="P180">
        <v>1</v>
      </c>
      <c r="Q180" t="s">
        <v>7</v>
      </c>
    </row>
    <row r="181" spans="1:17">
      <c r="A181" t="s">
        <v>850</v>
      </c>
      <c r="B181" t="s">
        <v>862</v>
      </c>
      <c r="C181">
        <v>0</v>
      </c>
      <c r="E181" t="s">
        <v>762</v>
      </c>
      <c r="F181" t="s">
        <v>762</v>
      </c>
      <c r="G181" t="s">
        <v>983</v>
      </c>
      <c r="H181">
        <v>6.9850000000000003</v>
      </c>
      <c r="J181" s="600" t="s">
        <v>767</v>
      </c>
      <c r="K181">
        <v>106205409</v>
      </c>
      <c r="L181" s="2">
        <v>43937</v>
      </c>
      <c r="M181">
        <v>24</v>
      </c>
      <c r="N181">
        <v>1</v>
      </c>
      <c r="O181">
        <v>0</v>
      </c>
      <c r="P181">
        <v>1</v>
      </c>
      <c r="Q181" t="s">
        <v>7</v>
      </c>
    </row>
    <row r="182" spans="1:17">
      <c r="A182" t="s">
        <v>850</v>
      </c>
      <c r="B182" t="s">
        <v>853</v>
      </c>
      <c r="C182">
        <v>5.0000000000000001E-3</v>
      </c>
      <c r="D182" t="s">
        <v>753</v>
      </c>
      <c r="E182" t="s">
        <v>762</v>
      </c>
      <c r="F182" t="s">
        <v>762</v>
      </c>
      <c r="H182">
        <v>999.99900000000002</v>
      </c>
      <c r="J182" s="600" t="s">
        <v>767</v>
      </c>
      <c r="K182">
        <v>106206844</v>
      </c>
      <c r="L182" s="2">
        <v>43937</v>
      </c>
      <c r="M182">
        <v>21</v>
      </c>
      <c r="N182">
        <v>1</v>
      </c>
      <c r="O182">
        <v>0</v>
      </c>
      <c r="P182">
        <v>1</v>
      </c>
      <c r="Q182" t="s">
        <v>7</v>
      </c>
    </row>
    <row r="183" spans="1:17">
      <c r="A183" t="s">
        <v>867</v>
      </c>
      <c r="B183" t="s">
        <v>931</v>
      </c>
      <c r="C183">
        <v>0</v>
      </c>
      <c r="E183" t="s">
        <v>869</v>
      </c>
      <c r="F183" t="s">
        <v>932</v>
      </c>
      <c r="G183" t="s">
        <v>869</v>
      </c>
      <c r="H183">
        <v>0.47</v>
      </c>
      <c r="J183" s="600" t="s">
        <v>767</v>
      </c>
      <c r="K183">
        <v>106209839</v>
      </c>
      <c r="L183" s="2">
        <v>43942</v>
      </c>
      <c r="M183">
        <v>21</v>
      </c>
      <c r="N183">
        <v>1</v>
      </c>
      <c r="O183">
        <v>0</v>
      </c>
      <c r="P183">
        <v>1</v>
      </c>
      <c r="Q183" t="s">
        <v>3</v>
      </c>
    </row>
    <row r="184" spans="1:17">
      <c r="A184" t="s">
        <v>751</v>
      </c>
      <c r="B184" t="s">
        <v>897</v>
      </c>
      <c r="C184">
        <v>0.3</v>
      </c>
      <c r="D184" t="s">
        <v>760</v>
      </c>
      <c r="E184" t="s">
        <v>948</v>
      </c>
      <c r="F184" t="s">
        <v>956</v>
      </c>
      <c r="G184" t="s">
        <v>897</v>
      </c>
      <c r="H184">
        <v>3.4039999999999999</v>
      </c>
      <c r="J184" s="600" t="s">
        <v>767</v>
      </c>
      <c r="K184">
        <v>106224797</v>
      </c>
      <c r="L184" s="2">
        <v>43964</v>
      </c>
      <c r="M184">
        <v>17</v>
      </c>
      <c r="N184">
        <v>1</v>
      </c>
      <c r="O184">
        <v>0</v>
      </c>
      <c r="P184">
        <v>1</v>
      </c>
      <c r="Q184" t="s">
        <v>7</v>
      </c>
    </row>
    <row r="185" spans="1:17">
      <c r="A185" t="s">
        <v>867</v>
      </c>
      <c r="B185" t="s">
        <v>924</v>
      </c>
      <c r="C185">
        <v>0</v>
      </c>
      <c r="E185" t="s">
        <v>869</v>
      </c>
      <c r="F185" t="s">
        <v>881</v>
      </c>
      <c r="G185" t="s">
        <v>925</v>
      </c>
      <c r="H185">
        <v>17.59</v>
      </c>
      <c r="J185" s="600" t="s">
        <v>767</v>
      </c>
      <c r="K185">
        <v>106238022</v>
      </c>
      <c r="L185" s="2">
        <v>43980</v>
      </c>
      <c r="M185">
        <v>30</v>
      </c>
      <c r="N185">
        <v>1</v>
      </c>
      <c r="O185">
        <v>7</v>
      </c>
      <c r="P185">
        <v>1</v>
      </c>
      <c r="Q185" t="s">
        <v>3</v>
      </c>
    </row>
    <row r="186" spans="1:17">
      <c r="A186" t="s">
        <v>850</v>
      </c>
      <c r="B186" t="s">
        <v>762</v>
      </c>
      <c r="C186">
        <v>9.5000000000000001E-2</v>
      </c>
      <c r="D186" t="s">
        <v>754</v>
      </c>
      <c r="E186" t="s">
        <v>919</v>
      </c>
      <c r="F186" t="s">
        <v>941</v>
      </c>
      <c r="G186" t="s">
        <v>975</v>
      </c>
      <c r="H186">
        <v>9.5000000000000001E-2</v>
      </c>
      <c r="J186" s="600" t="s">
        <v>767</v>
      </c>
      <c r="K186">
        <v>106258582</v>
      </c>
      <c r="L186" s="2">
        <v>44001</v>
      </c>
      <c r="M186">
        <v>21</v>
      </c>
      <c r="N186">
        <v>1</v>
      </c>
      <c r="O186">
        <v>0</v>
      </c>
      <c r="P186">
        <v>1</v>
      </c>
      <c r="Q186" t="s">
        <v>7</v>
      </c>
    </row>
    <row r="187" spans="1:17">
      <c r="A187" t="s">
        <v>850</v>
      </c>
      <c r="B187" t="s">
        <v>762</v>
      </c>
      <c r="C187">
        <v>8.9999999999999993E-3</v>
      </c>
      <c r="D187" t="s">
        <v>754</v>
      </c>
      <c r="E187" t="s">
        <v>853</v>
      </c>
      <c r="F187" t="s">
        <v>865</v>
      </c>
      <c r="G187" t="s">
        <v>909</v>
      </c>
      <c r="H187">
        <v>2.9750000000000001</v>
      </c>
      <c r="J187" s="600" t="s">
        <v>767</v>
      </c>
      <c r="K187">
        <v>106258584</v>
      </c>
      <c r="L187" s="2">
        <v>44004</v>
      </c>
      <c r="M187">
        <v>28</v>
      </c>
      <c r="N187">
        <v>1</v>
      </c>
      <c r="O187">
        <v>0</v>
      </c>
      <c r="P187">
        <v>1</v>
      </c>
      <c r="Q187" t="s">
        <v>7</v>
      </c>
    </row>
    <row r="188" spans="1:17">
      <c r="A188" t="s">
        <v>981</v>
      </c>
      <c r="B188" t="s">
        <v>762</v>
      </c>
      <c r="C188">
        <v>1</v>
      </c>
      <c r="D188" t="s">
        <v>753</v>
      </c>
      <c r="E188" t="s">
        <v>883</v>
      </c>
      <c r="F188" t="s">
        <v>982</v>
      </c>
      <c r="G188" t="s">
        <v>975</v>
      </c>
      <c r="H188">
        <v>0.53500000000000003</v>
      </c>
      <c r="J188" s="600" t="s">
        <v>767</v>
      </c>
      <c r="K188">
        <v>106269194</v>
      </c>
      <c r="L188" s="2">
        <v>44015</v>
      </c>
      <c r="M188">
        <v>21</v>
      </c>
      <c r="N188">
        <v>1</v>
      </c>
      <c r="O188">
        <v>5</v>
      </c>
      <c r="P188">
        <v>1</v>
      </c>
      <c r="Q188" t="s">
        <v>7</v>
      </c>
    </row>
    <row r="189" spans="1:17">
      <c r="A189" t="s">
        <v>751</v>
      </c>
      <c r="B189" t="s">
        <v>897</v>
      </c>
      <c r="C189">
        <v>0</v>
      </c>
      <c r="E189" t="s">
        <v>949</v>
      </c>
      <c r="F189" t="s">
        <v>883</v>
      </c>
      <c r="G189" t="s">
        <v>897</v>
      </c>
      <c r="H189">
        <v>0.88200000000000001</v>
      </c>
      <c r="J189" s="600" t="s">
        <v>767</v>
      </c>
      <c r="K189">
        <v>106301368</v>
      </c>
      <c r="L189" s="2">
        <v>44047</v>
      </c>
      <c r="M189">
        <v>30</v>
      </c>
      <c r="N189">
        <v>1</v>
      </c>
      <c r="O189">
        <v>7</v>
      </c>
      <c r="P189">
        <v>1</v>
      </c>
      <c r="Q189" t="s">
        <v>3</v>
      </c>
    </row>
    <row r="190" spans="1:17">
      <c r="A190" t="s">
        <v>867</v>
      </c>
      <c r="B190" t="s">
        <v>762</v>
      </c>
      <c r="C190">
        <v>0</v>
      </c>
      <c r="D190" t="s">
        <v>753</v>
      </c>
      <c r="E190" t="s">
        <v>903</v>
      </c>
      <c r="F190" t="s">
        <v>762</v>
      </c>
      <c r="G190" t="s">
        <v>943</v>
      </c>
      <c r="H190">
        <v>1.149</v>
      </c>
      <c r="J190" s="600" t="s">
        <v>767</v>
      </c>
      <c r="K190">
        <v>106307253</v>
      </c>
      <c r="L190" s="2">
        <v>44053</v>
      </c>
      <c r="M190">
        <v>1</v>
      </c>
      <c r="N190">
        <v>1</v>
      </c>
      <c r="O190">
        <v>0</v>
      </c>
      <c r="P190">
        <v>1</v>
      </c>
      <c r="Q190" t="s">
        <v>7</v>
      </c>
    </row>
    <row r="191" spans="1:17">
      <c r="A191" t="s">
        <v>850</v>
      </c>
      <c r="B191" t="s">
        <v>762</v>
      </c>
      <c r="C191">
        <v>0</v>
      </c>
      <c r="E191" t="s">
        <v>911</v>
      </c>
      <c r="F191" t="s">
        <v>862</v>
      </c>
      <c r="G191" t="s">
        <v>909</v>
      </c>
      <c r="H191">
        <v>2.7389999999999999</v>
      </c>
      <c r="J191" s="600" t="s">
        <v>767</v>
      </c>
      <c r="K191">
        <v>106312212</v>
      </c>
      <c r="L191" s="2">
        <v>44056</v>
      </c>
      <c r="M191">
        <v>25</v>
      </c>
      <c r="N191">
        <v>1</v>
      </c>
      <c r="O191">
        <v>0</v>
      </c>
      <c r="P191">
        <v>1</v>
      </c>
      <c r="Q191" t="s">
        <v>7</v>
      </c>
    </row>
    <row r="192" spans="1:17">
      <c r="A192" t="s">
        <v>751</v>
      </c>
      <c r="B192" t="s">
        <v>897</v>
      </c>
      <c r="C192">
        <v>0.8</v>
      </c>
      <c r="D192" t="s">
        <v>753</v>
      </c>
      <c r="E192" t="s">
        <v>901</v>
      </c>
      <c r="F192" t="s">
        <v>899</v>
      </c>
      <c r="G192" t="s">
        <v>897</v>
      </c>
      <c r="H192">
        <v>2.008</v>
      </c>
      <c r="J192" s="600" t="s">
        <v>767</v>
      </c>
      <c r="K192">
        <v>106313586</v>
      </c>
      <c r="L192" s="2">
        <v>44058</v>
      </c>
      <c r="M192">
        <v>19</v>
      </c>
      <c r="N192">
        <v>2</v>
      </c>
      <c r="O192">
        <v>0</v>
      </c>
      <c r="P192">
        <v>5</v>
      </c>
      <c r="Q192" t="s">
        <v>8</v>
      </c>
    </row>
    <row r="193" spans="1:17">
      <c r="A193" t="s">
        <v>751</v>
      </c>
      <c r="B193" t="s">
        <v>945</v>
      </c>
      <c r="C193">
        <v>0</v>
      </c>
      <c r="E193" t="s">
        <v>897</v>
      </c>
      <c r="F193" t="s">
        <v>883</v>
      </c>
      <c r="G193" t="s">
        <v>945</v>
      </c>
      <c r="H193">
        <v>999.99900000000002</v>
      </c>
      <c r="J193" s="600" t="s">
        <v>767</v>
      </c>
      <c r="K193">
        <v>106311206</v>
      </c>
      <c r="L193" s="2">
        <v>44061</v>
      </c>
      <c r="M193">
        <v>30</v>
      </c>
      <c r="N193">
        <v>1</v>
      </c>
      <c r="O193">
        <v>7</v>
      </c>
      <c r="P193">
        <v>1</v>
      </c>
      <c r="Q193" t="s">
        <v>7</v>
      </c>
    </row>
    <row r="194" spans="1:17">
      <c r="A194" t="s">
        <v>751</v>
      </c>
      <c r="B194" t="s">
        <v>945</v>
      </c>
      <c r="C194">
        <v>0</v>
      </c>
      <c r="E194" t="s">
        <v>897</v>
      </c>
      <c r="F194" t="s">
        <v>883</v>
      </c>
      <c r="G194" t="s">
        <v>945</v>
      </c>
      <c r="H194">
        <v>999.99900000000002</v>
      </c>
      <c r="J194" s="600" t="s">
        <v>767</v>
      </c>
      <c r="K194">
        <v>106320590</v>
      </c>
      <c r="L194" s="2">
        <v>44068</v>
      </c>
      <c r="M194">
        <v>23</v>
      </c>
      <c r="N194">
        <v>1</v>
      </c>
      <c r="O194">
        <v>7</v>
      </c>
      <c r="P194">
        <v>1</v>
      </c>
      <c r="Q194" t="s">
        <v>7</v>
      </c>
    </row>
    <row r="195" spans="1:17">
      <c r="A195" t="s">
        <v>850</v>
      </c>
      <c r="B195" t="s">
        <v>762</v>
      </c>
      <c r="C195">
        <v>1.7999999999999999E-2</v>
      </c>
      <c r="D195" t="s">
        <v>754</v>
      </c>
      <c r="E195" t="s">
        <v>860</v>
      </c>
      <c r="F195" t="s">
        <v>915</v>
      </c>
      <c r="G195" t="s">
        <v>909</v>
      </c>
      <c r="H195">
        <v>3.0339999999999998</v>
      </c>
      <c r="J195" s="600" t="s">
        <v>767</v>
      </c>
      <c r="K195">
        <v>106398136</v>
      </c>
      <c r="L195" s="2">
        <v>44069</v>
      </c>
      <c r="M195">
        <v>0</v>
      </c>
      <c r="N195">
        <v>1</v>
      </c>
      <c r="O195">
        <v>0</v>
      </c>
      <c r="P195">
        <v>1</v>
      </c>
      <c r="Q195" t="s">
        <v>7</v>
      </c>
    </row>
    <row r="196" spans="1:17">
      <c r="A196" t="s">
        <v>850</v>
      </c>
      <c r="B196" t="s">
        <v>762</v>
      </c>
      <c r="C196">
        <v>2.4E-2</v>
      </c>
      <c r="D196" t="s">
        <v>754</v>
      </c>
      <c r="E196" t="s">
        <v>860</v>
      </c>
      <c r="F196" t="s">
        <v>915</v>
      </c>
      <c r="G196" t="s">
        <v>909</v>
      </c>
      <c r="H196">
        <v>3.04</v>
      </c>
      <c r="J196" s="600" t="s">
        <v>767</v>
      </c>
      <c r="K196">
        <v>106398133</v>
      </c>
      <c r="L196" s="2">
        <v>44071</v>
      </c>
      <c r="M196">
        <v>20</v>
      </c>
      <c r="N196">
        <v>1</v>
      </c>
      <c r="O196">
        <v>0</v>
      </c>
      <c r="P196">
        <v>4</v>
      </c>
      <c r="Q196" t="s">
        <v>7</v>
      </c>
    </row>
    <row r="197" spans="1:17">
      <c r="A197" t="s">
        <v>867</v>
      </c>
      <c r="B197" t="s">
        <v>891</v>
      </c>
      <c r="C197">
        <v>0</v>
      </c>
      <c r="E197" t="s">
        <v>762</v>
      </c>
      <c r="F197" t="s">
        <v>987</v>
      </c>
      <c r="G197" t="s">
        <v>953</v>
      </c>
      <c r="H197">
        <v>2.0550000000000002</v>
      </c>
      <c r="J197" s="600" t="s">
        <v>767</v>
      </c>
      <c r="K197">
        <v>106342283</v>
      </c>
      <c r="L197" s="2">
        <v>44076</v>
      </c>
      <c r="M197">
        <v>21</v>
      </c>
      <c r="N197">
        <v>1</v>
      </c>
      <c r="O197">
        <v>0</v>
      </c>
      <c r="P197">
        <v>1</v>
      </c>
      <c r="Q197" t="s">
        <v>7</v>
      </c>
    </row>
    <row r="198" spans="1:17">
      <c r="A198" t="s">
        <v>850</v>
      </c>
      <c r="B198" t="s">
        <v>919</v>
      </c>
      <c r="C198">
        <v>1.4E-2</v>
      </c>
      <c r="D198" t="s">
        <v>755</v>
      </c>
      <c r="E198" t="s">
        <v>762</v>
      </c>
      <c r="F198" t="s">
        <v>922</v>
      </c>
      <c r="G198" t="s">
        <v>909</v>
      </c>
      <c r="H198">
        <v>3.2989999999999999</v>
      </c>
      <c r="J198" s="600" t="s">
        <v>767</v>
      </c>
      <c r="K198">
        <v>106335625</v>
      </c>
      <c r="L198" s="2">
        <v>44078</v>
      </c>
      <c r="M198">
        <v>21</v>
      </c>
      <c r="N198">
        <v>1</v>
      </c>
      <c r="O198">
        <v>0</v>
      </c>
      <c r="P198">
        <v>1</v>
      </c>
      <c r="Q198" t="s">
        <v>7</v>
      </c>
    </row>
    <row r="199" spans="1:17">
      <c r="A199" t="s">
        <v>867</v>
      </c>
      <c r="B199" t="s">
        <v>762</v>
      </c>
      <c r="C199">
        <v>1.9E-2</v>
      </c>
      <c r="D199" t="s">
        <v>754</v>
      </c>
      <c r="E199" t="s">
        <v>927</v>
      </c>
      <c r="F199" t="s">
        <v>762</v>
      </c>
      <c r="G199" t="s">
        <v>943</v>
      </c>
      <c r="H199">
        <v>1.2749999999999999</v>
      </c>
      <c r="J199" s="600" t="s">
        <v>767</v>
      </c>
      <c r="K199">
        <v>106352948</v>
      </c>
      <c r="L199" s="2">
        <v>44096</v>
      </c>
      <c r="M199">
        <v>20</v>
      </c>
      <c r="N199">
        <v>1</v>
      </c>
      <c r="O199">
        <v>0</v>
      </c>
      <c r="P199">
        <v>1</v>
      </c>
      <c r="Q199" t="s">
        <v>7</v>
      </c>
    </row>
    <row r="200" spans="1:17">
      <c r="A200" t="s">
        <v>867</v>
      </c>
      <c r="B200" t="s">
        <v>762</v>
      </c>
      <c r="C200">
        <v>6.0000000000000001E-3</v>
      </c>
      <c r="D200" t="s">
        <v>6</v>
      </c>
      <c r="E200" t="s">
        <v>970</v>
      </c>
      <c r="F200" t="s">
        <v>970</v>
      </c>
      <c r="G200" t="s">
        <v>943</v>
      </c>
      <c r="H200">
        <v>1.4710000000000001</v>
      </c>
      <c r="J200" s="600" t="s">
        <v>767</v>
      </c>
      <c r="K200">
        <v>106346459</v>
      </c>
      <c r="L200" s="2">
        <v>44097</v>
      </c>
      <c r="M200">
        <v>30</v>
      </c>
      <c r="N200">
        <v>1</v>
      </c>
      <c r="O200">
        <v>0</v>
      </c>
      <c r="P200">
        <v>1</v>
      </c>
    </row>
    <row r="201" spans="1:17">
      <c r="A201" t="s">
        <v>751</v>
      </c>
      <c r="B201" t="s">
        <v>945</v>
      </c>
      <c r="C201">
        <v>0</v>
      </c>
      <c r="E201" t="s">
        <v>897</v>
      </c>
      <c r="F201" t="s">
        <v>883</v>
      </c>
      <c r="G201" t="s">
        <v>945</v>
      </c>
      <c r="H201">
        <v>999.99900000000002</v>
      </c>
      <c r="J201" s="600" t="s">
        <v>767</v>
      </c>
      <c r="K201">
        <v>106369050</v>
      </c>
      <c r="L201" s="2">
        <v>44118</v>
      </c>
      <c r="M201">
        <v>30</v>
      </c>
      <c r="N201">
        <v>1</v>
      </c>
      <c r="O201">
        <v>7</v>
      </c>
      <c r="P201">
        <v>1</v>
      </c>
      <c r="Q201" t="s">
        <v>7</v>
      </c>
    </row>
    <row r="202" spans="1:17">
      <c r="A202" t="s">
        <v>850</v>
      </c>
      <c r="B202" t="s">
        <v>859</v>
      </c>
      <c r="C202">
        <v>2.8000000000000001E-2</v>
      </c>
      <c r="D202" t="s">
        <v>753</v>
      </c>
      <c r="E202" t="s">
        <v>762</v>
      </c>
      <c r="F202" t="s">
        <v>860</v>
      </c>
      <c r="H202">
        <v>999.99900000000002</v>
      </c>
      <c r="J202" s="600" t="s">
        <v>767</v>
      </c>
      <c r="K202">
        <v>106415098</v>
      </c>
      <c r="L202" s="2">
        <v>44158</v>
      </c>
      <c r="M202">
        <v>21</v>
      </c>
      <c r="N202">
        <v>1</v>
      </c>
      <c r="O202">
        <v>0</v>
      </c>
      <c r="P202">
        <v>1</v>
      </c>
      <c r="Q202" t="s">
        <v>7</v>
      </c>
    </row>
    <row r="203" spans="1:17">
      <c r="A203" t="s">
        <v>850</v>
      </c>
      <c r="B203" t="s">
        <v>762</v>
      </c>
      <c r="C203">
        <v>0</v>
      </c>
      <c r="E203" t="s">
        <v>852</v>
      </c>
      <c r="F203" t="s">
        <v>853</v>
      </c>
      <c r="H203">
        <v>999.99900000000002</v>
      </c>
      <c r="J203" s="600" t="s">
        <v>767</v>
      </c>
      <c r="K203">
        <v>106415662</v>
      </c>
      <c r="L203" s="2">
        <v>44159</v>
      </c>
      <c r="M203">
        <v>28</v>
      </c>
      <c r="N203">
        <v>1</v>
      </c>
      <c r="O203">
        <v>0</v>
      </c>
      <c r="P203">
        <v>1</v>
      </c>
      <c r="Q203" t="s">
        <v>7</v>
      </c>
    </row>
    <row r="204" spans="1:17">
      <c r="A204" t="s">
        <v>751</v>
      </c>
      <c r="B204" t="s">
        <v>897</v>
      </c>
      <c r="C204">
        <v>0.3</v>
      </c>
      <c r="D204" t="s">
        <v>6</v>
      </c>
      <c r="E204" t="s">
        <v>949</v>
      </c>
      <c r="F204" t="s">
        <v>953</v>
      </c>
      <c r="G204" t="s">
        <v>897</v>
      </c>
      <c r="H204">
        <v>0.58199999999999996</v>
      </c>
      <c r="J204" s="600" t="s">
        <v>767</v>
      </c>
      <c r="K204">
        <v>106418480</v>
      </c>
      <c r="L204" s="2">
        <v>44161</v>
      </c>
      <c r="M204">
        <v>17</v>
      </c>
      <c r="N204">
        <v>2</v>
      </c>
      <c r="O204">
        <v>0</v>
      </c>
      <c r="P204">
        <v>5</v>
      </c>
      <c r="Q204" t="s">
        <v>7</v>
      </c>
    </row>
    <row r="205" spans="1:17">
      <c r="A205" t="s">
        <v>850</v>
      </c>
      <c r="B205" t="s">
        <v>762</v>
      </c>
      <c r="C205">
        <v>0</v>
      </c>
      <c r="E205" t="s">
        <v>883</v>
      </c>
      <c r="F205" t="s">
        <v>980</v>
      </c>
      <c r="G205" t="s">
        <v>975</v>
      </c>
      <c r="H205">
        <v>0.53500000000000003</v>
      </c>
      <c r="J205" s="600" t="s">
        <v>767</v>
      </c>
      <c r="K205">
        <v>106427602</v>
      </c>
      <c r="L205" s="2">
        <v>44169</v>
      </c>
      <c r="M205">
        <v>21</v>
      </c>
      <c r="N205">
        <v>1</v>
      </c>
      <c r="O205">
        <v>8</v>
      </c>
      <c r="P205">
        <v>1</v>
      </c>
      <c r="Q205" t="s">
        <v>7</v>
      </c>
    </row>
    <row r="206" spans="1:17">
      <c r="A206" t="s">
        <v>751</v>
      </c>
      <c r="B206" t="s">
        <v>949</v>
      </c>
      <c r="C206">
        <v>0</v>
      </c>
      <c r="E206" t="s">
        <v>897</v>
      </c>
      <c r="F206" t="s">
        <v>883</v>
      </c>
      <c r="G206" t="s">
        <v>949</v>
      </c>
      <c r="H206">
        <v>14.055</v>
      </c>
      <c r="J206" s="600" t="s">
        <v>767</v>
      </c>
      <c r="K206">
        <v>106435224</v>
      </c>
      <c r="L206" s="2">
        <v>44176</v>
      </c>
      <c r="M206">
        <v>19</v>
      </c>
      <c r="N206">
        <v>1</v>
      </c>
      <c r="O206">
        <v>7</v>
      </c>
      <c r="P206">
        <v>1</v>
      </c>
      <c r="Q206" t="s">
        <v>7</v>
      </c>
    </row>
    <row r="207" spans="1:17">
      <c r="A207" t="s">
        <v>867</v>
      </c>
      <c r="B207" t="s">
        <v>891</v>
      </c>
      <c r="C207">
        <v>4.0000000000000001E-3</v>
      </c>
      <c r="D207" t="s">
        <v>755</v>
      </c>
      <c r="E207" t="s">
        <v>762</v>
      </c>
      <c r="F207" t="s">
        <v>891</v>
      </c>
      <c r="G207" t="s">
        <v>953</v>
      </c>
      <c r="H207">
        <v>2.0510000000000002</v>
      </c>
      <c r="J207" s="600" t="s">
        <v>767</v>
      </c>
      <c r="K207">
        <v>106463140</v>
      </c>
      <c r="L207" s="2">
        <v>44201</v>
      </c>
      <c r="M207">
        <v>31</v>
      </c>
      <c r="N207">
        <v>1</v>
      </c>
      <c r="O207">
        <v>0</v>
      </c>
      <c r="P207">
        <v>1</v>
      </c>
      <c r="Q207" t="s">
        <v>7</v>
      </c>
    </row>
    <row r="208" spans="1:17">
      <c r="A208" t="s">
        <v>867</v>
      </c>
      <c r="B208" t="s">
        <v>924</v>
      </c>
      <c r="C208">
        <v>0</v>
      </c>
      <c r="E208" t="s">
        <v>869</v>
      </c>
      <c r="F208" t="s">
        <v>869</v>
      </c>
      <c r="G208" t="s">
        <v>925</v>
      </c>
      <c r="H208">
        <v>17.59</v>
      </c>
      <c r="J208" s="600" t="s">
        <v>767</v>
      </c>
      <c r="K208">
        <v>106464535</v>
      </c>
      <c r="L208" s="2">
        <v>44203</v>
      </c>
      <c r="M208">
        <v>30</v>
      </c>
      <c r="N208">
        <v>1</v>
      </c>
      <c r="O208">
        <v>0</v>
      </c>
      <c r="P208">
        <v>1</v>
      </c>
      <c r="Q208" t="s">
        <v>8</v>
      </c>
    </row>
    <row r="209" spans="1:22">
      <c r="A209" t="s">
        <v>867</v>
      </c>
      <c r="B209" t="s">
        <v>936</v>
      </c>
      <c r="C209">
        <v>0</v>
      </c>
      <c r="E209" t="s">
        <v>869</v>
      </c>
      <c r="F209" t="s">
        <v>881</v>
      </c>
      <c r="G209" t="s">
        <v>883</v>
      </c>
      <c r="H209">
        <v>20.498000000000001</v>
      </c>
      <c r="J209" s="600" t="s">
        <v>767</v>
      </c>
      <c r="K209">
        <v>106464531</v>
      </c>
      <c r="L209" s="2">
        <v>44206</v>
      </c>
      <c r="M209">
        <v>30</v>
      </c>
      <c r="N209">
        <v>1</v>
      </c>
      <c r="O209">
        <v>0</v>
      </c>
      <c r="P209">
        <v>1</v>
      </c>
      <c r="Q209" t="s">
        <v>3</v>
      </c>
    </row>
    <row r="210" spans="1:22">
      <c r="A210" t="s">
        <v>867</v>
      </c>
      <c r="B210" t="s">
        <v>949</v>
      </c>
      <c r="C210">
        <v>0</v>
      </c>
      <c r="E210" t="s">
        <v>897</v>
      </c>
      <c r="F210" t="s">
        <v>883</v>
      </c>
      <c r="G210" t="s">
        <v>949</v>
      </c>
      <c r="H210">
        <v>14.055</v>
      </c>
      <c r="J210" s="600" t="s">
        <v>767</v>
      </c>
      <c r="K210">
        <v>106471444</v>
      </c>
      <c r="L210" s="2">
        <v>44219</v>
      </c>
      <c r="M210">
        <v>30</v>
      </c>
      <c r="N210">
        <v>1</v>
      </c>
      <c r="O210">
        <v>7</v>
      </c>
      <c r="P210">
        <v>5</v>
      </c>
      <c r="Q210" t="s">
        <v>7</v>
      </c>
    </row>
    <row r="211" spans="1:22">
      <c r="A211" t="s">
        <v>751</v>
      </c>
      <c r="B211" t="s">
        <v>949</v>
      </c>
      <c r="C211">
        <v>0</v>
      </c>
      <c r="E211" t="s">
        <v>897</v>
      </c>
      <c r="F211" t="s">
        <v>883</v>
      </c>
      <c r="G211" t="s">
        <v>949</v>
      </c>
      <c r="H211">
        <v>14.055</v>
      </c>
      <c r="J211" s="600" t="s">
        <v>767</v>
      </c>
      <c r="K211">
        <v>106482608</v>
      </c>
      <c r="L211" s="2">
        <v>44230</v>
      </c>
      <c r="M211">
        <v>30</v>
      </c>
      <c r="N211">
        <v>1</v>
      </c>
      <c r="O211">
        <v>7</v>
      </c>
      <c r="P211">
        <v>1</v>
      </c>
      <c r="Q211" t="s">
        <v>7</v>
      </c>
    </row>
    <row r="212" spans="1:22">
      <c r="A212" t="s">
        <v>867</v>
      </c>
      <c r="B212" t="s">
        <v>867</v>
      </c>
      <c r="C212">
        <v>0</v>
      </c>
      <c r="E212" t="s">
        <v>888</v>
      </c>
      <c r="F212" t="s">
        <v>987</v>
      </c>
      <c r="G212" t="s">
        <v>949</v>
      </c>
      <c r="H212">
        <v>14.055</v>
      </c>
      <c r="J212" s="600" t="s">
        <v>767</v>
      </c>
      <c r="K212">
        <v>106500195</v>
      </c>
      <c r="L212" s="2">
        <v>44254</v>
      </c>
      <c r="M212">
        <v>1</v>
      </c>
      <c r="N212">
        <v>2</v>
      </c>
      <c r="O212">
        <v>0</v>
      </c>
      <c r="P212">
        <v>5</v>
      </c>
      <c r="Q212" t="s">
        <v>7</v>
      </c>
    </row>
    <row r="213" spans="1:22">
      <c r="A213" t="s">
        <v>751</v>
      </c>
      <c r="B213" t="s">
        <v>949</v>
      </c>
      <c r="C213">
        <v>0</v>
      </c>
      <c r="E213" t="s">
        <v>897</v>
      </c>
      <c r="F213" t="s">
        <v>883</v>
      </c>
      <c r="G213" t="s">
        <v>949</v>
      </c>
      <c r="H213">
        <v>14.055</v>
      </c>
      <c r="J213" s="600" t="s">
        <v>767</v>
      </c>
      <c r="K213">
        <v>106508286</v>
      </c>
      <c r="L213" s="2">
        <v>44260</v>
      </c>
      <c r="M213">
        <v>30</v>
      </c>
      <c r="N213">
        <v>1</v>
      </c>
      <c r="O213">
        <v>7</v>
      </c>
      <c r="P213">
        <v>5</v>
      </c>
      <c r="Q213" t="s">
        <v>8</v>
      </c>
    </row>
    <row r="214" spans="1:22">
      <c r="A214" t="s">
        <v>867</v>
      </c>
      <c r="B214" t="s">
        <v>891</v>
      </c>
      <c r="C214">
        <v>0</v>
      </c>
      <c r="E214" t="s">
        <v>869</v>
      </c>
      <c r="F214" t="s">
        <v>907</v>
      </c>
      <c r="G214" t="s">
        <v>953</v>
      </c>
      <c r="H214">
        <v>2.6850000000000001</v>
      </c>
      <c r="J214" s="600" t="s">
        <v>767</v>
      </c>
      <c r="K214">
        <v>106510965</v>
      </c>
      <c r="L214" s="2">
        <v>44265</v>
      </c>
      <c r="M214">
        <v>23</v>
      </c>
      <c r="N214">
        <v>1</v>
      </c>
      <c r="O214">
        <v>0</v>
      </c>
      <c r="P214">
        <v>1</v>
      </c>
      <c r="Q214" t="s">
        <v>3</v>
      </c>
    </row>
    <row r="215" spans="1:22">
      <c r="A215" t="s">
        <v>751</v>
      </c>
      <c r="B215" t="s">
        <v>897</v>
      </c>
      <c r="C215">
        <v>0.1</v>
      </c>
      <c r="D215" t="s">
        <v>755</v>
      </c>
      <c r="E215" t="s">
        <v>948</v>
      </c>
      <c r="F215" t="s">
        <v>956</v>
      </c>
      <c r="G215" t="s">
        <v>897</v>
      </c>
      <c r="H215">
        <v>3.004</v>
      </c>
      <c r="J215" s="600" t="s">
        <v>767</v>
      </c>
      <c r="K215">
        <v>106533831</v>
      </c>
      <c r="L215" s="2">
        <v>44283</v>
      </c>
      <c r="M215">
        <v>19</v>
      </c>
      <c r="N215">
        <v>1</v>
      </c>
      <c r="O215">
        <v>0</v>
      </c>
      <c r="P215">
        <v>5</v>
      </c>
      <c r="Q215" t="s">
        <v>7</v>
      </c>
    </row>
    <row r="216" spans="1:22">
      <c r="A216" t="s">
        <v>751</v>
      </c>
      <c r="B216" t="s">
        <v>897</v>
      </c>
      <c r="C216">
        <v>4.0000000000000001E-3</v>
      </c>
      <c r="D216" t="s">
        <v>754</v>
      </c>
      <c r="E216" t="s">
        <v>949</v>
      </c>
      <c r="F216" t="s">
        <v>901</v>
      </c>
      <c r="G216" t="s">
        <v>897</v>
      </c>
      <c r="H216">
        <v>0.88600000000000001</v>
      </c>
      <c r="J216" s="600" t="s">
        <v>767</v>
      </c>
      <c r="K216">
        <v>106540370</v>
      </c>
      <c r="L216" s="2">
        <v>44295</v>
      </c>
      <c r="M216">
        <v>21</v>
      </c>
      <c r="N216">
        <v>1</v>
      </c>
      <c r="O216">
        <v>0</v>
      </c>
      <c r="P216">
        <v>1</v>
      </c>
      <c r="Q216" t="s">
        <v>7</v>
      </c>
    </row>
    <row r="217" spans="1:22">
      <c r="A217" t="s">
        <v>867</v>
      </c>
      <c r="B217" t="s">
        <v>930</v>
      </c>
      <c r="C217">
        <v>0</v>
      </c>
      <c r="E217" t="s">
        <v>869</v>
      </c>
      <c r="F217" t="s">
        <v>881</v>
      </c>
      <c r="G217" t="s">
        <v>869</v>
      </c>
      <c r="H217">
        <v>999.99900000000002</v>
      </c>
      <c r="J217" s="600" t="s">
        <v>767</v>
      </c>
      <c r="K217">
        <v>106579086</v>
      </c>
      <c r="L217" s="2">
        <v>44318</v>
      </c>
      <c r="M217">
        <v>30</v>
      </c>
      <c r="N217">
        <v>1</v>
      </c>
      <c r="O217">
        <v>0</v>
      </c>
      <c r="P217">
        <v>1</v>
      </c>
      <c r="Q217" t="s">
        <v>7</v>
      </c>
    </row>
    <row r="218" spans="1:22">
      <c r="A218" t="s">
        <v>867</v>
      </c>
      <c r="B218" t="s">
        <v>887</v>
      </c>
      <c r="C218">
        <v>0</v>
      </c>
      <c r="E218" t="s">
        <v>869</v>
      </c>
      <c r="F218" t="s">
        <v>881</v>
      </c>
      <c r="G218" t="s">
        <v>869</v>
      </c>
      <c r="H218">
        <v>0.22</v>
      </c>
      <c r="J218" s="600" t="s">
        <v>767</v>
      </c>
      <c r="K218">
        <v>106577549</v>
      </c>
      <c r="L218" s="2">
        <v>44327</v>
      </c>
      <c r="M218">
        <v>30</v>
      </c>
      <c r="N218">
        <v>1</v>
      </c>
      <c r="O218">
        <v>0</v>
      </c>
      <c r="P218">
        <v>1</v>
      </c>
      <c r="Q218" t="s">
        <v>7</v>
      </c>
      <c r="R218">
        <v>36.309759</v>
      </c>
      <c r="S218">
        <v>-78.588780999999997</v>
      </c>
      <c r="T218" t="s">
        <v>757</v>
      </c>
      <c r="V218">
        <v>8.299121832006201E-2</v>
      </c>
    </row>
    <row r="219" spans="1:22">
      <c r="A219" t="s">
        <v>751</v>
      </c>
      <c r="B219" t="s">
        <v>949</v>
      </c>
      <c r="C219">
        <v>0</v>
      </c>
      <c r="E219" t="s">
        <v>943</v>
      </c>
      <c r="F219" t="s">
        <v>971</v>
      </c>
      <c r="G219" t="s">
        <v>949</v>
      </c>
      <c r="H219">
        <v>999.99900000000002</v>
      </c>
      <c r="J219" s="600" t="s">
        <v>767</v>
      </c>
      <c r="K219">
        <v>106619014</v>
      </c>
      <c r="L219" s="2">
        <v>44363</v>
      </c>
      <c r="M219">
        <v>30</v>
      </c>
      <c r="N219">
        <v>1</v>
      </c>
      <c r="O219">
        <v>7</v>
      </c>
      <c r="P219">
        <v>4</v>
      </c>
      <c r="Q219" t="s">
        <v>7</v>
      </c>
    </row>
    <row r="220" spans="1:22">
      <c r="A220" t="s">
        <v>751</v>
      </c>
      <c r="B220" t="s">
        <v>897</v>
      </c>
      <c r="C220">
        <v>0.2</v>
      </c>
      <c r="D220" t="s">
        <v>754</v>
      </c>
      <c r="E220" t="s">
        <v>949</v>
      </c>
      <c r="F220" t="s">
        <v>901</v>
      </c>
      <c r="G220" t="s">
        <v>897</v>
      </c>
      <c r="H220">
        <v>1.0820000000000001</v>
      </c>
      <c r="J220" s="600" t="s">
        <v>767</v>
      </c>
      <c r="K220">
        <v>106636747</v>
      </c>
      <c r="L220" s="2">
        <v>44392</v>
      </c>
      <c r="M220">
        <v>28</v>
      </c>
      <c r="N220">
        <v>1</v>
      </c>
      <c r="O220">
        <v>0</v>
      </c>
      <c r="P220">
        <v>1</v>
      </c>
      <c r="Q220" t="s">
        <v>7</v>
      </c>
    </row>
    <row r="221" spans="1:22">
      <c r="A221" t="s">
        <v>867</v>
      </c>
      <c r="B221" t="s">
        <v>929</v>
      </c>
      <c r="C221">
        <v>0</v>
      </c>
      <c r="D221" t="s">
        <v>6</v>
      </c>
      <c r="E221" t="s">
        <v>869</v>
      </c>
      <c r="F221" t="s">
        <v>867</v>
      </c>
      <c r="G221" t="s">
        <v>929</v>
      </c>
      <c r="H221">
        <v>999.99900000000002</v>
      </c>
      <c r="J221" s="600" t="s">
        <v>767</v>
      </c>
      <c r="K221">
        <v>106680830</v>
      </c>
      <c r="L221" s="2">
        <v>44435</v>
      </c>
      <c r="M221">
        <v>3</v>
      </c>
      <c r="N221">
        <v>1</v>
      </c>
      <c r="O221">
        <v>0</v>
      </c>
      <c r="P221">
        <v>1</v>
      </c>
      <c r="Q221" t="s">
        <v>7</v>
      </c>
    </row>
    <row r="222" spans="1:22">
      <c r="A222" t="s">
        <v>867</v>
      </c>
      <c r="B222" t="s">
        <v>885</v>
      </c>
      <c r="C222">
        <v>4.0000000000000001E-3</v>
      </c>
      <c r="D222" t="s">
        <v>753</v>
      </c>
      <c r="E222" t="s">
        <v>762</v>
      </c>
      <c r="F222" t="s">
        <v>762</v>
      </c>
      <c r="H222">
        <v>999.99900000000002</v>
      </c>
      <c r="J222" s="600" t="s">
        <v>767</v>
      </c>
      <c r="K222">
        <v>106711659</v>
      </c>
      <c r="L222" s="2">
        <v>44450</v>
      </c>
      <c r="M222">
        <v>31</v>
      </c>
      <c r="N222">
        <v>1</v>
      </c>
      <c r="O222">
        <v>0</v>
      </c>
      <c r="P222">
        <v>1</v>
      </c>
      <c r="Q222" t="s">
        <v>7</v>
      </c>
    </row>
    <row r="223" spans="1:22">
      <c r="A223" t="s">
        <v>751</v>
      </c>
      <c r="B223" t="s">
        <v>897</v>
      </c>
      <c r="C223">
        <v>0</v>
      </c>
      <c r="E223" t="s">
        <v>898</v>
      </c>
      <c r="F223" t="s">
        <v>899</v>
      </c>
      <c r="H223">
        <v>999.99900000000002</v>
      </c>
      <c r="J223" s="600" t="s">
        <v>767</v>
      </c>
      <c r="K223">
        <v>106696985</v>
      </c>
      <c r="L223" s="2">
        <v>44454</v>
      </c>
      <c r="M223">
        <v>24</v>
      </c>
      <c r="N223">
        <v>1</v>
      </c>
      <c r="O223">
        <v>4</v>
      </c>
      <c r="P223">
        <v>1</v>
      </c>
      <c r="Q223" t="s">
        <v>7</v>
      </c>
    </row>
    <row r="224" spans="1:22">
      <c r="A224" t="s">
        <v>867</v>
      </c>
      <c r="B224" t="s">
        <v>905</v>
      </c>
      <c r="C224">
        <v>0</v>
      </c>
      <c r="E224" t="s">
        <v>872</v>
      </c>
      <c r="F224" t="s">
        <v>906</v>
      </c>
      <c r="G224" t="s">
        <v>762</v>
      </c>
      <c r="H224">
        <v>999.99900000000002</v>
      </c>
      <c r="J224" s="600" t="s">
        <v>767</v>
      </c>
      <c r="K224">
        <v>106818280</v>
      </c>
      <c r="L224" s="2">
        <v>44456</v>
      </c>
      <c r="M224">
        <v>30</v>
      </c>
      <c r="N224">
        <v>1</v>
      </c>
      <c r="O224">
        <v>0</v>
      </c>
      <c r="P224">
        <v>1</v>
      </c>
    </row>
    <row r="225" spans="1:17">
      <c r="A225" t="s">
        <v>751</v>
      </c>
      <c r="B225" t="s">
        <v>897</v>
      </c>
      <c r="C225">
        <v>0.01</v>
      </c>
      <c r="D225" t="s">
        <v>754</v>
      </c>
      <c r="E225" t="s">
        <v>952</v>
      </c>
      <c r="F225" t="s">
        <v>949</v>
      </c>
      <c r="G225" t="s">
        <v>897</v>
      </c>
      <c r="H225">
        <v>0.53300000000000003</v>
      </c>
      <c r="J225" s="600" t="s">
        <v>767</v>
      </c>
      <c r="K225">
        <v>106727073</v>
      </c>
      <c r="L225" s="2">
        <v>44482</v>
      </c>
      <c r="M225">
        <v>17</v>
      </c>
      <c r="N225">
        <v>1</v>
      </c>
      <c r="O225">
        <v>0</v>
      </c>
      <c r="P225">
        <v>5</v>
      </c>
      <c r="Q225" t="s">
        <v>7</v>
      </c>
    </row>
    <row r="226" spans="1:17">
      <c r="A226" t="s">
        <v>751</v>
      </c>
      <c r="B226" t="s">
        <v>948</v>
      </c>
      <c r="C226">
        <v>0</v>
      </c>
      <c r="E226" t="s">
        <v>897</v>
      </c>
      <c r="F226" t="s">
        <v>950</v>
      </c>
      <c r="G226" t="s">
        <v>948</v>
      </c>
      <c r="H226">
        <v>3.2890000000000001</v>
      </c>
      <c r="J226" s="600" t="s">
        <v>767</v>
      </c>
      <c r="K226">
        <v>106752512</v>
      </c>
      <c r="L226" s="2">
        <v>44498</v>
      </c>
      <c r="M226">
        <v>28</v>
      </c>
      <c r="N226">
        <v>2</v>
      </c>
      <c r="O226">
        <v>8</v>
      </c>
      <c r="P226">
        <v>3</v>
      </c>
      <c r="Q226" t="s">
        <v>7</v>
      </c>
    </row>
    <row r="227" spans="1:17">
      <c r="A227" t="s">
        <v>867</v>
      </c>
      <c r="B227" t="s">
        <v>903</v>
      </c>
      <c r="C227">
        <v>0.01</v>
      </c>
      <c r="D227" t="s">
        <v>753</v>
      </c>
      <c r="E227" t="s">
        <v>762</v>
      </c>
      <c r="F227" t="s">
        <v>967</v>
      </c>
      <c r="G227" t="s">
        <v>943</v>
      </c>
      <c r="H227">
        <v>1.139</v>
      </c>
      <c r="J227" s="600" t="s">
        <v>767</v>
      </c>
      <c r="K227">
        <v>106785794</v>
      </c>
      <c r="L227" s="2">
        <v>44501</v>
      </c>
      <c r="M227">
        <v>1</v>
      </c>
      <c r="N227">
        <v>1</v>
      </c>
      <c r="O227">
        <v>0</v>
      </c>
      <c r="P227">
        <v>1</v>
      </c>
      <c r="Q227" t="s">
        <v>7</v>
      </c>
    </row>
    <row r="228" spans="1:17">
      <c r="A228" t="s">
        <v>867</v>
      </c>
      <c r="B228" t="s">
        <v>891</v>
      </c>
      <c r="C228">
        <v>0</v>
      </c>
      <c r="E228" t="s">
        <v>762</v>
      </c>
      <c r="F228" t="s">
        <v>762</v>
      </c>
      <c r="G228" t="s">
        <v>953</v>
      </c>
      <c r="H228">
        <v>2.0550000000000002</v>
      </c>
      <c r="J228" s="600" t="s">
        <v>767</v>
      </c>
      <c r="K228">
        <v>106762748</v>
      </c>
      <c r="L228" s="2">
        <v>44510</v>
      </c>
      <c r="M228">
        <v>31</v>
      </c>
      <c r="N228">
        <v>1</v>
      </c>
      <c r="O228">
        <v>0</v>
      </c>
      <c r="P228">
        <v>1</v>
      </c>
      <c r="Q228" t="s">
        <v>7</v>
      </c>
    </row>
    <row r="229" spans="1:17">
      <c r="A229" t="s">
        <v>850</v>
      </c>
      <c r="B229" t="s">
        <v>863</v>
      </c>
      <c r="C229">
        <v>1.9E-2</v>
      </c>
      <c r="D229" t="s">
        <v>755</v>
      </c>
      <c r="E229" t="s">
        <v>762</v>
      </c>
      <c r="H229">
        <v>999.99900000000002</v>
      </c>
      <c r="J229" s="600" t="s">
        <v>767</v>
      </c>
      <c r="K229">
        <v>106802910</v>
      </c>
      <c r="L229" s="2">
        <v>44523</v>
      </c>
      <c r="M229">
        <v>31</v>
      </c>
      <c r="N229">
        <v>1</v>
      </c>
      <c r="O229">
        <v>4</v>
      </c>
      <c r="P229">
        <v>1</v>
      </c>
      <c r="Q229" t="s">
        <v>7</v>
      </c>
    </row>
    <row r="230" spans="1:17">
      <c r="A230" t="s">
        <v>850</v>
      </c>
      <c r="B230" t="s">
        <v>762</v>
      </c>
      <c r="C230">
        <v>0</v>
      </c>
      <c r="E230" t="s">
        <v>883</v>
      </c>
      <c r="F230" t="s">
        <v>979</v>
      </c>
      <c r="G230" t="s">
        <v>975</v>
      </c>
      <c r="H230">
        <v>0.53500000000000003</v>
      </c>
      <c r="J230" s="600" t="s">
        <v>767</v>
      </c>
      <c r="K230">
        <v>106782773</v>
      </c>
      <c r="L230" s="2">
        <v>44524</v>
      </c>
      <c r="M230">
        <v>21</v>
      </c>
      <c r="N230">
        <v>1</v>
      </c>
      <c r="O230">
        <v>9</v>
      </c>
      <c r="P230">
        <v>1</v>
      </c>
      <c r="Q230" t="s">
        <v>7</v>
      </c>
    </row>
    <row r="231" spans="1:17">
      <c r="A231" t="s">
        <v>867</v>
      </c>
      <c r="B231" t="s">
        <v>888</v>
      </c>
      <c r="C231">
        <v>0.25</v>
      </c>
      <c r="D231" t="s">
        <v>6</v>
      </c>
      <c r="E231" t="s">
        <v>890</v>
      </c>
      <c r="F231" t="s">
        <v>891</v>
      </c>
      <c r="H231">
        <v>999.99900000000002</v>
      </c>
      <c r="J231" s="600" t="s">
        <v>767</v>
      </c>
      <c r="K231">
        <v>106802901</v>
      </c>
      <c r="L231" s="2">
        <v>44525</v>
      </c>
      <c r="M231">
        <v>17</v>
      </c>
      <c r="N231">
        <v>1</v>
      </c>
      <c r="O231">
        <v>0</v>
      </c>
      <c r="P231">
        <v>5</v>
      </c>
      <c r="Q231" t="s">
        <v>7</v>
      </c>
    </row>
    <row r="232" spans="1:17">
      <c r="A232" t="s">
        <v>751</v>
      </c>
      <c r="B232" t="s">
        <v>949</v>
      </c>
      <c r="C232">
        <v>0</v>
      </c>
      <c r="E232" t="s">
        <v>897</v>
      </c>
      <c r="F232" t="s">
        <v>901</v>
      </c>
      <c r="G232" t="s">
        <v>949</v>
      </c>
      <c r="H232">
        <v>14.055</v>
      </c>
      <c r="J232" s="600" t="s">
        <v>767</v>
      </c>
      <c r="K232">
        <v>106812161</v>
      </c>
      <c r="L232" s="2">
        <v>44552</v>
      </c>
      <c r="M232">
        <v>30</v>
      </c>
      <c r="N232">
        <v>1</v>
      </c>
      <c r="O232">
        <v>7</v>
      </c>
      <c r="P232">
        <v>1</v>
      </c>
      <c r="Q232" t="s">
        <v>7</v>
      </c>
    </row>
    <row r="233" spans="1:17">
      <c r="A233" t="s">
        <v>751</v>
      </c>
      <c r="B233" t="s">
        <v>949</v>
      </c>
      <c r="C233">
        <v>0</v>
      </c>
      <c r="E233" t="s">
        <v>897</v>
      </c>
      <c r="F233" t="s">
        <v>883</v>
      </c>
      <c r="G233" t="s">
        <v>949</v>
      </c>
      <c r="H233">
        <v>14.055</v>
      </c>
      <c r="J233" s="600" t="s">
        <v>767</v>
      </c>
      <c r="K233">
        <v>106826767</v>
      </c>
      <c r="L233" s="2">
        <v>44565</v>
      </c>
      <c r="M233">
        <v>30</v>
      </c>
      <c r="N233">
        <v>1</v>
      </c>
      <c r="O233">
        <v>7</v>
      </c>
      <c r="P233">
        <v>1</v>
      </c>
      <c r="Q233" t="s">
        <v>8</v>
      </c>
    </row>
    <row r="234" spans="1:17">
      <c r="A234" t="s">
        <v>867</v>
      </c>
      <c r="B234" t="s">
        <v>762</v>
      </c>
      <c r="C234">
        <v>0</v>
      </c>
      <c r="E234" t="s">
        <v>968</v>
      </c>
      <c r="F234" t="s">
        <v>968</v>
      </c>
      <c r="G234" t="s">
        <v>943</v>
      </c>
      <c r="H234">
        <v>1.421</v>
      </c>
      <c r="J234" s="600" t="s">
        <v>767</v>
      </c>
      <c r="K234">
        <v>106915254</v>
      </c>
      <c r="L234" s="2">
        <v>44572</v>
      </c>
      <c r="M234">
        <v>18</v>
      </c>
      <c r="N234">
        <v>1</v>
      </c>
      <c r="O234">
        <v>0</v>
      </c>
      <c r="P234">
        <v>1</v>
      </c>
    </row>
    <row r="235" spans="1:17">
      <c r="A235" t="s">
        <v>751</v>
      </c>
      <c r="B235" t="s">
        <v>949</v>
      </c>
      <c r="C235">
        <v>0</v>
      </c>
      <c r="E235" t="s">
        <v>897</v>
      </c>
      <c r="F235" t="s">
        <v>883</v>
      </c>
      <c r="G235" t="s">
        <v>949</v>
      </c>
      <c r="H235">
        <v>14.055</v>
      </c>
      <c r="J235" s="600" t="s">
        <v>767</v>
      </c>
      <c r="K235">
        <v>106854292</v>
      </c>
      <c r="L235" s="2">
        <v>44588</v>
      </c>
      <c r="M235">
        <v>30</v>
      </c>
      <c r="N235">
        <v>1</v>
      </c>
      <c r="O235">
        <v>7</v>
      </c>
      <c r="P235">
        <v>1</v>
      </c>
      <c r="Q235" t="s">
        <v>8</v>
      </c>
    </row>
    <row r="236" spans="1:17">
      <c r="A236" t="s">
        <v>751</v>
      </c>
      <c r="B236" t="s">
        <v>901</v>
      </c>
      <c r="C236">
        <v>0</v>
      </c>
      <c r="E236" t="s">
        <v>897</v>
      </c>
      <c r="F236" t="s">
        <v>899</v>
      </c>
      <c r="G236" t="s">
        <v>901</v>
      </c>
      <c r="H236">
        <v>10.077999999999999</v>
      </c>
      <c r="J236" s="600" t="s">
        <v>767</v>
      </c>
      <c r="K236">
        <v>106860515</v>
      </c>
      <c r="L236" s="2">
        <v>44604</v>
      </c>
      <c r="M236">
        <v>24</v>
      </c>
      <c r="N236">
        <v>1</v>
      </c>
      <c r="O236">
        <v>8</v>
      </c>
      <c r="P236">
        <v>1</v>
      </c>
      <c r="Q236" t="s">
        <v>7</v>
      </c>
    </row>
    <row r="237" spans="1:17">
      <c r="A237" t="s">
        <v>867</v>
      </c>
      <c r="B237" t="s">
        <v>924</v>
      </c>
      <c r="C237">
        <v>0</v>
      </c>
      <c r="E237" t="s">
        <v>869</v>
      </c>
      <c r="F237" t="s">
        <v>924</v>
      </c>
      <c r="G237" t="s">
        <v>925</v>
      </c>
      <c r="H237">
        <v>17.59</v>
      </c>
      <c r="J237" s="600" t="s">
        <v>767</v>
      </c>
      <c r="K237">
        <v>107036300</v>
      </c>
      <c r="L237" s="2">
        <v>44605</v>
      </c>
      <c r="M237">
        <v>21</v>
      </c>
      <c r="N237">
        <v>1</v>
      </c>
      <c r="O237">
        <v>7</v>
      </c>
      <c r="P237">
        <v>2</v>
      </c>
      <c r="Q237" t="s">
        <v>7</v>
      </c>
    </row>
    <row r="238" spans="1:17">
      <c r="A238" t="s">
        <v>867</v>
      </c>
      <c r="B238" t="s">
        <v>869</v>
      </c>
      <c r="C238">
        <v>0</v>
      </c>
      <c r="E238" t="s">
        <v>931</v>
      </c>
      <c r="F238" t="s">
        <v>931</v>
      </c>
      <c r="G238" t="s">
        <v>869</v>
      </c>
      <c r="H238">
        <v>0.47</v>
      </c>
      <c r="J238" s="600" t="s">
        <v>767</v>
      </c>
      <c r="K238">
        <v>106974955</v>
      </c>
      <c r="L238" s="2">
        <v>44628</v>
      </c>
      <c r="M238">
        <v>13</v>
      </c>
      <c r="N238">
        <v>1</v>
      </c>
      <c r="O238">
        <v>0</v>
      </c>
      <c r="P238">
        <v>1</v>
      </c>
      <c r="Q238" t="s">
        <v>7</v>
      </c>
    </row>
    <row r="239" spans="1:17">
      <c r="A239" t="s">
        <v>867</v>
      </c>
      <c r="B239" t="s">
        <v>924</v>
      </c>
      <c r="C239">
        <v>0</v>
      </c>
      <c r="E239" t="s">
        <v>869</v>
      </c>
      <c r="F239" t="s">
        <v>924</v>
      </c>
      <c r="G239" t="s">
        <v>925</v>
      </c>
      <c r="H239">
        <v>17.59</v>
      </c>
      <c r="J239" s="600" t="s">
        <v>767</v>
      </c>
      <c r="K239">
        <v>106915253</v>
      </c>
      <c r="L239" s="2">
        <v>44646</v>
      </c>
      <c r="M239">
        <v>21</v>
      </c>
      <c r="N239">
        <v>1</v>
      </c>
      <c r="O239">
        <v>7</v>
      </c>
      <c r="P239">
        <v>1</v>
      </c>
      <c r="Q239" t="s">
        <v>10</v>
      </c>
    </row>
    <row r="240" spans="1:17">
      <c r="A240" t="s">
        <v>751</v>
      </c>
      <c r="B240" t="s">
        <v>897</v>
      </c>
      <c r="C240">
        <v>0.2</v>
      </c>
      <c r="D240" t="s">
        <v>754</v>
      </c>
      <c r="E240" t="s">
        <v>901</v>
      </c>
      <c r="F240" t="s">
        <v>948</v>
      </c>
      <c r="G240" t="s">
        <v>897</v>
      </c>
      <c r="H240">
        <v>1.4079999999999999</v>
      </c>
      <c r="J240" s="600" t="s">
        <v>767</v>
      </c>
      <c r="K240">
        <v>106910589</v>
      </c>
      <c r="L240" s="2">
        <v>44651</v>
      </c>
      <c r="M240">
        <v>5</v>
      </c>
      <c r="N240">
        <v>2</v>
      </c>
      <c r="O240">
        <v>0</v>
      </c>
      <c r="P240">
        <v>5</v>
      </c>
      <c r="Q240" t="s">
        <v>8</v>
      </c>
    </row>
    <row r="241" spans="1:17">
      <c r="A241" t="s">
        <v>751</v>
      </c>
      <c r="B241" t="s">
        <v>901</v>
      </c>
      <c r="C241">
        <v>4.0000000000000001E-3</v>
      </c>
      <c r="D241" t="s">
        <v>755</v>
      </c>
      <c r="E241" t="s">
        <v>897</v>
      </c>
      <c r="F241" t="s">
        <v>946</v>
      </c>
      <c r="G241" t="s">
        <v>901</v>
      </c>
      <c r="H241">
        <v>10.074</v>
      </c>
      <c r="J241" s="600" t="s">
        <v>767</v>
      </c>
      <c r="K241">
        <v>106909550</v>
      </c>
      <c r="L241" s="2">
        <v>44652</v>
      </c>
      <c r="M241">
        <v>24</v>
      </c>
      <c r="N241">
        <v>1</v>
      </c>
      <c r="O241">
        <v>8</v>
      </c>
      <c r="P241">
        <v>1</v>
      </c>
      <c r="Q241" t="s">
        <v>7</v>
      </c>
    </row>
    <row r="242" spans="1:17">
      <c r="A242" t="s">
        <v>867</v>
      </c>
      <c r="B242" t="s">
        <v>931</v>
      </c>
      <c r="C242">
        <v>0</v>
      </c>
      <c r="E242" t="s">
        <v>869</v>
      </c>
      <c r="F242" t="s">
        <v>931</v>
      </c>
      <c r="G242" t="s">
        <v>869</v>
      </c>
      <c r="H242">
        <v>0.47</v>
      </c>
      <c r="J242" s="600" t="s">
        <v>767</v>
      </c>
      <c r="K242">
        <v>107036687</v>
      </c>
      <c r="L242" s="2">
        <v>44694</v>
      </c>
      <c r="M242">
        <v>21</v>
      </c>
      <c r="N242">
        <v>1</v>
      </c>
      <c r="O242">
        <v>0</v>
      </c>
      <c r="P242">
        <v>1</v>
      </c>
      <c r="Q242" t="s">
        <v>7</v>
      </c>
    </row>
    <row r="243" spans="1:17">
      <c r="A243" t="s">
        <v>867</v>
      </c>
      <c r="B243" t="s">
        <v>924</v>
      </c>
      <c r="C243">
        <v>0</v>
      </c>
      <c r="E243" t="s">
        <v>869</v>
      </c>
      <c r="F243" t="s">
        <v>881</v>
      </c>
      <c r="G243" t="s">
        <v>925</v>
      </c>
      <c r="H243">
        <v>17.59</v>
      </c>
      <c r="J243" s="600" t="s">
        <v>767</v>
      </c>
      <c r="K243">
        <v>106996484</v>
      </c>
      <c r="L243" s="2">
        <v>44723</v>
      </c>
      <c r="M243">
        <v>21</v>
      </c>
      <c r="N243">
        <v>1</v>
      </c>
      <c r="O243">
        <v>0</v>
      </c>
      <c r="P243">
        <v>2</v>
      </c>
      <c r="Q243" t="s">
        <v>7</v>
      </c>
    </row>
    <row r="244" spans="1:17">
      <c r="A244" t="s">
        <v>867</v>
      </c>
      <c r="B244" t="s">
        <v>869</v>
      </c>
      <c r="C244">
        <v>0</v>
      </c>
      <c r="E244" t="s">
        <v>926</v>
      </c>
      <c r="F244" t="s">
        <v>924</v>
      </c>
      <c r="G244" t="s">
        <v>869</v>
      </c>
      <c r="H244">
        <v>0.09</v>
      </c>
      <c r="J244" s="600" t="s">
        <v>767</v>
      </c>
      <c r="K244">
        <v>106996485</v>
      </c>
      <c r="L244" s="2">
        <v>44728</v>
      </c>
      <c r="M244">
        <v>28</v>
      </c>
      <c r="N244">
        <v>1</v>
      </c>
      <c r="O244">
        <v>0</v>
      </c>
      <c r="P244">
        <v>1</v>
      </c>
      <c r="Q244" t="s">
        <v>7</v>
      </c>
    </row>
    <row r="245" spans="1:17">
      <c r="A245" t="s">
        <v>867</v>
      </c>
      <c r="B245" t="s">
        <v>924</v>
      </c>
      <c r="C245">
        <v>0</v>
      </c>
      <c r="E245" t="s">
        <v>869</v>
      </c>
      <c r="F245" t="s">
        <v>881</v>
      </c>
      <c r="G245" t="s">
        <v>925</v>
      </c>
      <c r="H245">
        <v>17.59</v>
      </c>
      <c r="J245" s="600" t="s">
        <v>767</v>
      </c>
      <c r="K245">
        <v>107036677</v>
      </c>
      <c r="L245" s="2">
        <v>44728</v>
      </c>
      <c r="M245">
        <v>31</v>
      </c>
      <c r="N245">
        <v>1</v>
      </c>
      <c r="O245">
        <v>0</v>
      </c>
      <c r="P245">
        <v>1</v>
      </c>
      <c r="Q245" t="s">
        <v>7</v>
      </c>
    </row>
    <row r="246" spans="1:17">
      <c r="A246" t="s">
        <v>867</v>
      </c>
      <c r="B246" t="s">
        <v>762</v>
      </c>
      <c r="C246">
        <v>1.9E-2</v>
      </c>
      <c r="D246" t="s">
        <v>754</v>
      </c>
      <c r="E246" t="s">
        <v>891</v>
      </c>
      <c r="F246" t="s">
        <v>891</v>
      </c>
      <c r="G246" t="s">
        <v>943</v>
      </c>
      <c r="H246">
        <v>1.504</v>
      </c>
      <c r="J246" s="600" t="s">
        <v>767</v>
      </c>
      <c r="K246">
        <v>106990903</v>
      </c>
      <c r="L246" s="2">
        <v>44729</v>
      </c>
      <c r="M246">
        <v>31</v>
      </c>
      <c r="N246">
        <v>1</v>
      </c>
      <c r="O246">
        <v>0</v>
      </c>
      <c r="P246">
        <v>1</v>
      </c>
      <c r="Q246" t="s">
        <v>7</v>
      </c>
    </row>
    <row r="247" spans="1:17">
      <c r="A247" t="s">
        <v>751</v>
      </c>
      <c r="B247" t="s">
        <v>897</v>
      </c>
      <c r="C247">
        <v>0.2</v>
      </c>
      <c r="D247" t="s">
        <v>6</v>
      </c>
      <c r="E247" t="s">
        <v>957</v>
      </c>
      <c r="F247" t="s">
        <v>945</v>
      </c>
      <c r="G247" t="s">
        <v>897</v>
      </c>
      <c r="H247">
        <v>2.2839999999999998</v>
      </c>
      <c r="J247" s="600" t="s">
        <v>767</v>
      </c>
      <c r="K247">
        <v>106993246</v>
      </c>
      <c r="L247" s="2">
        <v>44732</v>
      </c>
      <c r="M247">
        <v>17</v>
      </c>
      <c r="N247">
        <v>1</v>
      </c>
      <c r="O247">
        <v>0</v>
      </c>
      <c r="P247">
        <v>1</v>
      </c>
      <c r="Q247" t="s">
        <v>7</v>
      </c>
    </row>
    <row r="248" spans="1:17">
      <c r="A248" t="s">
        <v>867</v>
      </c>
      <c r="B248" t="s">
        <v>936</v>
      </c>
      <c r="C248">
        <v>0</v>
      </c>
      <c r="E248" t="s">
        <v>869</v>
      </c>
      <c r="F248" t="s">
        <v>881</v>
      </c>
      <c r="G248" t="s">
        <v>883</v>
      </c>
      <c r="H248">
        <v>20.498000000000001</v>
      </c>
      <c r="J248" s="600" t="s">
        <v>767</v>
      </c>
      <c r="K248">
        <v>107036690</v>
      </c>
      <c r="L248" s="2">
        <v>44733</v>
      </c>
      <c r="M248">
        <v>21</v>
      </c>
      <c r="N248">
        <v>1</v>
      </c>
      <c r="O248">
        <v>0</v>
      </c>
      <c r="P248">
        <v>1</v>
      </c>
      <c r="Q248" t="s">
        <v>7</v>
      </c>
    </row>
    <row r="249" spans="1:17">
      <c r="A249" t="s">
        <v>751</v>
      </c>
      <c r="B249" t="s">
        <v>949</v>
      </c>
      <c r="C249">
        <v>0</v>
      </c>
      <c r="E249" t="s">
        <v>897</v>
      </c>
      <c r="F249" t="s">
        <v>901</v>
      </c>
      <c r="G249" t="s">
        <v>949</v>
      </c>
      <c r="H249">
        <v>14.055</v>
      </c>
      <c r="J249" s="600" t="s">
        <v>767</v>
      </c>
      <c r="K249">
        <v>107005802</v>
      </c>
      <c r="L249" s="2">
        <v>44744</v>
      </c>
      <c r="M249">
        <v>23</v>
      </c>
      <c r="N249">
        <v>1</v>
      </c>
      <c r="O249">
        <v>7</v>
      </c>
      <c r="P249">
        <v>1</v>
      </c>
      <c r="Q249" t="s">
        <v>8</v>
      </c>
    </row>
    <row r="250" spans="1:17">
      <c r="A250" t="s">
        <v>867</v>
      </c>
      <c r="B250" t="s">
        <v>762</v>
      </c>
      <c r="C250">
        <v>9.5000000000000001E-2</v>
      </c>
      <c r="D250" t="s">
        <v>6</v>
      </c>
      <c r="E250" t="s">
        <v>970</v>
      </c>
      <c r="F250" t="s">
        <v>968</v>
      </c>
      <c r="G250" t="s">
        <v>943</v>
      </c>
      <c r="H250">
        <v>1.3819999999999999</v>
      </c>
      <c r="J250" s="600" t="s">
        <v>767</v>
      </c>
      <c r="K250">
        <v>107020234</v>
      </c>
      <c r="L250" s="2">
        <v>44756</v>
      </c>
      <c r="M250">
        <v>31</v>
      </c>
      <c r="N250">
        <v>1</v>
      </c>
      <c r="O250">
        <v>0</v>
      </c>
      <c r="P250">
        <v>1</v>
      </c>
      <c r="Q250" t="s">
        <v>7</v>
      </c>
    </row>
    <row r="251" spans="1:17">
      <c r="A251" t="s">
        <v>867</v>
      </c>
      <c r="B251" t="s">
        <v>869</v>
      </c>
      <c r="C251">
        <v>8.9999999999999993E-3</v>
      </c>
      <c r="D251" t="s">
        <v>753</v>
      </c>
      <c r="E251" t="s">
        <v>902</v>
      </c>
      <c r="F251" t="s">
        <v>902</v>
      </c>
      <c r="G251" t="s">
        <v>869</v>
      </c>
      <c r="H251">
        <v>0.40899999999999997</v>
      </c>
      <c r="J251" s="600" t="s">
        <v>767</v>
      </c>
      <c r="K251">
        <v>107036682</v>
      </c>
      <c r="L251" s="2">
        <v>44760</v>
      </c>
      <c r="M251">
        <v>31</v>
      </c>
      <c r="N251">
        <v>1</v>
      </c>
      <c r="O251">
        <v>0</v>
      </c>
      <c r="P251">
        <v>1</v>
      </c>
      <c r="Q251" t="s">
        <v>7</v>
      </c>
    </row>
    <row r="252" spans="1:17">
      <c r="A252" t="s">
        <v>751</v>
      </c>
      <c r="B252" t="s">
        <v>897</v>
      </c>
      <c r="C252">
        <v>0.3</v>
      </c>
      <c r="D252" t="s">
        <v>754</v>
      </c>
      <c r="E252" t="s">
        <v>901</v>
      </c>
      <c r="F252" t="s">
        <v>948</v>
      </c>
      <c r="G252" t="s">
        <v>897</v>
      </c>
      <c r="H252">
        <v>1.508</v>
      </c>
      <c r="J252" s="600" t="s">
        <v>767</v>
      </c>
      <c r="K252">
        <v>107035517</v>
      </c>
      <c r="L252" s="2">
        <v>44776</v>
      </c>
      <c r="M252">
        <v>29</v>
      </c>
      <c r="N252">
        <v>1</v>
      </c>
      <c r="O252">
        <v>0</v>
      </c>
      <c r="P252">
        <v>1</v>
      </c>
      <c r="Q252" t="s">
        <v>7</v>
      </c>
    </row>
    <row r="253" spans="1:17">
      <c r="A253" t="s">
        <v>867</v>
      </c>
      <c r="B253" t="s">
        <v>869</v>
      </c>
      <c r="C253">
        <v>0</v>
      </c>
      <c r="E253" t="s">
        <v>924</v>
      </c>
      <c r="F253" t="s">
        <v>924</v>
      </c>
      <c r="G253" t="s">
        <v>869</v>
      </c>
      <c r="H253">
        <v>999.99900000000002</v>
      </c>
      <c r="J253" s="600" t="s">
        <v>767</v>
      </c>
      <c r="K253">
        <v>107047616</v>
      </c>
      <c r="L253" s="2">
        <v>44782</v>
      </c>
      <c r="M253">
        <v>28</v>
      </c>
      <c r="N253">
        <v>1</v>
      </c>
      <c r="O253">
        <v>0</v>
      </c>
      <c r="P253">
        <v>1</v>
      </c>
      <c r="Q253" t="s">
        <v>7</v>
      </c>
    </row>
    <row r="254" spans="1:17">
      <c r="A254" t="s">
        <v>867</v>
      </c>
      <c r="B254" t="s">
        <v>924</v>
      </c>
      <c r="C254">
        <v>0</v>
      </c>
      <c r="E254" t="s">
        <v>869</v>
      </c>
      <c r="F254" t="s">
        <v>869</v>
      </c>
      <c r="G254" t="s">
        <v>925</v>
      </c>
      <c r="H254">
        <v>17.59</v>
      </c>
      <c r="J254" s="600" t="s">
        <v>767</v>
      </c>
      <c r="K254">
        <v>107074299</v>
      </c>
      <c r="L254" s="2">
        <v>44815</v>
      </c>
      <c r="M254">
        <v>30</v>
      </c>
      <c r="N254">
        <v>1</v>
      </c>
      <c r="O254">
        <v>0</v>
      </c>
      <c r="P254">
        <v>1</v>
      </c>
      <c r="Q254" t="s">
        <v>3</v>
      </c>
    </row>
    <row r="255" spans="1:17">
      <c r="A255" t="s">
        <v>850</v>
      </c>
      <c r="B255" t="s">
        <v>872</v>
      </c>
      <c r="C255">
        <v>0</v>
      </c>
      <c r="E255" t="s">
        <v>873</v>
      </c>
      <c r="F255" t="s">
        <v>860</v>
      </c>
      <c r="H255">
        <v>999.99900000000002</v>
      </c>
      <c r="J255" s="600" t="s">
        <v>767</v>
      </c>
      <c r="K255">
        <v>107090844</v>
      </c>
      <c r="L255" s="2">
        <v>44820</v>
      </c>
      <c r="M255">
        <v>31</v>
      </c>
      <c r="N255">
        <v>1</v>
      </c>
      <c r="O255">
        <v>0</v>
      </c>
      <c r="P255">
        <v>4</v>
      </c>
      <c r="Q255" t="s">
        <v>7</v>
      </c>
    </row>
    <row r="256" spans="1:17">
      <c r="A256" t="s">
        <v>867</v>
      </c>
      <c r="B256" t="s">
        <v>869</v>
      </c>
      <c r="C256">
        <v>0</v>
      </c>
      <c r="E256" t="s">
        <v>887</v>
      </c>
      <c r="F256" t="s">
        <v>924</v>
      </c>
      <c r="G256" t="s">
        <v>869</v>
      </c>
      <c r="H256">
        <v>0.22</v>
      </c>
      <c r="J256" s="600" t="s">
        <v>767</v>
      </c>
      <c r="K256">
        <v>107101708</v>
      </c>
      <c r="L256" s="2">
        <v>44840</v>
      </c>
      <c r="M256">
        <v>26</v>
      </c>
      <c r="N256">
        <v>1</v>
      </c>
      <c r="O256">
        <v>0</v>
      </c>
      <c r="P256">
        <v>1</v>
      </c>
      <c r="Q256" t="s">
        <v>7</v>
      </c>
    </row>
    <row r="257" spans="1:22">
      <c r="A257" t="s">
        <v>867</v>
      </c>
      <c r="B257" t="s">
        <v>869</v>
      </c>
      <c r="C257">
        <v>0</v>
      </c>
      <c r="E257" t="s">
        <v>924</v>
      </c>
      <c r="F257" t="s">
        <v>926</v>
      </c>
      <c r="G257" t="s">
        <v>869</v>
      </c>
      <c r="H257">
        <v>999.99900000000002</v>
      </c>
      <c r="J257" s="600" t="s">
        <v>767</v>
      </c>
      <c r="K257">
        <v>107119312</v>
      </c>
      <c r="L257" s="2">
        <v>44851</v>
      </c>
      <c r="M257">
        <v>21</v>
      </c>
      <c r="N257">
        <v>1</v>
      </c>
      <c r="O257">
        <v>0</v>
      </c>
      <c r="P257">
        <v>1</v>
      </c>
      <c r="Q257" t="s">
        <v>7</v>
      </c>
    </row>
    <row r="258" spans="1:22">
      <c r="A258" t="s">
        <v>867</v>
      </c>
      <c r="B258" t="s">
        <v>924</v>
      </c>
      <c r="C258">
        <v>0</v>
      </c>
      <c r="E258" t="s">
        <v>869</v>
      </c>
      <c r="F258" t="s">
        <v>924</v>
      </c>
      <c r="G258" t="s">
        <v>925</v>
      </c>
      <c r="H258">
        <v>17.59</v>
      </c>
      <c r="J258" s="600" t="s">
        <v>767</v>
      </c>
      <c r="K258">
        <v>107136874</v>
      </c>
      <c r="L258" s="2">
        <v>44863</v>
      </c>
      <c r="M258">
        <v>22</v>
      </c>
      <c r="N258">
        <v>1</v>
      </c>
      <c r="O258">
        <v>0</v>
      </c>
      <c r="P258">
        <v>1</v>
      </c>
    </row>
    <row r="259" spans="1:22">
      <c r="A259" t="s">
        <v>867</v>
      </c>
      <c r="B259" t="s">
        <v>897</v>
      </c>
      <c r="C259">
        <v>0</v>
      </c>
      <c r="D259" t="s">
        <v>6</v>
      </c>
      <c r="E259" t="s">
        <v>949</v>
      </c>
      <c r="F259" t="s">
        <v>925</v>
      </c>
      <c r="G259" t="s">
        <v>897</v>
      </c>
      <c r="H259">
        <v>0.88200000000000001</v>
      </c>
      <c r="J259" s="600" t="s">
        <v>767</v>
      </c>
      <c r="K259">
        <v>107148989</v>
      </c>
      <c r="L259" s="2">
        <v>44873</v>
      </c>
      <c r="M259">
        <v>28</v>
      </c>
      <c r="N259">
        <v>1</v>
      </c>
      <c r="O259">
        <v>7</v>
      </c>
      <c r="P259">
        <v>1</v>
      </c>
      <c r="Q259" t="s">
        <v>7</v>
      </c>
    </row>
    <row r="260" spans="1:22">
      <c r="A260" t="s">
        <v>850</v>
      </c>
      <c r="B260" t="s">
        <v>762</v>
      </c>
      <c r="C260">
        <v>0</v>
      </c>
      <c r="E260" t="s">
        <v>865</v>
      </c>
      <c r="F260" t="s">
        <v>762</v>
      </c>
      <c r="G260" t="s">
        <v>909</v>
      </c>
      <c r="H260">
        <v>2.9369999999999998</v>
      </c>
      <c r="J260" s="600" t="s">
        <v>767</v>
      </c>
      <c r="K260">
        <v>107170707</v>
      </c>
      <c r="L260" s="2">
        <v>44876</v>
      </c>
      <c r="M260">
        <v>30</v>
      </c>
      <c r="N260">
        <v>1</v>
      </c>
      <c r="O260">
        <v>0</v>
      </c>
      <c r="P260">
        <v>1</v>
      </c>
      <c r="Q260" t="s">
        <v>3</v>
      </c>
    </row>
    <row r="261" spans="1:22">
      <c r="A261" t="s">
        <v>751</v>
      </c>
      <c r="B261" t="s">
        <v>897</v>
      </c>
      <c r="C261">
        <v>4.0000000000000001E-3</v>
      </c>
      <c r="D261" t="s">
        <v>754</v>
      </c>
      <c r="E261" t="s">
        <v>949</v>
      </c>
      <c r="F261" t="s">
        <v>901</v>
      </c>
      <c r="G261" t="s">
        <v>897</v>
      </c>
      <c r="H261">
        <v>0.88600000000000001</v>
      </c>
      <c r="J261" s="600" t="s">
        <v>767</v>
      </c>
      <c r="K261">
        <v>107156144</v>
      </c>
      <c r="L261" s="2">
        <v>44882</v>
      </c>
      <c r="M261">
        <v>21</v>
      </c>
      <c r="N261">
        <v>1</v>
      </c>
      <c r="O261">
        <v>7</v>
      </c>
      <c r="P261">
        <v>1</v>
      </c>
      <c r="Q261" t="s">
        <v>7</v>
      </c>
    </row>
    <row r="262" spans="1:22">
      <c r="A262" t="s">
        <v>867</v>
      </c>
      <c r="B262" t="s">
        <v>936</v>
      </c>
      <c r="C262">
        <v>0</v>
      </c>
      <c r="E262" t="s">
        <v>869</v>
      </c>
      <c r="F262" t="s">
        <v>881</v>
      </c>
      <c r="G262" t="s">
        <v>883</v>
      </c>
      <c r="H262">
        <v>20.498000000000001</v>
      </c>
      <c r="J262" s="600" t="s">
        <v>767</v>
      </c>
      <c r="K262">
        <v>107155534</v>
      </c>
      <c r="L262" s="2">
        <v>44887</v>
      </c>
      <c r="M262">
        <v>30</v>
      </c>
      <c r="N262">
        <v>1</v>
      </c>
      <c r="O262">
        <v>0</v>
      </c>
      <c r="P262">
        <v>1</v>
      </c>
      <c r="Q262" t="s">
        <v>7</v>
      </c>
    </row>
    <row r="263" spans="1:22">
      <c r="A263" t="s">
        <v>867</v>
      </c>
      <c r="B263" t="s">
        <v>881</v>
      </c>
      <c r="C263">
        <v>0</v>
      </c>
      <c r="E263" t="s">
        <v>869</v>
      </c>
      <c r="F263" t="s">
        <v>862</v>
      </c>
      <c r="G263" t="s">
        <v>938</v>
      </c>
      <c r="H263">
        <v>17.824000000000002</v>
      </c>
      <c r="J263" s="600" t="s">
        <v>767</v>
      </c>
      <c r="K263">
        <v>107157374</v>
      </c>
      <c r="L263" s="2">
        <v>44888</v>
      </c>
      <c r="M263">
        <v>30</v>
      </c>
      <c r="N263">
        <v>1</v>
      </c>
      <c r="O263">
        <v>8</v>
      </c>
      <c r="P263">
        <v>1</v>
      </c>
      <c r="Q263" t="s">
        <v>7</v>
      </c>
    </row>
    <row r="264" spans="1:22">
      <c r="A264" t="s">
        <v>867</v>
      </c>
      <c r="B264" t="s">
        <v>887</v>
      </c>
      <c r="C264">
        <v>0</v>
      </c>
      <c r="E264" t="s">
        <v>869</v>
      </c>
      <c r="G264" t="s">
        <v>869</v>
      </c>
      <c r="H264">
        <v>0.22</v>
      </c>
      <c r="J264" s="600" t="s">
        <v>767</v>
      </c>
      <c r="K264">
        <v>107164598</v>
      </c>
      <c r="L264" s="2">
        <v>44895</v>
      </c>
      <c r="M264">
        <v>31</v>
      </c>
      <c r="N264">
        <v>1</v>
      </c>
      <c r="O264">
        <v>0</v>
      </c>
      <c r="P264">
        <v>1</v>
      </c>
    </row>
    <row r="265" spans="1:22">
      <c r="A265" t="s">
        <v>751</v>
      </c>
      <c r="B265" t="s">
        <v>949</v>
      </c>
      <c r="C265">
        <v>0</v>
      </c>
      <c r="E265" t="s">
        <v>943</v>
      </c>
      <c r="F265" t="s">
        <v>988</v>
      </c>
      <c r="G265" t="s">
        <v>949</v>
      </c>
      <c r="H265">
        <v>999.99900000000002</v>
      </c>
      <c r="J265" s="600" t="s">
        <v>767</v>
      </c>
      <c r="K265">
        <v>107197910</v>
      </c>
      <c r="L265" s="2">
        <v>44924</v>
      </c>
      <c r="M265">
        <v>23</v>
      </c>
      <c r="N265">
        <v>1</v>
      </c>
      <c r="O265">
        <v>7</v>
      </c>
      <c r="P265">
        <v>5</v>
      </c>
      <c r="Q265" t="s">
        <v>7</v>
      </c>
      <c r="R265">
        <v>36.313319999999997</v>
      </c>
      <c r="S265">
        <v>-78.553039999999996</v>
      </c>
      <c r="T265" t="s">
        <v>758</v>
      </c>
      <c r="V265">
        <v>1.9225297088210442</v>
      </c>
    </row>
    <row r="266" spans="1:22">
      <c r="A266" t="s">
        <v>751</v>
      </c>
      <c r="B266" t="s">
        <v>897</v>
      </c>
      <c r="C266">
        <v>8.5000000000000006E-2</v>
      </c>
      <c r="D266" t="s">
        <v>754</v>
      </c>
      <c r="E266" t="s">
        <v>957</v>
      </c>
      <c r="F266" t="s">
        <v>955</v>
      </c>
      <c r="G266" t="s">
        <v>897</v>
      </c>
      <c r="H266">
        <v>2.569</v>
      </c>
      <c r="J266" s="600" t="s">
        <v>767</v>
      </c>
      <c r="K266">
        <v>107211217</v>
      </c>
      <c r="L266" s="2">
        <v>44929</v>
      </c>
      <c r="M266">
        <v>19</v>
      </c>
      <c r="N266">
        <v>1</v>
      </c>
      <c r="O266">
        <v>0</v>
      </c>
      <c r="P266">
        <v>1</v>
      </c>
      <c r="Q266" t="s">
        <v>7</v>
      </c>
    </row>
    <row r="267" spans="1:22">
      <c r="A267" t="s">
        <v>867</v>
      </c>
      <c r="B267" t="s">
        <v>948</v>
      </c>
      <c r="C267">
        <v>0</v>
      </c>
      <c r="E267" t="s">
        <v>897</v>
      </c>
      <c r="F267" t="s">
        <v>949</v>
      </c>
      <c r="G267" t="s">
        <v>948</v>
      </c>
      <c r="H267">
        <v>3.2890000000000001</v>
      </c>
      <c r="J267" s="600" t="s">
        <v>767</v>
      </c>
      <c r="K267">
        <v>107210034</v>
      </c>
      <c r="L267" s="2">
        <v>44936</v>
      </c>
      <c r="M267">
        <v>17</v>
      </c>
      <c r="N267">
        <v>1</v>
      </c>
      <c r="O267">
        <v>0</v>
      </c>
      <c r="P267">
        <v>5</v>
      </c>
      <c r="Q267" t="s">
        <v>7</v>
      </c>
    </row>
    <row r="268" spans="1:22">
      <c r="A268" t="s">
        <v>751</v>
      </c>
      <c r="B268" t="s">
        <v>897</v>
      </c>
      <c r="C268">
        <v>0.1</v>
      </c>
      <c r="D268" t="s">
        <v>755</v>
      </c>
      <c r="E268" t="s">
        <v>956</v>
      </c>
      <c r="F268" t="s">
        <v>959</v>
      </c>
      <c r="G268" t="s">
        <v>897</v>
      </c>
      <c r="H268">
        <v>4.0060000000000002</v>
      </c>
      <c r="J268" s="600" t="s">
        <v>767</v>
      </c>
      <c r="K268">
        <v>107216920</v>
      </c>
      <c r="L268" s="2">
        <v>44943</v>
      </c>
      <c r="M268">
        <v>19</v>
      </c>
      <c r="N268">
        <v>3</v>
      </c>
      <c r="O268">
        <v>0</v>
      </c>
      <c r="P268">
        <v>5</v>
      </c>
      <c r="Q268" t="s">
        <v>7</v>
      </c>
    </row>
    <row r="269" spans="1:22">
      <c r="A269" t="s">
        <v>867</v>
      </c>
      <c r="B269" t="s">
        <v>897</v>
      </c>
      <c r="C269">
        <v>0</v>
      </c>
      <c r="D269" t="s">
        <v>6</v>
      </c>
      <c r="E269" t="s">
        <v>945</v>
      </c>
      <c r="F269" t="s">
        <v>949</v>
      </c>
      <c r="G269" t="s">
        <v>897</v>
      </c>
      <c r="H269">
        <v>999.99900000000002</v>
      </c>
      <c r="J269" s="600" t="s">
        <v>767</v>
      </c>
      <c r="K269">
        <v>107219393</v>
      </c>
      <c r="L269" s="2">
        <v>44943</v>
      </c>
      <c r="M269">
        <v>21</v>
      </c>
      <c r="N269">
        <v>2</v>
      </c>
      <c r="O269">
        <v>7</v>
      </c>
      <c r="P269">
        <v>1</v>
      </c>
      <c r="Q269" t="s">
        <v>3</v>
      </c>
    </row>
    <row r="270" spans="1:22">
      <c r="A270" t="s">
        <v>751</v>
      </c>
      <c r="B270" t="s">
        <v>949</v>
      </c>
      <c r="C270">
        <v>0</v>
      </c>
      <c r="E270" t="s">
        <v>943</v>
      </c>
      <c r="F270" t="s">
        <v>953</v>
      </c>
      <c r="G270" t="s">
        <v>949</v>
      </c>
      <c r="H270">
        <v>999.99900000000002</v>
      </c>
      <c r="J270" s="600" t="s">
        <v>767</v>
      </c>
      <c r="K270">
        <v>107219725</v>
      </c>
      <c r="L270" s="2">
        <v>44946</v>
      </c>
      <c r="M270">
        <v>30</v>
      </c>
      <c r="N270">
        <v>1</v>
      </c>
      <c r="O270">
        <v>7</v>
      </c>
      <c r="P270">
        <v>1</v>
      </c>
      <c r="Q270" t="s">
        <v>7</v>
      </c>
      <c r="R270">
        <v>36.312869999999997</v>
      </c>
      <c r="S270">
        <v>-78.550650000000005</v>
      </c>
      <c r="T270" t="s">
        <v>758</v>
      </c>
      <c r="V270">
        <v>2.0515162683297681</v>
      </c>
    </row>
    <row r="271" spans="1:22">
      <c r="A271" t="s">
        <v>867</v>
      </c>
      <c r="B271" t="s">
        <v>762</v>
      </c>
      <c r="C271">
        <v>0</v>
      </c>
      <c r="E271" t="s">
        <v>970</v>
      </c>
      <c r="F271" t="s">
        <v>891</v>
      </c>
      <c r="G271" t="s">
        <v>943</v>
      </c>
      <c r="H271">
        <v>1.4770000000000001</v>
      </c>
      <c r="J271" s="600" t="s">
        <v>767</v>
      </c>
      <c r="K271">
        <v>107223842</v>
      </c>
      <c r="L271" s="2">
        <v>44951</v>
      </c>
      <c r="M271">
        <v>31</v>
      </c>
      <c r="N271">
        <v>2</v>
      </c>
      <c r="O271">
        <v>0</v>
      </c>
      <c r="P271">
        <v>1</v>
      </c>
      <c r="Q271" t="s">
        <v>7</v>
      </c>
    </row>
    <row r="272" spans="1:22">
      <c r="A272" t="s">
        <v>850</v>
      </c>
      <c r="B272" t="s">
        <v>913</v>
      </c>
      <c r="C272">
        <v>0</v>
      </c>
      <c r="E272" t="s">
        <v>762</v>
      </c>
      <c r="F272" t="s">
        <v>920</v>
      </c>
      <c r="G272" t="s">
        <v>909</v>
      </c>
      <c r="H272">
        <v>3.2839999999999998</v>
      </c>
      <c r="J272" s="600" t="s">
        <v>767</v>
      </c>
      <c r="K272">
        <v>107265352</v>
      </c>
      <c r="L272" s="2">
        <v>44979</v>
      </c>
      <c r="M272">
        <v>21</v>
      </c>
      <c r="N272">
        <v>1</v>
      </c>
      <c r="O272">
        <v>0</v>
      </c>
      <c r="P272">
        <v>1</v>
      </c>
      <c r="Q272" t="s">
        <v>7</v>
      </c>
    </row>
    <row r="273" spans="1:22">
      <c r="A273" t="s">
        <v>850</v>
      </c>
      <c r="B273" t="s">
        <v>917</v>
      </c>
      <c r="C273">
        <v>0</v>
      </c>
      <c r="E273" t="s">
        <v>762</v>
      </c>
      <c r="F273" t="s">
        <v>865</v>
      </c>
      <c r="G273" t="s">
        <v>940</v>
      </c>
      <c r="H273">
        <v>5.0730000000000004</v>
      </c>
      <c r="J273" s="600" t="s">
        <v>767</v>
      </c>
      <c r="K273">
        <v>107265353</v>
      </c>
      <c r="L273" s="2">
        <v>44984</v>
      </c>
      <c r="M273">
        <v>30</v>
      </c>
      <c r="N273">
        <v>1</v>
      </c>
      <c r="O273">
        <v>0</v>
      </c>
      <c r="P273">
        <v>1</v>
      </c>
      <c r="Q273" t="s">
        <v>7</v>
      </c>
    </row>
    <row r="274" spans="1:22">
      <c r="A274" t="s">
        <v>867</v>
      </c>
      <c r="B274" t="s">
        <v>868</v>
      </c>
      <c r="C274">
        <v>0</v>
      </c>
      <c r="E274" t="s">
        <v>869</v>
      </c>
      <c r="F274" t="s">
        <v>870</v>
      </c>
      <c r="H274">
        <v>999.99900000000002</v>
      </c>
      <c r="J274" s="600" t="s">
        <v>767</v>
      </c>
      <c r="K274">
        <v>107268202</v>
      </c>
      <c r="L274" s="2">
        <v>44997</v>
      </c>
      <c r="M274">
        <v>32</v>
      </c>
      <c r="N274">
        <v>1</v>
      </c>
      <c r="O274">
        <v>0</v>
      </c>
      <c r="P274">
        <v>1</v>
      </c>
      <c r="Q274" t="s">
        <v>7</v>
      </c>
    </row>
    <row r="275" spans="1:22">
      <c r="A275" t="s">
        <v>751</v>
      </c>
      <c r="B275" t="s">
        <v>949</v>
      </c>
      <c r="C275">
        <v>0</v>
      </c>
      <c r="E275" t="s">
        <v>897</v>
      </c>
      <c r="F275" t="s">
        <v>901</v>
      </c>
      <c r="G275" t="s">
        <v>949</v>
      </c>
      <c r="H275">
        <v>14.055</v>
      </c>
      <c r="J275" s="600" t="s">
        <v>767</v>
      </c>
      <c r="K275">
        <v>107279987</v>
      </c>
      <c r="L275" s="2">
        <v>45007</v>
      </c>
      <c r="M275">
        <v>23</v>
      </c>
      <c r="N275">
        <v>1</v>
      </c>
      <c r="O275">
        <v>7</v>
      </c>
      <c r="P275">
        <v>1</v>
      </c>
      <c r="Q275" t="s">
        <v>7</v>
      </c>
    </row>
    <row r="276" spans="1:22">
      <c r="A276" t="s">
        <v>751</v>
      </c>
      <c r="B276" t="s">
        <v>949</v>
      </c>
      <c r="C276">
        <v>0</v>
      </c>
      <c r="E276" t="s">
        <v>897</v>
      </c>
      <c r="F276" t="s">
        <v>901</v>
      </c>
      <c r="G276" t="s">
        <v>949</v>
      </c>
      <c r="H276">
        <v>14.055</v>
      </c>
      <c r="J276" s="600" t="s">
        <v>767</v>
      </c>
      <c r="K276">
        <v>107286901</v>
      </c>
      <c r="L276" s="2">
        <v>45013</v>
      </c>
      <c r="M276">
        <v>30</v>
      </c>
      <c r="N276">
        <v>1</v>
      </c>
      <c r="O276">
        <v>7</v>
      </c>
      <c r="P276">
        <v>1</v>
      </c>
      <c r="Q276" t="s">
        <v>8</v>
      </c>
    </row>
    <row r="277" spans="1:22">
      <c r="A277" t="s">
        <v>751</v>
      </c>
      <c r="B277" t="s">
        <v>949</v>
      </c>
      <c r="C277">
        <v>0</v>
      </c>
      <c r="E277" t="s">
        <v>897</v>
      </c>
      <c r="G277" t="s">
        <v>949</v>
      </c>
      <c r="H277">
        <v>14.055</v>
      </c>
      <c r="J277" s="600" t="s">
        <v>767</v>
      </c>
      <c r="K277">
        <v>107321539</v>
      </c>
      <c r="L277" s="2">
        <v>45037</v>
      </c>
      <c r="M277">
        <v>23</v>
      </c>
      <c r="N277">
        <v>1</v>
      </c>
      <c r="O277">
        <v>7</v>
      </c>
      <c r="P277">
        <v>1</v>
      </c>
      <c r="Q277" t="s">
        <v>7</v>
      </c>
    </row>
    <row r="278" spans="1:22">
      <c r="A278" t="s">
        <v>867</v>
      </c>
      <c r="B278" t="s">
        <v>869</v>
      </c>
      <c r="C278">
        <v>0</v>
      </c>
      <c r="E278" t="s">
        <v>936</v>
      </c>
      <c r="F278" t="s">
        <v>937</v>
      </c>
      <c r="G278" t="s">
        <v>869</v>
      </c>
      <c r="H278">
        <v>999.99900000000002</v>
      </c>
      <c r="J278" s="600" t="s">
        <v>767</v>
      </c>
      <c r="K278">
        <v>107358288</v>
      </c>
      <c r="L278" s="2">
        <v>45070</v>
      </c>
      <c r="M278">
        <v>32</v>
      </c>
      <c r="N278">
        <v>1</v>
      </c>
      <c r="O278">
        <v>0</v>
      </c>
      <c r="P278">
        <v>1</v>
      </c>
      <c r="Q278" t="s">
        <v>3</v>
      </c>
    </row>
    <row r="279" spans="1:22">
      <c r="A279" t="s">
        <v>867</v>
      </c>
      <c r="B279" t="s">
        <v>972</v>
      </c>
      <c r="C279">
        <v>0</v>
      </c>
      <c r="E279" t="s">
        <v>762</v>
      </c>
      <c r="F279" t="s">
        <v>762</v>
      </c>
      <c r="G279" t="s">
        <v>943</v>
      </c>
      <c r="H279">
        <v>1.4770000000000001</v>
      </c>
      <c r="J279" s="600" t="s">
        <v>767</v>
      </c>
      <c r="K279">
        <v>107358296</v>
      </c>
      <c r="L279" s="2">
        <v>45071</v>
      </c>
      <c r="M279">
        <v>20</v>
      </c>
      <c r="N279">
        <v>1</v>
      </c>
      <c r="O279">
        <v>0</v>
      </c>
      <c r="P279">
        <v>1</v>
      </c>
    </row>
    <row r="280" spans="1:22">
      <c r="A280" t="s">
        <v>751</v>
      </c>
      <c r="B280" t="s">
        <v>949</v>
      </c>
      <c r="C280">
        <v>0</v>
      </c>
      <c r="E280" t="s">
        <v>897</v>
      </c>
      <c r="G280" t="s">
        <v>949</v>
      </c>
      <c r="H280">
        <v>14.055</v>
      </c>
      <c r="J280" s="600" t="s">
        <v>767</v>
      </c>
      <c r="K280">
        <v>107364884</v>
      </c>
      <c r="L280" s="2">
        <v>45084</v>
      </c>
      <c r="M280">
        <v>26</v>
      </c>
      <c r="N280">
        <v>2</v>
      </c>
      <c r="O280">
        <v>7</v>
      </c>
      <c r="P280">
        <v>1</v>
      </c>
      <c r="Q280" t="s">
        <v>7</v>
      </c>
    </row>
    <row r="281" spans="1:22">
      <c r="A281" t="s">
        <v>867</v>
      </c>
      <c r="B281" t="s">
        <v>762</v>
      </c>
      <c r="C281">
        <v>0</v>
      </c>
      <c r="E281" t="s">
        <v>970</v>
      </c>
      <c r="F281" t="s">
        <v>891</v>
      </c>
      <c r="G281" t="s">
        <v>943</v>
      </c>
      <c r="H281">
        <v>1.4770000000000001</v>
      </c>
      <c r="J281" s="600" t="s">
        <v>767</v>
      </c>
      <c r="K281">
        <v>107361796</v>
      </c>
      <c r="L281" s="2">
        <v>45087</v>
      </c>
      <c r="M281">
        <v>21</v>
      </c>
      <c r="N281">
        <v>1</v>
      </c>
      <c r="O281">
        <v>0</v>
      </c>
      <c r="P281">
        <v>1</v>
      </c>
    </row>
    <row r="282" spans="1:22">
      <c r="A282" t="s">
        <v>751</v>
      </c>
      <c r="B282" t="s">
        <v>949</v>
      </c>
      <c r="C282">
        <v>0</v>
      </c>
      <c r="E282" t="s">
        <v>943</v>
      </c>
      <c r="F282" t="s">
        <v>988</v>
      </c>
      <c r="G282" t="s">
        <v>949</v>
      </c>
      <c r="H282">
        <v>999.99900000000002</v>
      </c>
      <c r="J282" s="600" t="s">
        <v>767</v>
      </c>
      <c r="K282">
        <v>107375014</v>
      </c>
      <c r="L282" s="2">
        <v>45096</v>
      </c>
      <c r="M282">
        <v>23</v>
      </c>
      <c r="N282">
        <v>2</v>
      </c>
      <c r="O282">
        <v>7</v>
      </c>
      <c r="P282">
        <v>1</v>
      </c>
      <c r="Q282" t="s">
        <v>7</v>
      </c>
      <c r="R282">
        <v>36.313339999999997</v>
      </c>
      <c r="S282">
        <v>-78.552959999999999</v>
      </c>
      <c r="T282" t="s">
        <v>758</v>
      </c>
      <c r="V282">
        <v>1.9271159683546826</v>
      </c>
    </row>
    <row r="283" spans="1:22">
      <c r="A283" t="s">
        <v>751</v>
      </c>
      <c r="B283" t="s">
        <v>897</v>
      </c>
      <c r="C283">
        <v>0.5</v>
      </c>
      <c r="D283" t="s">
        <v>6</v>
      </c>
      <c r="E283" t="s">
        <v>957</v>
      </c>
      <c r="F283" t="s">
        <v>901</v>
      </c>
      <c r="G283" t="s">
        <v>897</v>
      </c>
      <c r="H283">
        <v>1.984</v>
      </c>
      <c r="J283" s="600" t="s">
        <v>767</v>
      </c>
      <c r="K283">
        <v>107434441</v>
      </c>
      <c r="L283" s="2">
        <v>45146</v>
      </c>
      <c r="M283">
        <v>24</v>
      </c>
      <c r="N283">
        <v>1</v>
      </c>
      <c r="O283">
        <v>8</v>
      </c>
      <c r="P283">
        <v>1</v>
      </c>
      <c r="Q283" t="s">
        <v>3</v>
      </c>
    </row>
    <row r="284" spans="1:22">
      <c r="A284" t="s">
        <v>751</v>
      </c>
      <c r="B284" t="s">
        <v>949</v>
      </c>
      <c r="C284">
        <v>2.5999999999999999E-2</v>
      </c>
      <c r="D284" t="s">
        <v>753</v>
      </c>
      <c r="E284" t="s">
        <v>943</v>
      </c>
      <c r="F284" t="s">
        <v>948</v>
      </c>
      <c r="G284" t="s">
        <v>949</v>
      </c>
      <c r="H284">
        <v>999.99900000000002</v>
      </c>
      <c r="J284" s="600" t="s">
        <v>767</v>
      </c>
      <c r="K284">
        <v>107445952</v>
      </c>
      <c r="L284" s="2">
        <v>45170</v>
      </c>
      <c r="M284">
        <v>28</v>
      </c>
      <c r="N284">
        <v>1</v>
      </c>
      <c r="O284">
        <v>0</v>
      </c>
      <c r="P284">
        <v>1</v>
      </c>
      <c r="Q284" t="s">
        <v>7</v>
      </c>
      <c r="R284">
        <v>36.313470000000002</v>
      </c>
      <c r="S284">
        <v>-78.552390000000003</v>
      </c>
      <c r="T284" t="s">
        <v>758</v>
      </c>
      <c r="V284">
        <v>1.9596986832347121</v>
      </c>
    </row>
    <row r="285" spans="1:22">
      <c r="A285" t="s">
        <v>867</v>
      </c>
      <c r="B285" t="s">
        <v>924</v>
      </c>
      <c r="C285">
        <v>0</v>
      </c>
      <c r="E285" t="s">
        <v>869</v>
      </c>
      <c r="F285" t="s">
        <v>881</v>
      </c>
      <c r="G285" t="s">
        <v>925</v>
      </c>
      <c r="H285">
        <v>17.59</v>
      </c>
      <c r="J285" s="600" t="s">
        <v>767</v>
      </c>
      <c r="K285">
        <v>107580773</v>
      </c>
      <c r="L285" s="2">
        <v>45195</v>
      </c>
      <c r="M285">
        <v>21</v>
      </c>
      <c r="N285">
        <v>1</v>
      </c>
      <c r="O285">
        <v>0</v>
      </c>
      <c r="P285">
        <v>1</v>
      </c>
      <c r="Q285" t="s">
        <v>7</v>
      </c>
    </row>
    <row r="286" spans="1:22">
      <c r="A286" t="s">
        <v>867</v>
      </c>
      <c r="B286" t="s">
        <v>936</v>
      </c>
      <c r="C286">
        <v>0</v>
      </c>
      <c r="E286" t="s">
        <v>869</v>
      </c>
      <c r="F286" t="s">
        <v>869</v>
      </c>
      <c r="G286" t="s">
        <v>883</v>
      </c>
      <c r="H286">
        <v>20.498000000000001</v>
      </c>
      <c r="J286" s="600" t="s">
        <v>767</v>
      </c>
      <c r="K286">
        <v>107528341</v>
      </c>
      <c r="L286" s="2">
        <v>45237</v>
      </c>
      <c r="M286">
        <v>24</v>
      </c>
      <c r="N286">
        <v>1</v>
      </c>
      <c r="O286">
        <v>7</v>
      </c>
      <c r="P286">
        <v>1</v>
      </c>
      <c r="Q286" t="s">
        <v>7</v>
      </c>
    </row>
    <row r="287" spans="1:22">
      <c r="A287" t="s">
        <v>751</v>
      </c>
      <c r="B287" t="s">
        <v>949</v>
      </c>
      <c r="C287">
        <v>0</v>
      </c>
      <c r="E287" t="s">
        <v>897</v>
      </c>
      <c r="F287" t="s">
        <v>901</v>
      </c>
      <c r="G287" t="s">
        <v>949</v>
      </c>
      <c r="H287">
        <v>14.055</v>
      </c>
      <c r="J287" s="600" t="s">
        <v>767</v>
      </c>
      <c r="K287">
        <v>107522308</v>
      </c>
      <c r="L287" s="2">
        <v>45239</v>
      </c>
      <c r="M287">
        <v>30</v>
      </c>
      <c r="N287">
        <v>1</v>
      </c>
      <c r="O287">
        <v>7</v>
      </c>
      <c r="P287">
        <v>5</v>
      </c>
      <c r="Q287" t="s">
        <v>8</v>
      </c>
    </row>
    <row r="288" spans="1:22">
      <c r="A288" t="s">
        <v>867</v>
      </c>
      <c r="B288" t="s">
        <v>936</v>
      </c>
      <c r="C288">
        <v>0</v>
      </c>
      <c r="E288" t="s">
        <v>869</v>
      </c>
      <c r="F288" t="s">
        <v>936</v>
      </c>
      <c r="G288" t="s">
        <v>883</v>
      </c>
      <c r="H288">
        <v>20.498000000000001</v>
      </c>
      <c r="J288" s="600" t="s">
        <v>767</v>
      </c>
      <c r="K288">
        <v>107537539</v>
      </c>
      <c r="L288" s="2">
        <v>45248</v>
      </c>
      <c r="M288">
        <v>27</v>
      </c>
      <c r="N288">
        <v>1</v>
      </c>
      <c r="O288">
        <v>0</v>
      </c>
      <c r="P288">
        <v>4</v>
      </c>
      <c r="Q288" t="s">
        <v>3</v>
      </c>
    </row>
    <row r="289" spans="1:22">
      <c r="A289" t="s">
        <v>751</v>
      </c>
      <c r="B289" t="s">
        <v>897</v>
      </c>
      <c r="C289">
        <v>0.5</v>
      </c>
      <c r="D289" t="s">
        <v>753</v>
      </c>
      <c r="E289" t="s">
        <v>956</v>
      </c>
      <c r="F289" t="s">
        <v>960</v>
      </c>
      <c r="G289" t="s">
        <v>897</v>
      </c>
      <c r="H289">
        <v>4.6059999999999999</v>
      </c>
      <c r="J289" s="600" t="s">
        <v>767</v>
      </c>
      <c r="K289">
        <v>107534530</v>
      </c>
      <c r="L289" s="2">
        <v>45249</v>
      </c>
      <c r="M289">
        <v>19</v>
      </c>
      <c r="N289">
        <v>1</v>
      </c>
      <c r="O289">
        <v>0</v>
      </c>
      <c r="P289">
        <v>1</v>
      </c>
      <c r="Q289" t="s">
        <v>7</v>
      </c>
    </row>
    <row r="290" spans="1:22">
      <c r="A290" t="s">
        <v>751</v>
      </c>
      <c r="B290" t="s">
        <v>897</v>
      </c>
      <c r="C290">
        <v>0.2</v>
      </c>
      <c r="D290" t="s">
        <v>6</v>
      </c>
      <c r="E290" t="s">
        <v>901</v>
      </c>
      <c r="F290" t="s">
        <v>949</v>
      </c>
      <c r="G290" t="s">
        <v>897</v>
      </c>
      <c r="H290">
        <v>1.008</v>
      </c>
      <c r="J290" s="600" t="s">
        <v>767</v>
      </c>
      <c r="K290">
        <v>107555740</v>
      </c>
      <c r="L290" s="2">
        <v>45258</v>
      </c>
      <c r="M290">
        <v>21</v>
      </c>
      <c r="N290">
        <v>1</v>
      </c>
      <c r="O290">
        <v>0</v>
      </c>
      <c r="P290">
        <v>1</v>
      </c>
      <c r="Q290" t="s">
        <v>7</v>
      </c>
    </row>
    <row r="291" spans="1:22">
      <c r="A291" t="s">
        <v>867</v>
      </c>
      <c r="B291" t="s">
        <v>869</v>
      </c>
      <c r="C291">
        <v>0</v>
      </c>
      <c r="E291" t="s">
        <v>926</v>
      </c>
      <c r="F291" t="s">
        <v>930</v>
      </c>
      <c r="G291" t="s">
        <v>869</v>
      </c>
      <c r="H291">
        <v>0.09</v>
      </c>
      <c r="J291" s="600" t="s">
        <v>767</v>
      </c>
      <c r="K291">
        <v>107575368</v>
      </c>
      <c r="L291" s="2">
        <v>45265</v>
      </c>
      <c r="M291">
        <v>32</v>
      </c>
      <c r="N291">
        <v>1</v>
      </c>
      <c r="O291">
        <v>0</v>
      </c>
      <c r="P291">
        <v>2</v>
      </c>
      <c r="Q291" t="s">
        <v>3</v>
      </c>
    </row>
    <row r="292" spans="1:22">
      <c r="A292" t="s">
        <v>751</v>
      </c>
      <c r="B292" t="s">
        <v>949</v>
      </c>
      <c r="C292">
        <v>0</v>
      </c>
      <c r="E292" t="s">
        <v>943</v>
      </c>
      <c r="F292" t="s">
        <v>948</v>
      </c>
      <c r="G292" t="s">
        <v>949</v>
      </c>
      <c r="H292">
        <v>999.99900000000002</v>
      </c>
      <c r="J292" s="600" t="s">
        <v>767</v>
      </c>
      <c r="K292">
        <v>107573677</v>
      </c>
      <c r="L292" s="2">
        <v>45276</v>
      </c>
      <c r="M292">
        <v>30</v>
      </c>
      <c r="N292">
        <v>1</v>
      </c>
      <c r="O292">
        <v>7</v>
      </c>
      <c r="P292">
        <v>1</v>
      </c>
      <c r="Q292" t="s">
        <v>8</v>
      </c>
      <c r="R292">
        <v>36.313330000000001</v>
      </c>
      <c r="S292">
        <v>-78.553070000000005</v>
      </c>
      <c r="T292" t="s">
        <v>758</v>
      </c>
      <c r="V292">
        <v>1.9209530182706198</v>
      </c>
    </row>
    <row r="293" spans="1:22">
      <c r="A293" t="s">
        <v>850</v>
      </c>
      <c r="B293" t="s">
        <v>762</v>
      </c>
      <c r="C293">
        <v>0.01</v>
      </c>
      <c r="D293" t="s">
        <v>754</v>
      </c>
      <c r="E293" t="s">
        <v>762</v>
      </c>
      <c r="F293" t="s">
        <v>941</v>
      </c>
      <c r="G293" t="s">
        <v>940</v>
      </c>
      <c r="H293">
        <v>5.0830000000000002</v>
      </c>
      <c r="J293" s="600" t="s">
        <v>767</v>
      </c>
      <c r="K293">
        <v>107809369</v>
      </c>
      <c r="L293" s="2">
        <v>45300</v>
      </c>
      <c r="M293">
        <v>21</v>
      </c>
      <c r="N293">
        <v>2</v>
      </c>
      <c r="P293">
        <v>1</v>
      </c>
      <c r="Q293" t="s">
        <v>7</v>
      </c>
    </row>
    <row r="294" spans="1:22">
      <c r="A294" t="s">
        <v>867</v>
      </c>
      <c r="B294" t="s">
        <v>881</v>
      </c>
      <c r="C294">
        <v>0</v>
      </c>
      <c r="E294" t="s">
        <v>869</v>
      </c>
      <c r="F294" t="s">
        <v>862</v>
      </c>
      <c r="G294" t="s">
        <v>938</v>
      </c>
      <c r="H294">
        <v>17.824000000000002</v>
      </c>
      <c r="J294" s="600" t="s">
        <v>767</v>
      </c>
      <c r="K294">
        <v>107611249</v>
      </c>
      <c r="L294" s="2">
        <v>45317</v>
      </c>
      <c r="M294">
        <v>21</v>
      </c>
      <c r="N294">
        <v>2</v>
      </c>
      <c r="O294">
        <v>0</v>
      </c>
      <c r="P294">
        <v>4</v>
      </c>
      <c r="Q294" t="s">
        <v>7</v>
      </c>
    </row>
    <row r="295" spans="1:22">
      <c r="A295" t="s">
        <v>751</v>
      </c>
      <c r="B295" t="s">
        <v>897</v>
      </c>
      <c r="C295">
        <v>0</v>
      </c>
      <c r="E295" t="s">
        <v>945</v>
      </c>
      <c r="F295" t="s">
        <v>883</v>
      </c>
      <c r="G295" t="s">
        <v>897</v>
      </c>
      <c r="H295">
        <v>999.99900000000002</v>
      </c>
      <c r="J295" s="600" t="s">
        <v>767</v>
      </c>
      <c r="K295">
        <v>107609658</v>
      </c>
      <c r="L295" s="2">
        <v>45321</v>
      </c>
      <c r="M295">
        <v>21</v>
      </c>
      <c r="N295">
        <v>1</v>
      </c>
      <c r="O295">
        <v>7</v>
      </c>
      <c r="P295">
        <v>1</v>
      </c>
      <c r="Q295" t="s">
        <v>3</v>
      </c>
    </row>
    <row r="296" spans="1:22">
      <c r="A296" t="s">
        <v>751</v>
      </c>
      <c r="B296" t="s">
        <v>949</v>
      </c>
      <c r="C296">
        <v>0</v>
      </c>
      <c r="E296" t="s">
        <v>897</v>
      </c>
      <c r="F296" t="s">
        <v>901</v>
      </c>
      <c r="G296" t="s">
        <v>949</v>
      </c>
      <c r="H296">
        <v>14.055</v>
      </c>
      <c r="J296" s="600" t="s">
        <v>767</v>
      </c>
      <c r="K296">
        <v>107636167</v>
      </c>
      <c r="L296" s="2">
        <v>45347</v>
      </c>
      <c r="M296">
        <v>28</v>
      </c>
      <c r="N296">
        <v>1</v>
      </c>
      <c r="O296">
        <v>7</v>
      </c>
      <c r="P296">
        <v>1</v>
      </c>
      <c r="Q296" t="s">
        <v>7</v>
      </c>
    </row>
    <row r="297" spans="1:22">
      <c r="A297" t="s">
        <v>751</v>
      </c>
      <c r="B297" t="s">
        <v>943</v>
      </c>
      <c r="C297">
        <v>1</v>
      </c>
      <c r="D297" t="s">
        <v>6</v>
      </c>
      <c r="E297" t="s">
        <v>973</v>
      </c>
      <c r="F297" t="s">
        <v>974</v>
      </c>
      <c r="G297" t="s">
        <v>943</v>
      </c>
      <c r="H297">
        <v>999.99900000000002</v>
      </c>
      <c r="J297" s="600" t="s">
        <v>767</v>
      </c>
      <c r="K297">
        <v>107663764</v>
      </c>
      <c r="L297" s="2">
        <v>45367</v>
      </c>
      <c r="M297">
        <v>28</v>
      </c>
      <c r="N297">
        <v>1</v>
      </c>
      <c r="O297">
        <v>0</v>
      </c>
      <c r="P297">
        <v>1</v>
      </c>
      <c r="Q297" t="s">
        <v>3</v>
      </c>
      <c r="R297">
        <v>36.238799999999998</v>
      </c>
      <c r="S297">
        <v>-78.554450000000003</v>
      </c>
      <c r="T297" t="s">
        <v>758</v>
      </c>
      <c r="V297">
        <v>5.2510331566569599</v>
      </c>
    </row>
    <row r="298" spans="1:22">
      <c r="A298" t="s">
        <v>867</v>
      </c>
      <c r="B298" t="s">
        <v>869</v>
      </c>
      <c r="C298">
        <v>0</v>
      </c>
      <c r="E298" t="s">
        <v>926</v>
      </c>
      <c r="F298" t="s">
        <v>924</v>
      </c>
      <c r="G298" t="s">
        <v>869</v>
      </c>
      <c r="H298">
        <v>0.09</v>
      </c>
      <c r="J298" s="600" t="s">
        <v>767</v>
      </c>
      <c r="K298">
        <v>107674223</v>
      </c>
      <c r="L298" s="2">
        <v>45372</v>
      </c>
      <c r="M298">
        <v>28</v>
      </c>
      <c r="N298">
        <v>1</v>
      </c>
      <c r="O298">
        <v>0</v>
      </c>
      <c r="P298">
        <v>1</v>
      </c>
      <c r="Q298" t="s">
        <v>7</v>
      </c>
    </row>
    <row r="299" spans="1:22">
      <c r="A299" t="s">
        <v>751</v>
      </c>
      <c r="B299" t="s">
        <v>897</v>
      </c>
      <c r="C299">
        <v>0</v>
      </c>
      <c r="E299" t="s">
        <v>949</v>
      </c>
      <c r="F299" t="s">
        <v>883</v>
      </c>
      <c r="G299" t="s">
        <v>897</v>
      </c>
      <c r="H299">
        <v>0.88200000000000001</v>
      </c>
      <c r="J299" s="600" t="s">
        <v>767</v>
      </c>
      <c r="K299">
        <v>107684903</v>
      </c>
      <c r="L299" s="2">
        <v>45393</v>
      </c>
      <c r="M299">
        <v>25</v>
      </c>
      <c r="N299">
        <v>1</v>
      </c>
      <c r="O299">
        <v>7</v>
      </c>
      <c r="P299">
        <v>1</v>
      </c>
      <c r="Q299" t="s">
        <v>7</v>
      </c>
    </row>
    <row r="300" spans="1:22">
      <c r="A300" t="s">
        <v>751</v>
      </c>
      <c r="B300" t="s">
        <v>949</v>
      </c>
      <c r="C300">
        <v>0</v>
      </c>
      <c r="E300" t="s">
        <v>897</v>
      </c>
      <c r="F300" t="s">
        <v>883</v>
      </c>
      <c r="G300" t="s">
        <v>949</v>
      </c>
      <c r="H300">
        <v>14.055</v>
      </c>
      <c r="J300" s="600" t="s">
        <v>767</v>
      </c>
      <c r="K300">
        <v>107684984</v>
      </c>
      <c r="L300" s="2">
        <v>45393</v>
      </c>
      <c r="M300">
        <v>21</v>
      </c>
      <c r="N300">
        <v>1</v>
      </c>
      <c r="O300">
        <v>7</v>
      </c>
      <c r="P300">
        <v>1</v>
      </c>
      <c r="Q300" t="s">
        <v>7</v>
      </c>
    </row>
    <row r="301" spans="1:22">
      <c r="A301" t="s">
        <v>850</v>
      </c>
      <c r="B301" t="s">
        <v>872</v>
      </c>
      <c r="C301">
        <v>0.25</v>
      </c>
      <c r="D301" t="s">
        <v>6</v>
      </c>
      <c r="E301" t="s">
        <v>862</v>
      </c>
      <c r="F301" t="s">
        <v>910</v>
      </c>
      <c r="G301" t="s">
        <v>909</v>
      </c>
      <c r="H301">
        <v>2.6179999999999999</v>
      </c>
      <c r="J301" s="600" t="s">
        <v>767</v>
      </c>
      <c r="K301">
        <v>107769572</v>
      </c>
      <c r="L301" s="2">
        <v>45444</v>
      </c>
      <c r="M301">
        <v>21</v>
      </c>
      <c r="N301">
        <v>1</v>
      </c>
      <c r="O301">
        <v>25</v>
      </c>
      <c r="P301">
        <v>1</v>
      </c>
      <c r="Q301" t="s">
        <v>7</v>
      </c>
    </row>
    <row r="302" spans="1:22">
      <c r="A302" t="s">
        <v>867</v>
      </c>
      <c r="B302" t="s">
        <v>924</v>
      </c>
      <c r="C302">
        <v>0</v>
      </c>
      <c r="E302" t="s">
        <v>869</v>
      </c>
      <c r="F302" t="s">
        <v>881</v>
      </c>
      <c r="G302" t="s">
        <v>925</v>
      </c>
      <c r="H302">
        <v>17.59</v>
      </c>
      <c r="J302" s="600" t="s">
        <v>767</v>
      </c>
      <c r="K302">
        <v>107751515</v>
      </c>
      <c r="L302" s="2">
        <v>45457</v>
      </c>
      <c r="M302">
        <v>30</v>
      </c>
      <c r="N302">
        <v>1</v>
      </c>
      <c r="O302">
        <v>0</v>
      </c>
      <c r="P302">
        <v>1</v>
      </c>
      <c r="Q302" t="s">
        <v>7</v>
      </c>
    </row>
    <row r="303" spans="1:22">
      <c r="A303" t="s">
        <v>867</v>
      </c>
      <c r="B303" t="s">
        <v>888</v>
      </c>
      <c r="C303">
        <v>0.2</v>
      </c>
      <c r="D303" t="s">
        <v>760</v>
      </c>
      <c r="E303" t="s">
        <v>891</v>
      </c>
      <c r="F303" t="s">
        <v>867</v>
      </c>
      <c r="H303">
        <v>999.99900000000002</v>
      </c>
      <c r="J303" s="600" t="s">
        <v>767</v>
      </c>
      <c r="K303">
        <v>107762881</v>
      </c>
      <c r="L303" s="2">
        <v>45459</v>
      </c>
      <c r="M303">
        <v>1</v>
      </c>
      <c r="N303">
        <v>1</v>
      </c>
      <c r="O303">
        <v>0</v>
      </c>
      <c r="P303">
        <v>1</v>
      </c>
      <c r="Q303" t="s">
        <v>7</v>
      </c>
    </row>
    <row r="304" spans="1:22">
      <c r="A304" t="s">
        <v>867</v>
      </c>
      <c r="B304" t="s">
        <v>924</v>
      </c>
      <c r="C304">
        <v>0</v>
      </c>
      <c r="E304" t="s">
        <v>869</v>
      </c>
      <c r="F304" t="s">
        <v>926</v>
      </c>
      <c r="G304" t="s">
        <v>925</v>
      </c>
      <c r="H304">
        <v>17.59</v>
      </c>
      <c r="J304" s="600" t="s">
        <v>767</v>
      </c>
      <c r="K304">
        <v>107781271</v>
      </c>
      <c r="L304" s="2">
        <v>45473</v>
      </c>
      <c r="M304">
        <v>30</v>
      </c>
      <c r="N304">
        <v>2</v>
      </c>
      <c r="O304">
        <v>7</v>
      </c>
      <c r="P304">
        <v>1</v>
      </c>
      <c r="Q304" t="s">
        <v>7</v>
      </c>
    </row>
    <row r="305" spans="1:22">
      <c r="A305" t="s">
        <v>850</v>
      </c>
      <c r="B305" t="s">
        <v>762</v>
      </c>
      <c r="C305">
        <v>6.0000000000000001E-3</v>
      </c>
      <c r="D305" t="s">
        <v>755</v>
      </c>
      <c r="E305" t="s">
        <v>918</v>
      </c>
      <c r="F305" t="s">
        <v>916</v>
      </c>
      <c r="G305" t="s">
        <v>909</v>
      </c>
      <c r="H305">
        <v>3.22</v>
      </c>
      <c r="J305" s="600" t="s">
        <v>767</v>
      </c>
      <c r="K305">
        <v>107809377</v>
      </c>
      <c r="L305" s="2">
        <v>45496</v>
      </c>
      <c r="M305">
        <v>21</v>
      </c>
      <c r="N305">
        <v>1</v>
      </c>
      <c r="O305">
        <v>0</v>
      </c>
      <c r="P305">
        <v>1</v>
      </c>
      <c r="Q305" t="s">
        <v>3</v>
      </c>
    </row>
    <row r="306" spans="1:22">
      <c r="A306" t="s">
        <v>850</v>
      </c>
      <c r="B306" t="s">
        <v>913</v>
      </c>
      <c r="C306">
        <v>0</v>
      </c>
      <c r="E306" t="s">
        <v>762</v>
      </c>
      <c r="F306" t="s">
        <v>913</v>
      </c>
      <c r="G306" t="s">
        <v>909</v>
      </c>
      <c r="H306">
        <v>3.2839999999999998</v>
      </c>
      <c r="J306" s="600" t="s">
        <v>767</v>
      </c>
      <c r="K306">
        <v>107809381</v>
      </c>
      <c r="L306" s="2">
        <v>45496</v>
      </c>
      <c r="M306">
        <v>22</v>
      </c>
      <c r="N306">
        <v>1</v>
      </c>
      <c r="O306">
        <v>7</v>
      </c>
      <c r="P306">
        <v>1</v>
      </c>
      <c r="Q306" t="s">
        <v>7</v>
      </c>
    </row>
    <row r="307" spans="1:22">
      <c r="A307" t="s">
        <v>751</v>
      </c>
      <c r="B307" t="s">
        <v>888</v>
      </c>
      <c r="C307">
        <v>0</v>
      </c>
      <c r="D307" t="s">
        <v>6</v>
      </c>
      <c r="E307" t="s">
        <v>892</v>
      </c>
      <c r="F307" t="s">
        <v>893</v>
      </c>
      <c r="H307">
        <v>999.99900000000002</v>
      </c>
      <c r="J307" s="600" t="s">
        <v>767</v>
      </c>
      <c r="K307">
        <v>107818720</v>
      </c>
      <c r="L307" s="2">
        <v>45511</v>
      </c>
      <c r="M307">
        <v>24</v>
      </c>
      <c r="N307">
        <v>1</v>
      </c>
      <c r="O307">
        <v>0</v>
      </c>
      <c r="P307">
        <v>1</v>
      </c>
      <c r="Q307" t="s">
        <v>7</v>
      </c>
    </row>
    <row r="308" spans="1:22">
      <c r="A308" t="s">
        <v>867</v>
      </c>
      <c r="B308" t="s">
        <v>891</v>
      </c>
      <c r="C308">
        <v>0</v>
      </c>
      <c r="E308" t="s">
        <v>869</v>
      </c>
      <c r="F308" t="s">
        <v>907</v>
      </c>
      <c r="G308" t="s">
        <v>953</v>
      </c>
      <c r="H308">
        <v>2.6850000000000001</v>
      </c>
      <c r="J308" s="600" t="s">
        <v>767</v>
      </c>
      <c r="K308">
        <v>107817082</v>
      </c>
      <c r="L308" s="2">
        <v>45515</v>
      </c>
      <c r="M308">
        <v>23</v>
      </c>
      <c r="N308">
        <v>1</v>
      </c>
      <c r="O308">
        <v>0</v>
      </c>
      <c r="P308">
        <v>1</v>
      </c>
      <c r="Q308" t="s">
        <v>7</v>
      </c>
    </row>
    <row r="309" spans="1:22">
      <c r="A309" t="s">
        <v>850</v>
      </c>
      <c r="B309" t="s">
        <v>762</v>
      </c>
      <c r="C309">
        <v>3.7999999999999999E-2</v>
      </c>
      <c r="D309" t="s">
        <v>6</v>
      </c>
      <c r="E309" t="s">
        <v>919</v>
      </c>
      <c r="F309" t="s">
        <v>918</v>
      </c>
      <c r="G309" t="s">
        <v>909</v>
      </c>
      <c r="H309">
        <v>3.2469999999999999</v>
      </c>
      <c r="J309" s="600" t="s">
        <v>767</v>
      </c>
      <c r="K309">
        <v>107834102</v>
      </c>
      <c r="L309" s="2">
        <v>45527</v>
      </c>
      <c r="M309">
        <v>28</v>
      </c>
      <c r="N309">
        <v>1</v>
      </c>
      <c r="O309">
        <v>0</v>
      </c>
      <c r="P309">
        <v>1</v>
      </c>
      <c r="Q309" t="s">
        <v>7</v>
      </c>
    </row>
    <row r="310" spans="1:22">
      <c r="A310" t="s">
        <v>751</v>
      </c>
      <c r="B310" t="s">
        <v>949</v>
      </c>
      <c r="C310">
        <v>0</v>
      </c>
      <c r="E310" t="s">
        <v>897</v>
      </c>
      <c r="F310" t="s">
        <v>988</v>
      </c>
      <c r="G310" t="s">
        <v>949</v>
      </c>
      <c r="H310">
        <v>14.055</v>
      </c>
      <c r="J310" s="600" t="s">
        <v>767</v>
      </c>
      <c r="K310">
        <v>107839492</v>
      </c>
      <c r="L310" s="2">
        <v>45533</v>
      </c>
      <c r="M310">
        <v>30</v>
      </c>
      <c r="N310">
        <v>1</v>
      </c>
      <c r="O310">
        <v>7</v>
      </c>
      <c r="P310">
        <v>1</v>
      </c>
      <c r="Q310" t="s">
        <v>7</v>
      </c>
    </row>
    <row r="311" spans="1:22">
      <c r="A311" t="s">
        <v>751</v>
      </c>
      <c r="B311" t="s">
        <v>949</v>
      </c>
      <c r="C311">
        <v>0</v>
      </c>
      <c r="E311" t="s">
        <v>943</v>
      </c>
      <c r="F311" t="s">
        <v>988</v>
      </c>
      <c r="G311" t="s">
        <v>949</v>
      </c>
      <c r="H311">
        <v>999.99900000000002</v>
      </c>
      <c r="J311" s="600" t="s">
        <v>767</v>
      </c>
      <c r="K311">
        <v>107862265</v>
      </c>
      <c r="L311" s="2">
        <v>45554</v>
      </c>
      <c r="M311">
        <v>24</v>
      </c>
      <c r="N311">
        <v>1</v>
      </c>
      <c r="O311">
        <v>7</v>
      </c>
      <c r="P311">
        <v>1</v>
      </c>
      <c r="Q311" t="s">
        <v>3</v>
      </c>
      <c r="R311">
        <v>36.313448000000001</v>
      </c>
      <c r="S311">
        <v>-78.552729999999997</v>
      </c>
      <c r="T311" t="s">
        <v>758</v>
      </c>
      <c r="V311">
        <v>1.9407247590354566</v>
      </c>
    </row>
    <row r="312" spans="1:22">
      <c r="A312" t="s">
        <v>751</v>
      </c>
      <c r="B312" t="s">
        <v>949</v>
      </c>
      <c r="C312">
        <v>0</v>
      </c>
      <c r="E312" t="s">
        <v>897</v>
      </c>
      <c r="F312" t="s">
        <v>899</v>
      </c>
      <c r="G312" t="s">
        <v>949</v>
      </c>
      <c r="H312">
        <v>14.055</v>
      </c>
      <c r="J312" s="600" t="s">
        <v>767</v>
      </c>
      <c r="K312">
        <v>107892257</v>
      </c>
      <c r="L312" s="2">
        <v>45583</v>
      </c>
      <c r="M312">
        <v>30</v>
      </c>
      <c r="N312">
        <v>1</v>
      </c>
      <c r="O312">
        <v>7</v>
      </c>
      <c r="P312">
        <v>1</v>
      </c>
      <c r="Q312" t="s">
        <v>3</v>
      </c>
    </row>
    <row r="313" spans="1:22">
      <c r="A313" t="s">
        <v>850</v>
      </c>
      <c r="B313" t="s">
        <v>865</v>
      </c>
      <c r="C313">
        <v>0</v>
      </c>
      <c r="E313" t="s">
        <v>762</v>
      </c>
      <c r="F313" t="s">
        <v>984</v>
      </c>
      <c r="G313" t="s">
        <v>985</v>
      </c>
      <c r="H313">
        <v>0</v>
      </c>
      <c r="J313" s="600" t="s">
        <v>767</v>
      </c>
      <c r="K313">
        <v>107943710</v>
      </c>
      <c r="L313" s="2">
        <v>45586</v>
      </c>
      <c r="M313">
        <v>31</v>
      </c>
      <c r="N313">
        <v>1</v>
      </c>
      <c r="O313">
        <v>0</v>
      </c>
      <c r="P313">
        <v>1</v>
      </c>
      <c r="Q313" t="s">
        <v>7</v>
      </c>
    </row>
    <row r="314" spans="1:22">
      <c r="A314" t="s">
        <v>751</v>
      </c>
      <c r="B314" t="s">
        <v>897</v>
      </c>
      <c r="C314">
        <v>0.2</v>
      </c>
      <c r="D314" t="s">
        <v>754</v>
      </c>
      <c r="E314" t="s">
        <v>901</v>
      </c>
      <c r="F314" t="s">
        <v>899</v>
      </c>
      <c r="G314" t="s">
        <v>897</v>
      </c>
      <c r="H314">
        <v>1.4079999999999999</v>
      </c>
      <c r="J314" s="600" t="s">
        <v>767</v>
      </c>
      <c r="K314">
        <v>107906579</v>
      </c>
      <c r="L314" s="2">
        <v>45590</v>
      </c>
      <c r="M314">
        <v>21</v>
      </c>
      <c r="N314">
        <v>1</v>
      </c>
      <c r="O314">
        <v>4</v>
      </c>
      <c r="P314">
        <v>1</v>
      </c>
      <c r="Q314" t="s">
        <v>8</v>
      </c>
    </row>
    <row r="315" spans="1:22">
      <c r="A315" t="s">
        <v>867</v>
      </c>
      <c r="B315" t="s">
        <v>869</v>
      </c>
      <c r="C315">
        <v>0</v>
      </c>
      <c r="E315" t="s">
        <v>902</v>
      </c>
      <c r="F315" t="s">
        <v>891</v>
      </c>
      <c r="G315" t="s">
        <v>869</v>
      </c>
      <c r="H315">
        <v>0.4</v>
      </c>
      <c r="J315" s="600" t="s">
        <v>767</v>
      </c>
      <c r="K315">
        <v>107902716</v>
      </c>
      <c r="L315" s="2">
        <v>45595</v>
      </c>
      <c r="M315">
        <v>30</v>
      </c>
      <c r="N315">
        <v>1</v>
      </c>
      <c r="O315">
        <v>0</v>
      </c>
      <c r="P315">
        <v>5</v>
      </c>
    </row>
    <row r="316" spans="1:22">
      <c r="A316" t="s">
        <v>867</v>
      </c>
      <c r="B316" t="s">
        <v>936</v>
      </c>
      <c r="C316">
        <v>0</v>
      </c>
      <c r="E316" t="s">
        <v>869</v>
      </c>
      <c r="F316" t="s">
        <v>936</v>
      </c>
      <c r="G316" t="s">
        <v>883</v>
      </c>
      <c r="H316">
        <v>20.498000000000001</v>
      </c>
      <c r="J316" s="600" t="s">
        <v>767</v>
      </c>
      <c r="K316">
        <v>107914606</v>
      </c>
      <c r="L316" s="2">
        <v>45605</v>
      </c>
      <c r="M316">
        <v>30</v>
      </c>
      <c r="N316">
        <v>1</v>
      </c>
      <c r="O316">
        <v>0</v>
      </c>
      <c r="P316">
        <v>1</v>
      </c>
      <c r="Q316" t="s">
        <v>7</v>
      </c>
    </row>
    <row r="317" spans="1:22">
      <c r="A317" t="s">
        <v>751</v>
      </c>
      <c r="B317" t="s">
        <v>949</v>
      </c>
      <c r="C317">
        <v>1.9E-2</v>
      </c>
      <c r="D317" t="s">
        <v>6</v>
      </c>
      <c r="E317" t="s">
        <v>897</v>
      </c>
      <c r="F317" t="s">
        <v>988</v>
      </c>
      <c r="G317" t="s">
        <v>949</v>
      </c>
      <c r="H317">
        <v>14.074</v>
      </c>
      <c r="J317" s="600" t="s">
        <v>767</v>
      </c>
      <c r="K317">
        <v>107935430</v>
      </c>
      <c r="L317" s="2">
        <v>45605</v>
      </c>
      <c r="M317">
        <v>19</v>
      </c>
      <c r="N317">
        <v>2</v>
      </c>
      <c r="O317">
        <v>0</v>
      </c>
      <c r="P317">
        <v>4</v>
      </c>
      <c r="Q317" t="s">
        <v>7</v>
      </c>
    </row>
    <row r="318" spans="1:22">
      <c r="A318" t="s">
        <v>867</v>
      </c>
      <c r="B318" t="s">
        <v>924</v>
      </c>
      <c r="C318">
        <v>0</v>
      </c>
      <c r="E318" t="s">
        <v>869</v>
      </c>
      <c r="F318" t="s">
        <v>881</v>
      </c>
      <c r="G318" t="s">
        <v>925</v>
      </c>
      <c r="H318">
        <v>17.59</v>
      </c>
      <c r="J318" s="600" t="s">
        <v>767</v>
      </c>
      <c r="K318">
        <v>107917628</v>
      </c>
      <c r="L318" s="2">
        <v>45608</v>
      </c>
      <c r="M318">
        <v>21</v>
      </c>
      <c r="N318">
        <v>1</v>
      </c>
      <c r="O318">
        <v>0</v>
      </c>
      <c r="P318">
        <v>1</v>
      </c>
      <c r="Q318" t="s">
        <v>7</v>
      </c>
    </row>
    <row r="319" spans="1:22">
      <c r="A319" t="s">
        <v>850</v>
      </c>
      <c r="B319" t="s">
        <v>762</v>
      </c>
      <c r="C319">
        <v>0</v>
      </c>
      <c r="E319" t="s">
        <v>916</v>
      </c>
      <c r="F319" t="s">
        <v>762</v>
      </c>
      <c r="G319" t="s">
        <v>909</v>
      </c>
      <c r="H319">
        <v>3.206</v>
      </c>
      <c r="J319" s="600" t="s">
        <v>767</v>
      </c>
      <c r="K319">
        <v>107938369</v>
      </c>
      <c r="L319" s="2">
        <v>45611</v>
      </c>
      <c r="M319">
        <v>1</v>
      </c>
      <c r="N319">
        <v>2</v>
      </c>
      <c r="O319">
        <v>25</v>
      </c>
      <c r="P319">
        <v>4</v>
      </c>
      <c r="Q319" t="s">
        <v>7</v>
      </c>
    </row>
    <row r="320" spans="1:22">
      <c r="A320" t="s">
        <v>751</v>
      </c>
      <c r="B320" t="s">
        <v>897</v>
      </c>
      <c r="C320">
        <v>0.2</v>
      </c>
      <c r="D320" t="s">
        <v>6</v>
      </c>
      <c r="E320" t="s">
        <v>948</v>
      </c>
      <c r="F320" t="s">
        <v>957</v>
      </c>
      <c r="G320" t="s">
        <v>897</v>
      </c>
      <c r="H320">
        <v>2.9039999999999999</v>
      </c>
      <c r="J320" s="600" t="s">
        <v>767</v>
      </c>
      <c r="K320">
        <v>107935293</v>
      </c>
      <c r="L320" s="2">
        <v>45619</v>
      </c>
      <c r="M320">
        <v>17</v>
      </c>
      <c r="N320">
        <v>1</v>
      </c>
      <c r="O320">
        <v>0</v>
      </c>
      <c r="P320">
        <v>1</v>
      </c>
      <c r="Q320" t="s">
        <v>7</v>
      </c>
    </row>
    <row r="321" spans="1:22">
      <c r="A321" t="s">
        <v>751</v>
      </c>
      <c r="B321" t="s">
        <v>949</v>
      </c>
      <c r="C321">
        <v>1.9E-2</v>
      </c>
      <c r="D321" t="s">
        <v>6</v>
      </c>
      <c r="E321" t="s">
        <v>897</v>
      </c>
      <c r="F321" t="s">
        <v>964</v>
      </c>
      <c r="G321" t="s">
        <v>949</v>
      </c>
      <c r="H321">
        <v>14.074</v>
      </c>
      <c r="J321" s="600" t="s">
        <v>767</v>
      </c>
      <c r="K321">
        <v>107980034</v>
      </c>
      <c r="L321" s="2">
        <v>45661</v>
      </c>
      <c r="M321">
        <v>21</v>
      </c>
      <c r="N321">
        <v>1</v>
      </c>
      <c r="O321">
        <v>7</v>
      </c>
      <c r="P321">
        <v>1</v>
      </c>
      <c r="Q321" t="s">
        <v>7</v>
      </c>
    </row>
    <row r="322" spans="1:22">
      <c r="A322" t="s">
        <v>850</v>
      </c>
      <c r="B322" t="s">
        <v>882</v>
      </c>
      <c r="C322">
        <v>0</v>
      </c>
      <c r="E322" t="s">
        <v>762</v>
      </c>
      <c r="F322" t="s">
        <v>883</v>
      </c>
      <c r="H322">
        <v>999.99900000000002</v>
      </c>
      <c r="J322" s="600" t="s">
        <v>767</v>
      </c>
      <c r="K322">
        <v>107993196</v>
      </c>
      <c r="L322" s="2">
        <v>45661</v>
      </c>
      <c r="M322">
        <v>20</v>
      </c>
      <c r="N322">
        <v>1</v>
      </c>
      <c r="O322">
        <v>0</v>
      </c>
      <c r="P322">
        <v>1</v>
      </c>
      <c r="Q322" t="s">
        <v>7</v>
      </c>
    </row>
    <row r="323" spans="1:22">
      <c r="A323" t="s">
        <v>867</v>
      </c>
      <c r="B323" t="s">
        <v>897</v>
      </c>
      <c r="C323">
        <v>0.2</v>
      </c>
      <c r="D323" t="s">
        <v>755</v>
      </c>
      <c r="E323" t="s">
        <v>956</v>
      </c>
      <c r="F323" t="s">
        <v>948</v>
      </c>
      <c r="G323" t="s">
        <v>897</v>
      </c>
      <c r="H323">
        <v>3.9060000000000001</v>
      </c>
      <c r="J323" s="600" t="s">
        <v>767</v>
      </c>
      <c r="K323">
        <v>107996289</v>
      </c>
      <c r="L323" s="2">
        <v>45670</v>
      </c>
      <c r="M323">
        <v>19</v>
      </c>
      <c r="N323">
        <v>2</v>
      </c>
      <c r="O323">
        <v>0</v>
      </c>
      <c r="P323">
        <v>5</v>
      </c>
    </row>
    <row r="324" spans="1:22">
      <c r="A324" t="s">
        <v>867</v>
      </c>
      <c r="B324" t="s">
        <v>869</v>
      </c>
      <c r="C324">
        <v>0</v>
      </c>
      <c r="E324" t="s">
        <v>930</v>
      </c>
      <c r="F324" t="s">
        <v>926</v>
      </c>
      <c r="G324" t="s">
        <v>869</v>
      </c>
      <c r="H324">
        <v>999.99900000000002</v>
      </c>
      <c r="J324" s="600" t="s">
        <v>767</v>
      </c>
      <c r="K324">
        <v>108030889</v>
      </c>
      <c r="L324" s="2">
        <v>45691</v>
      </c>
      <c r="M324">
        <v>13</v>
      </c>
      <c r="N324">
        <v>1</v>
      </c>
      <c r="O324">
        <v>0</v>
      </c>
      <c r="P324">
        <v>4</v>
      </c>
      <c r="Q324" t="s">
        <v>7</v>
      </c>
    </row>
    <row r="325" spans="1:22">
      <c r="A325" t="s">
        <v>867</v>
      </c>
      <c r="B325" t="s">
        <v>869</v>
      </c>
      <c r="C325">
        <v>0</v>
      </c>
      <c r="E325" t="s">
        <v>931</v>
      </c>
      <c r="F325" t="s">
        <v>891</v>
      </c>
      <c r="G325" t="s">
        <v>869</v>
      </c>
      <c r="H325">
        <v>0.47</v>
      </c>
      <c r="J325" s="600" t="s">
        <v>767</v>
      </c>
      <c r="K325">
        <v>108009651</v>
      </c>
      <c r="L325" s="2">
        <v>45692</v>
      </c>
      <c r="M325">
        <v>30</v>
      </c>
      <c r="N325">
        <v>1</v>
      </c>
      <c r="O325">
        <v>0</v>
      </c>
      <c r="P325">
        <v>1</v>
      </c>
      <c r="Q325" t="s">
        <v>7</v>
      </c>
    </row>
    <row r="326" spans="1:22">
      <c r="A326" t="s">
        <v>867</v>
      </c>
      <c r="B326" t="s">
        <v>897</v>
      </c>
      <c r="C326">
        <v>0.17</v>
      </c>
      <c r="D326" t="s">
        <v>755</v>
      </c>
      <c r="E326" t="s">
        <v>956</v>
      </c>
      <c r="F326" t="s">
        <v>948</v>
      </c>
      <c r="G326" t="s">
        <v>897</v>
      </c>
      <c r="H326">
        <v>3.9359999999999999</v>
      </c>
      <c r="J326" s="600" t="s">
        <v>767</v>
      </c>
      <c r="K326">
        <v>108035183</v>
      </c>
      <c r="L326" s="2">
        <v>45699</v>
      </c>
      <c r="M326">
        <v>5</v>
      </c>
      <c r="N326">
        <v>2</v>
      </c>
      <c r="O326">
        <v>0</v>
      </c>
      <c r="P326">
        <v>1</v>
      </c>
      <c r="Q326" t="s">
        <v>8</v>
      </c>
    </row>
    <row r="327" spans="1:22">
      <c r="A327" t="s">
        <v>867</v>
      </c>
      <c r="B327" t="s">
        <v>762</v>
      </c>
      <c r="C327">
        <v>0</v>
      </c>
      <c r="E327" t="s">
        <v>762</v>
      </c>
      <c r="F327" t="s">
        <v>887</v>
      </c>
      <c r="G327" t="s">
        <v>940</v>
      </c>
      <c r="H327">
        <v>5.0730000000000004</v>
      </c>
      <c r="J327" s="600" t="s">
        <v>767</v>
      </c>
      <c r="K327">
        <v>108030890</v>
      </c>
      <c r="L327" s="2">
        <v>45706</v>
      </c>
      <c r="M327">
        <v>19</v>
      </c>
      <c r="N327">
        <v>1</v>
      </c>
      <c r="O327">
        <v>0</v>
      </c>
      <c r="P327">
        <v>1</v>
      </c>
      <c r="Q327" t="s">
        <v>7</v>
      </c>
    </row>
    <row r="328" spans="1:22">
      <c r="A328" t="s">
        <v>850</v>
      </c>
      <c r="B328" t="s">
        <v>762</v>
      </c>
      <c r="C328">
        <v>0</v>
      </c>
      <c r="E328" t="s">
        <v>862</v>
      </c>
      <c r="G328" t="s">
        <v>909</v>
      </c>
      <c r="H328">
        <v>2.8679999999999999</v>
      </c>
      <c r="J328" s="600" t="s">
        <v>767</v>
      </c>
      <c r="K328">
        <v>108048415</v>
      </c>
      <c r="L328" s="2">
        <v>45727</v>
      </c>
      <c r="M328">
        <v>30</v>
      </c>
      <c r="N328">
        <v>1</v>
      </c>
      <c r="O328">
        <v>0</v>
      </c>
      <c r="P328">
        <v>1</v>
      </c>
      <c r="Q328" t="s">
        <v>7</v>
      </c>
    </row>
    <row r="329" spans="1:22">
      <c r="A329" t="s">
        <v>751</v>
      </c>
      <c r="B329" t="s">
        <v>901</v>
      </c>
      <c r="C329">
        <v>0</v>
      </c>
      <c r="E329" t="s">
        <v>897</v>
      </c>
      <c r="G329" t="s">
        <v>901</v>
      </c>
      <c r="H329">
        <v>10.077999999999999</v>
      </c>
      <c r="J329" s="600" t="s">
        <v>767</v>
      </c>
      <c r="K329">
        <v>108054666</v>
      </c>
      <c r="L329" s="2">
        <v>45733</v>
      </c>
      <c r="M329">
        <v>32</v>
      </c>
      <c r="N329">
        <v>1</v>
      </c>
      <c r="O329">
        <v>8</v>
      </c>
      <c r="P329">
        <v>1</v>
      </c>
      <c r="Q329" t="s">
        <v>7</v>
      </c>
    </row>
    <row r="330" spans="1:22">
      <c r="A330" t="s">
        <v>850</v>
      </c>
      <c r="B330" t="s">
        <v>913</v>
      </c>
      <c r="C330">
        <v>0</v>
      </c>
      <c r="E330" t="s">
        <v>762</v>
      </c>
      <c r="F330" t="s">
        <v>851</v>
      </c>
      <c r="G330" t="s">
        <v>909</v>
      </c>
      <c r="H330">
        <v>3.2839999999999998</v>
      </c>
      <c r="J330" s="600" t="s">
        <v>767</v>
      </c>
      <c r="K330">
        <v>108062653</v>
      </c>
      <c r="L330" s="2">
        <v>45740</v>
      </c>
      <c r="M330">
        <v>30</v>
      </c>
      <c r="N330">
        <v>2</v>
      </c>
      <c r="O330">
        <v>0</v>
      </c>
      <c r="P330">
        <v>1</v>
      </c>
      <c r="Q330" t="s">
        <v>7</v>
      </c>
    </row>
    <row r="331" spans="1:22">
      <c r="A331" t="s">
        <v>850</v>
      </c>
      <c r="B331" t="s">
        <v>851</v>
      </c>
      <c r="C331">
        <v>0</v>
      </c>
      <c r="E331" t="s">
        <v>762</v>
      </c>
      <c r="F331" t="s">
        <v>762</v>
      </c>
      <c r="H331">
        <v>999.99900000000002</v>
      </c>
      <c r="J331" s="600" t="s">
        <v>767</v>
      </c>
      <c r="K331">
        <v>108062655</v>
      </c>
      <c r="L331" s="2">
        <v>45745</v>
      </c>
      <c r="M331">
        <v>28</v>
      </c>
      <c r="N331">
        <v>1</v>
      </c>
      <c r="O331">
        <v>0</v>
      </c>
      <c r="P331">
        <v>1</v>
      </c>
      <c r="Q331" t="s">
        <v>7</v>
      </c>
    </row>
    <row r="332" spans="1:22">
      <c r="A332" t="s">
        <v>850</v>
      </c>
      <c r="B332" t="s">
        <v>913</v>
      </c>
      <c r="C332">
        <v>0</v>
      </c>
      <c r="E332" t="s">
        <v>762</v>
      </c>
      <c r="F332" t="s">
        <v>921</v>
      </c>
      <c r="G332" t="s">
        <v>909</v>
      </c>
      <c r="H332">
        <v>3.2839999999999998</v>
      </c>
      <c r="J332" s="600" t="s">
        <v>767</v>
      </c>
      <c r="K332">
        <v>108088763</v>
      </c>
      <c r="L332" s="2">
        <v>45752</v>
      </c>
      <c r="M332">
        <v>20</v>
      </c>
      <c r="N332">
        <v>1</v>
      </c>
      <c r="O332">
        <v>0</v>
      </c>
      <c r="P332">
        <v>2</v>
      </c>
      <c r="Q332" t="s">
        <v>7</v>
      </c>
    </row>
    <row r="333" spans="1:22">
      <c r="A333" t="s">
        <v>867</v>
      </c>
      <c r="B333" t="s">
        <v>897</v>
      </c>
      <c r="C333">
        <v>0</v>
      </c>
      <c r="E333" t="s">
        <v>945</v>
      </c>
      <c r="F333" t="s">
        <v>883</v>
      </c>
      <c r="G333" t="s">
        <v>897</v>
      </c>
      <c r="H333">
        <v>999.99900000000002</v>
      </c>
      <c r="J333" s="600" t="s">
        <v>767</v>
      </c>
      <c r="K333">
        <v>108097246</v>
      </c>
      <c r="L333" s="2">
        <v>45765</v>
      </c>
      <c r="M333">
        <v>30</v>
      </c>
      <c r="N333">
        <v>1</v>
      </c>
      <c r="O333">
        <v>0</v>
      </c>
      <c r="P333">
        <v>1</v>
      </c>
      <c r="Q333" t="s">
        <v>7</v>
      </c>
    </row>
    <row r="334" spans="1:22">
      <c r="A334" t="s">
        <v>867</v>
      </c>
      <c r="B334" t="s">
        <v>930</v>
      </c>
      <c r="C334">
        <v>0</v>
      </c>
      <c r="E334" t="s">
        <v>869</v>
      </c>
      <c r="F334" t="s">
        <v>933</v>
      </c>
      <c r="G334" t="s">
        <v>869</v>
      </c>
      <c r="H334">
        <v>999.99900000000002</v>
      </c>
      <c r="J334" s="600" t="s">
        <v>767</v>
      </c>
      <c r="K334">
        <v>108090115</v>
      </c>
      <c r="L334" s="2">
        <v>45766</v>
      </c>
      <c r="M334">
        <v>30</v>
      </c>
      <c r="N334">
        <v>1</v>
      </c>
      <c r="O334">
        <v>7</v>
      </c>
      <c r="P334">
        <v>4</v>
      </c>
      <c r="Q334" t="s">
        <v>8</v>
      </c>
      <c r="R334">
        <v>36.299999999999997</v>
      </c>
      <c r="S334">
        <v>-78.59</v>
      </c>
      <c r="T334" t="s">
        <v>752</v>
      </c>
      <c r="V334">
        <v>0.70859482777791605</v>
      </c>
    </row>
    <row r="335" spans="1:22">
      <c r="A335" t="s">
        <v>751</v>
      </c>
      <c r="B335" t="s">
        <v>897</v>
      </c>
      <c r="C335">
        <v>0</v>
      </c>
      <c r="E335" t="s">
        <v>949</v>
      </c>
      <c r="F335" t="s">
        <v>890</v>
      </c>
      <c r="G335" t="s">
        <v>897</v>
      </c>
      <c r="H335">
        <v>0.88200000000000001</v>
      </c>
      <c r="J335" s="600" t="s">
        <v>767</v>
      </c>
      <c r="K335">
        <v>108090119</v>
      </c>
      <c r="L335" s="2">
        <v>45769</v>
      </c>
      <c r="M335">
        <v>30</v>
      </c>
      <c r="N335">
        <v>1</v>
      </c>
      <c r="O335">
        <v>7</v>
      </c>
      <c r="P335">
        <v>1</v>
      </c>
      <c r="Q335" t="s">
        <v>3</v>
      </c>
    </row>
    <row r="336" spans="1:22">
      <c r="A336" t="s">
        <v>751</v>
      </c>
      <c r="B336" t="s">
        <v>897</v>
      </c>
      <c r="C336">
        <v>0.1</v>
      </c>
      <c r="D336" t="s">
        <v>755</v>
      </c>
      <c r="E336" t="s">
        <v>962</v>
      </c>
      <c r="F336" t="s">
        <v>956</v>
      </c>
      <c r="G336" t="s">
        <v>897</v>
      </c>
      <c r="H336">
        <v>999.99900000000002</v>
      </c>
      <c r="J336" s="600" t="s">
        <v>767</v>
      </c>
      <c r="K336">
        <v>108090079</v>
      </c>
      <c r="L336" s="2">
        <v>45771</v>
      </c>
      <c r="M336">
        <v>19</v>
      </c>
      <c r="N336">
        <v>1</v>
      </c>
      <c r="O336">
        <v>0</v>
      </c>
      <c r="P336">
        <v>1</v>
      </c>
      <c r="Q336" t="s">
        <v>3</v>
      </c>
    </row>
    <row r="337" spans="1:22">
      <c r="A337" t="s">
        <v>867</v>
      </c>
      <c r="B337" t="s">
        <v>886</v>
      </c>
      <c r="C337">
        <v>0</v>
      </c>
      <c r="E337" t="s">
        <v>869</v>
      </c>
      <c r="F337" t="s">
        <v>869</v>
      </c>
      <c r="H337">
        <v>999.99900000000002</v>
      </c>
      <c r="J337" s="600" t="s">
        <v>767</v>
      </c>
      <c r="K337">
        <v>108090408</v>
      </c>
      <c r="L337" s="2">
        <v>45772</v>
      </c>
      <c r="M337">
        <v>31</v>
      </c>
      <c r="N337">
        <v>1</v>
      </c>
      <c r="O337">
        <v>0</v>
      </c>
      <c r="P337">
        <v>2</v>
      </c>
      <c r="Q337" t="s">
        <v>7</v>
      </c>
    </row>
    <row r="338" spans="1:22">
      <c r="A338" t="s">
        <v>850</v>
      </c>
      <c r="B338" t="s">
        <v>762</v>
      </c>
      <c r="C338">
        <v>2.5000000000000001E-2</v>
      </c>
      <c r="D338" t="s">
        <v>6</v>
      </c>
      <c r="E338" t="s">
        <v>862</v>
      </c>
      <c r="F338" t="s">
        <v>911</v>
      </c>
      <c r="G338" t="s">
        <v>909</v>
      </c>
      <c r="H338">
        <v>2.843</v>
      </c>
      <c r="J338" s="600" t="s">
        <v>767</v>
      </c>
      <c r="K338">
        <v>108143298</v>
      </c>
      <c r="L338" s="2">
        <v>45799</v>
      </c>
      <c r="M338">
        <v>14</v>
      </c>
      <c r="N338">
        <v>1</v>
      </c>
      <c r="O338">
        <v>0</v>
      </c>
      <c r="P338">
        <v>1</v>
      </c>
      <c r="Q338" t="s">
        <v>3</v>
      </c>
      <c r="R338">
        <v>36.116216999999999</v>
      </c>
      <c r="S338">
        <v>-78.687032000000002</v>
      </c>
      <c r="T338" t="s">
        <v>895</v>
      </c>
      <c r="V338">
        <v>14.498671685017317</v>
      </c>
    </row>
    <row r="339" spans="1:22">
      <c r="A339" t="s">
        <v>751</v>
      </c>
      <c r="B339" t="s">
        <v>949</v>
      </c>
      <c r="C339">
        <v>0</v>
      </c>
      <c r="E339" t="s">
        <v>897</v>
      </c>
      <c r="G339" t="s">
        <v>949</v>
      </c>
      <c r="H339">
        <v>14.055</v>
      </c>
      <c r="J339" s="600" t="s">
        <v>767</v>
      </c>
      <c r="K339">
        <v>108130026</v>
      </c>
      <c r="L339" s="2">
        <v>45800</v>
      </c>
      <c r="M339">
        <v>24</v>
      </c>
      <c r="N339">
        <v>1</v>
      </c>
      <c r="O339">
        <v>7</v>
      </c>
      <c r="P339">
        <v>1</v>
      </c>
      <c r="Q339" t="s">
        <v>7</v>
      </c>
    </row>
    <row r="340" spans="1:22">
      <c r="A340" t="s">
        <v>867</v>
      </c>
      <c r="B340" t="s">
        <v>903</v>
      </c>
      <c r="C340">
        <v>0</v>
      </c>
      <c r="E340" t="s">
        <v>762</v>
      </c>
      <c r="F340" t="s">
        <v>924</v>
      </c>
      <c r="G340" t="s">
        <v>943</v>
      </c>
      <c r="H340">
        <v>1.149</v>
      </c>
      <c r="J340" s="600" t="s">
        <v>767</v>
      </c>
      <c r="K340">
        <v>108127473</v>
      </c>
      <c r="L340" s="2">
        <v>45808</v>
      </c>
      <c r="M340">
        <v>31</v>
      </c>
      <c r="N340">
        <v>1</v>
      </c>
      <c r="O340">
        <v>0</v>
      </c>
      <c r="P340">
        <v>1</v>
      </c>
      <c r="Q340" t="s">
        <v>7</v>
      </c>
    </row>
    <row r="341" spans="1:22">
      <c r="A341" t="s">
        <v>867</v>
      </c>
      <c r="B341" t="s">
        <v>869</v>
      </c>
      <c r="C341">
        <v>0</v>
      </c>
      <c r="E341" t="s">
        <v>894</v>
      </c>
      <c r="F341" t="s">
        <v>887</v>
      </c>
      <c r="H341">
        <v>999.99900000000002</v>
      </c>
      <c r="J341" s="600" t="s">
        <v>767</v>
      </c>
      <c r="K341">
        <v>108167054</v>
      </c>
      <c r="L341" s="2">
        <v>45848</v>
      </c>
      <c r="M341">
        <v>14</v>
      </c>
      <c r="N341">
        <v>1</v>
      </c>
      <c r="O341">
        <v>0</v>
      </c>
      <c r="P341">
        <v>1</v>
      </c>
      <c r="Q341" t="s">
        <v>3</v>
      </c>
      <c r="R341">
        <v>36.309283000000001</v>
      </c>
      <c r="S341">
        <v>-78.589851999999993</v>
      </c>
      <c r="T341" t="s">
        <v>895</v>
      </c>
      <c r="V341">
        <v>0.14963679968857657</v>
      </c>
    </row>
    <row r="342" spans="1:22">
      <c r="A342" t="s">
        <v>751</v>
      </c>
      <c r="B342" t="s">
        <v>897</v>
      </c>
      <c r="C342">
        <v>0.17</v>
      </c>
      <c r="D342" t="s">
        <v>755</v>
      </c>
      <c r="E342" t="s">
        <v>956</v>
      </c>
      <c r="F342" t="s">
        <v>949</v>
      </c>
      <c r="G342" t="s">
        <v>897</v>
      </c>
      <c r="H342">
        <v>3.9359999999999999</v>
      </c>
      <c r="J342" s="600" t="s">
        <v>767</v>
      </c>
      <c r="K342">
        <v>108172669</v>
      </c>
      <c r="L342" s="2">
        <v>45848</v>
      </c>
      <c r="M342">
        <v>19</v>
      </c>
      <c r="N342">
        <v>1</v>
      </c>
      <c r="O342">
        <v>0</v>
      </c>
      <c r="P342">
        <v>1</v>
      </c>
      <c r="Q342" t="s">
        <v>7</v>
      </c>
    </row>
    <row r="343" spans="1:22">
      <c r="A343" t="s">
        <v>867</v>
      </c>
      <c r="B343" t="s">
        <v>936</v>
      </c>
      <c r="C343">
        <v>0</v>
      </c>
      <c r="E343" t="s">
        <v>869</v>
      </c>
      <c r="F343" t="s">
        <v>937</v>
      </c>
      <c r="G343" t="s">
        <v>883</v>
      </c>
      <c r="H343">
        <v>20.498000000000001</v>
      </c>
      <c r="J343" s="600" t="s">
        <v>767</v>
      </c>
      <c r="K343">
        <v>108168651</v>
      </c>
      <c r="L343" s="2">
        <v>45850</v>
      </c>
      <c r="M343">
        <v>30</v>
      </c>
      <c r="N343">
        <v>1</v>
      </c>
      <c r="O343">
        <v>0</v>
      </c>
      <c r="P343">
        <v>1</v>
      </c>
      <c r="Q343" t="s">
        <v>3</v>
      </c>
    </row>
    <row r="344" spans="1:22">
      <c r="A344" t="s">
        <v>751</v>
      </c>
      <c r="B344" t="s">
        <v>897</v>
      </c>
      <c r="C344">
        <v>0</v>
      </c>
      <c r="E344" t="s">
        <v>949</v>
      </c>
      <c r="F344" t="s">
        <v>901</v>
      </c>
      <c r="G344" t="s">
        <v>897</v>
      </c>
      <c r="H344">
        <v>0.88200000000000001</v>
      </c>
      <c r="J344" s="600" t="s">
        <v>767</v>
      </c>
      <c r="K344">
        <v>108184203</v>
      </c>
      <c r="L344" s="2">
        <v>45864</v>
      </c>
      <c r="M344">
        <v>30</v>
      </c>
      <c r="N344">
        <v>1</v>
      </c>
      <c r="O344">
        <v>7</v>
      </c>
      <c r="P344">
        <v>2</v>
      </c>
      <c r="Q344" t="s">
        <v>3</v>
      </c>
    </row>
    <row r="345" spans="1:22">
      <c r="A345" t="s">
        <v>751</v>
      </c>
      <c r="B345" t="s">
        <v>897</v>
      </c>
      <c r="C345">
        <v>0.2</v>
      </c>
      <c r="D345" t="s">
        <v>755</v>
      </c>
      <c r="E345" t="s">
        <v>956</v>
      </c>
      <c r="F345" t="s">
        <v>948</v>
      </c>
      <c r="G345" t="s">
        <v>897</v>
      </c>
      <c r="H345">
        <v>3.9060000000000001</v>
      </c>
      <c r="J345" s="600" t="s">
        <v>767</v>
      </c>
      <c r="K345">
        <v>108190403</v>
      </c>
      <c r="L345" s="2">
        <v>45871</v>
      </c>
      <c r="M345">
        <v>1</v>
      </c>
      <c r="N345">
        <v>1</v>
      </c>
      <c r="O345">
        <v>0</v>
      </c>
      <c r="P345">
        <v>1</v>
      </c>
      <c r="Q345" t="s">
        <v>7</v>
      </c>
    </row>
    <row r="346" spans="1:22">
      <c r="A346" t="s">
        <v>850</v>
      </c>
      <c r="B346" t="s">
        <v>762</v>
      </c>
      <c r="C346">
        <v>8.9999999999999993E-3</v>
      </c>
      <c r="D346" t="s">
        <v>6</v>
      </c>
      <c r="E346" t="s">
        <v>855</v>
      </c>
      <c r="F346" t="s">
        <v>854</v>
      </c>
      <c r="G346" t="s">
        <v>909</v>
      </c>
      <c r="H346">
        <v>2.9870000000000001</v>
      </c>
      <c r="J346" s="600" t="s">
        <v>767</v>
      </c>
      <c r="K346">
        <v>108192337</v>
      </c>
      <c r="L346" s="2">
        <v>45874</v>
      </c>
      <c r="M346">
        <v>1</v>
      </c>
      <c r="N346">
        <v>1</v>
      </c>
      <c r="O346">
        <v>0</v>
      </c>
      <c r="P346">
        <v>4</v>
      </c>
      <c r="Q346" t="s">
        <v>7</v>
      </c>
    </row>
    <row r="347" spans="1:22">
      <c r="A347" t="s">
        <v>850</v>
      </c>
      <c r="B347" t="s">
        <v>762</v>
      </c>
      <c r="C347">
        <v>6.6000000000000003E-2</v>
      </c>
      <c r="D347" t="s">
        <v>759</v>
      </c>
      <c r="E347" t="s">
        <v>941</v>
      </c>
      <c r="F347" t="s">
        <v>977</v>
      </c>
      <c r="G347" t="s">
        <v>975</v>
      </c>
      <c r="H347">
        <v>0.35899999999999999</v>
      </c>
      <c r="J347" s="600" t="s">
        <v>767</v>
      </c>
      <c r="K347">
        <v>108196362</v>
      </c>
      <c r="L347" s="2">
        <v>45874</v>
      </c>
      <c r="M347">
        <v>18</v>
      </c>
      <c r="N347">
        <v>1</v>
      </c>
      <c r="O347">
        <v>0</v>
      </c>
      <c r="P347">
        <v>1</v>
      </c>
      <c r="Q347" t="s">
        <v>3</v>
      </c>
    </row>
    <row r="348" spans="1:22">
      <c r="A348" t="s">
        <v>751</v>
      </c>
      <c r="B348" t="s">
        <v>897</v>
      </c>
      <c r="C348">
        <v>0.25</v>
      </c>
      <c r="D348" t="s">
        <v>755</v>
      </c>
      <c r="E348" t="s">
        <v>960</v>
      </c>
      <c r="F348" t="s">
        <v>961</v>
      </c>
      <c r="G348" t="s">
        <v>897</v>
      </c>
      <c r="H348">
        <v>4.7610000000000001</v>
      </c>
      <c r="J348" s="600" t="s">
        <v>767</v>
      </c>
      <c r="K348">
        <v>108195324</v>
      </c>
      <c r="L348" s="2">
        <v>45875</v>
      </c>
      <c r="M348">
        <v>19</v>
      </c>
      <c r="N348">
        <v>2</v>
      </c>
      <c r="O348">
        <v>0</v>
      </c>
      <c r="P348">
        <v>1</v>
      </c>
      <c r="Q348" t="s">
        <v>7</v>
      </c>
    </row>
    <row r="349" spans="1:22">
      <c r="A349" t="s">
        <v>751</v>
      </c>
      <c r="B349" t="s">
        <v>949</v>
      </c>
      <c r="C349">
        <v>0</v>
      </c>
      <c r="E349" t="s">
        <v>943</v>
      </c>
      <c r="F349" t="s">
        <v>948</v>
      </c>
      <c r="G349" t="s">
        <v>949</v>
      </c>
      <c r="H349">
        <v>999.99900000000002</v>
      </c>
      <c r="J349" s="600" t="s">
        <v>767</v>
      </c>
      <c r="K349">
        <v>108205786</v>
      </c>
      <c r="L349" s="2">
        <v>45880</v>
      </c>
      <c r="M349">
        <v>23</v>
      </c>
      <c r="N349">
        <v>1</v>
      </c>
      <c r="O349">
        <v>7</v>
      </c>
      <c r="P349">
        <v>1</v>
      </c>
      <c r="Q349" t="s">
        <v>3</v>
      </c>
      <c r="R349">
        <v>36.313276000000002</v>
      </c>
      <c r="S349">
        <v>-78.552949999999996</v>
      </c>
      <c r="T349" t="s">
        <v>758</v>
      </c>
      <c r="V349">
        <v>1.9271494694022111</v>
      </c>
    </row>
    <row r="350" spans="1:22">
      <c r="A350" t="s">
        <v>867</v>
      </c>
      <c r="B350" t="s">
        <v>902</v>
      </c>
      <c r="C350">
        <v>0</v>
      </c>
      <c r="E350" t="s">
        <v>869</v>
      </c>
      <c r="F350" t="s">
        <v>891</v>
      </c>
      <c r="G350" t="s">
        <v>902</v>
      </c>
      <c r="H350">
        <v>0.21</v>
      </c>
      <c r="J350" s="600" t="s">
        <v>767</v>
      </c>
      <c r="K350">
        <v>108202264</v>
      </c>
      <c r="L350" s="2">
        <v>45884</v>
      </c>
      <c r="M350">
        <v>30</v>
      </c>
      <c r="N350">
        <v>1</v>
      </c>
      <c r="O350">
        <v>7</v>
      </c>
      <c r="P350">
        <v>1</v>
      </c>
      <c r="Q350" t="s">
        <v>7</v>
      </c>
    </row>
    <row r="351" spans="1:22">
      <c r="A351" t="s">
        <v>867</v>
      </c>
      <c r="B351" t="s">
        <v>869</v>
      </c>
      <c r="C351">
        <v>0</v>
      </c>
      <c r="E351" t="s">
        <v>936</v>
      </c>
      <c r="F351" t="s">
        <v>936</v>
      </c>
      <c r="G351" t="s">
        <v>869</v>
      </c>
      <c r="H351">
        <v>999.99900000000002</v>
      </c>
      <c r="J351" s="600" t="s">
        <v>767</v>
      </c>
      <c r="K351">
        <v>108211507</v>
      </c>
      <c r="L351" s="2">
        <v>45895</v>
      </c>
      <c r="M351">
        <v>30</v>
      </c>
      <c r="N351">
        <v>1</v>
      </c>
      <c r="O351">
        <v>7</v>
      </c>
      <c r="P351">
        <v>4</v>
      </c>
      <c r="Q351" t="s">
        <v>7</v>
      </c>
    </row>
    <row r="352" spans="1:22">
      <c r="A352" t="s">
        <v>751</v>
      </c>
      <c r="B352" t="s">
        <v>949</v>
      </c>
      <c r="C352">
        <v>2.7E-2</v>
      </c>
      <c r="D352" t="s">
        <v>754</v>
      </c>
      <c r="E352" t="s">
        <v>943</v>
      </c>
      <c r="F352" t="s">
        <v>897</v>
      </c>
      <c r="G352" t="s">
        <v>949</v>
      </c>
      <c r="H352">
        <v>999.99900000000002</v>
      </c>
      <c r="J352" s="600" t="s">
        <v>767</v>
      </c>
      <c r="K352">
        <v>108231920</v>
      </c>
      <c r="L352" s="2">
        <v>45909</v>
      </c>
      <c r="M352">
        <v>28</v>
      </c>
      <c r="N352">
        <v>1</v>
      </c>
      <c r="O352">
        <v>0</v>
      </c>
      <c r="P352">
        <v>1</v>
      </c>
      <c r="Q352" t="s">
        <v>7</v>
      </c>
      <c r="R352">
        <v>36.313816000000003</v>
      </c>
      <c r="S352">
        <v>-78.553070000000005</v>
      </c>
      <c r="T352" t="s">
        <v>758</v>
      </c>
      <c r="V352">
        <v>1.9252252025128904</v>
      </c>
    </row>
    <row r="353" spans="1:22">
      <c r="A353" t="s">
        <v>867</v>
      </c>
      <c r="B353" t="s">
        <v>869</v>
      </c>
      <c r="C353">
        <v>0</v>
      </c>
      <c r="E353" t="s">
        <v>926</v>
      </c>
      <c r="F353" t="s">
        <v>926</v>
      </c>
      <c r="G353" t="s">
        <v>869</v>
      </c>
      <c r="H353">
        <v>0.09</v>
      </c>
      <c r="J353" s="600" t="s">
        <v>767</v>
      </c>
      <c r="K353">
        <v>108242628</v>
      </c>
      <c r="L353" s="2">
        <v>45916</v>
      </c>
      <c r="M353">
        <v>2</v>
      </c>
      <c r="N353">
        <v>1</v>
      </c>
      <c r="O353">
        <v>0</v>
      </c>
      <c r="P353">
        <v>1</v>
      </c>
      <c r="Q353" t="s">
        <v>3</v>
      </c>
    </row>
    <row r="354" spans="1:22">
      <c r="A354" t="s">
        <v>751</v>
      </c>
      <c r="B354" t="s">
        <v>949</v>
      </c>
      <c r="C354">
        <v>0</v>
      </c>
      <c r="E354" t="s">
        <v>897</v>
      </c>
      <c r="F354" t="s">
        <v>901</v>
      </c>
      <c r="G354" t="s">
        <v>949</v>
      </c>
      <c r="H354">
        <v>14.055</v>
      </c>
      <c r="J354" s="600" t="s">
        <v>767</v>
      </c>
      <c r="K354">
        <v>108237122</v>
      </c>
      <c r="L354" s="2">
        <v>45919</v>
      </c>
      <c r="M354">
        <v>30</v>
      </c>
      <c r="N354">
        <v>1</v>
      </c>
      <c r="O354">
        <v>7</v>
      </c>
      <c r="P354">
        <v>1</v>
      </c>
      <c r="Q354" t="s">
        <v>3</v>
      </c>
    </row>
    <row r="355" spans="1:22">
      <c r="A355" t="s">
        <v>867</v>
      </c>
      <c r="B355" t="s">
        <v>888</v>
      </c>
      <c r="C355">
        <v>0</v>
      </c>
      <c r="E355" t="s">
        <v>889</v>
      </c>
      <c r="F355" t="s">
        <v>888</v>
      </c>
      <c r="H355">
        <v>999.99900000000002</v>
      </c>
      <c r="J355" s="600" t="s">
        <v>767</v>
      </c>
      <c r="K355">
        <v>108246336</v>
      </c>
      <c r="L355" s="2">
        <v>45929</v>
      </c>
      <c r="M355">
        <v>31</v>
      </c>
      <c r="N355">
        <v>2</v>
      </c>
      <c r="O355">
        <v>0</v>
      </c>
      <c r="P355">
        <v>1</v>
      </c>
    </row>
    <row r="356" spans="1:22">
      <c r="A356" t="s">
        <v>751</v>
      </c>
      <c r="B356" t="s">
        <v>949</v>
      </c>
      <c r="C356">
        <v>8.9999999999999993E-3</v>
      </c>
      <c r="D356" t="s">
        <v>753</v>
      </c>
      <c r="E356" t="s">
        <v>943</v>
      </c>
      <c r="F356" t="s">
        <v>948</v>
      </c>
      <c r="G356" t="s">
        <v>949</v>
      </c>
      <c r="H356">
        <v>999.99900000000002</v>
      </c>
      <c r="J356" s="600" t="s">
        <v>767</v>
      </c>
      <c r="K356">
        <v>108254741</v>
      </c>
      <c r="L356" s="2">
        <v>45931</v>
      </c>
      <c r="M356">
        <v>24</v>
      </c>
      <c r="N356">
        <v>1</v>
      </c>
      <c r="O356">
        <v>7</v>
      </c>
      <c r="P356">
        <v>1</v>
      </c>
      <c r="Q356" t="s">
        <v>7</v>
      </c>
      <c r="R356">
        <v>36.313406000000001</v>
      </c>
      <c r="S356">
        <v>-78.552729999999997</v>
      </c>
      <c r="T356" t="s">
        <v>758</v>
      </c>
      <c r="V356">
        <v>1.9403739751093447</v>
      </c>
    </row>
    <row r="357" spans="1:22">
      <c r="A357" t="s">
        <v>850</v>
      </c>
      <c r="B357" t="s">
        <v>762</v>
      </c>
      <c r="C357">
        <v>1.4999999999999999E-2</v>
      </c>
      <c r="D357" t="s">
        <v>6</v>
      </c>
      <c r="E357" t="s">
        <v>915</v>
      </c>
      <c r="G357" t="s">
        <v>909</v>
      </c>
      <c r="H357">
        <v>3.1110000000000002</v>
      </c>
      <c r="J357" s="600" t="s">
        <v>767</v>
      </c>
      <c r="K357">
        <v>108287261</v>
      </c>
      <c r="L357" s="2">
        <v>45953</v>
      </c>
      <c r="M357">
        <v>21</v>
      </c>
      <c r="N357">
        <v>1</v>
      </c>
      <c r="O357">
        <v>0</v>
      </c>
      <c r="P357">
        <v>1</v>
      </c>
      <c r="Q357" t="s">
        <v>3</v>
      </c>
    </row>
    <row r="358" spans="1:22">
      <c r="A358" t="s">
        <v>850</v>
      </c>
      <c r="B358" t="s">
        <v>918</v>
      </c>
      <c r="C358">
        <v>0</v>
      </c>
      <c r="E358" t="s">
        <v>762</v>
      </c>
      <c r="F358" t="s">
        <v>762</v>
      </c>
      <c r="G358" t="s">
        <v>909</v>
      </c>
      <c r="H358">
        <v>3.226</v>
      </c>
      <c r="J358" s="600" t="s">
        <v>767</v>
      </c>
      <c r="K358">
        <v>108332317</v>
      </c>
      <c r="L358" s="2">
        <v>45961</v>
      </c>
      <c r="M358">
        <v>24</v>
      </c>
      <c r="N358">
        <v>1</v>
      </c>
      <c r="O358">
        <v>0</v>
      </c>
      <c r="P358">
        <v>1</v>
      </c>
      <c r="Q358" t="s">
        <v>7</v>
      </c>
    </row>
    <row r="359" spans="1:22">
      <c r="A359" t="s">
        <v>751</v>
      </c>
      <c r="B359" t="s">
        <v>897</v>
      </c>
      <c r="C359">
        <v>0.2</v>
      </c>
      <c r="D359" t="s">
        <v>760</v>
      </c>
      <c r="E359" t="s">
        <v>956</v>
      </c>
      <c r="F359" t="s">
        <v>960</v>
      </c>
      <c r="G359" t="s">
        <v>897</v>
      </c>
      <c r="H359">
        <v>4.306</v>
      </c>
      <c r="J359" s="600" t="s">
        <v>767</v>
      </c>
      <c r="K359">
        <v>108288938</v>
      </c>
      <c r="L359" s="2">
        <v>45962</v>
      </c>
      <c r="M359">
        <v>5</v>
      </c>
      <c r="N359">
        <v>1</v>
      </c>
      <c r="O359">
        <v>0</v>
      </c>
      <c r="P359">
        <v>1</v>
      </c>
      <c r="Q359" t="s">
        <v>7</v>
      </c>
    </row>
    <row r="360" spans="1:22">
      <c r="A360" t="s">
        <v>751</v>
      </c>
      <c r="B360" t="s">
        <v>897</v>
      </c>
      <c r="C360">
        <v>0.2</v>
      </c>
      <c r="D360" t="s">
        <v>754</v>
      </c>
      <c r="E360" t="s">
        <v>901</v>
      </c>
      <c r="F360" t="s">
        <v>899</v>
      </c>
      <c r="G360" t="s">
        <v>897</v>
      </c>
      <c r="H360">
        <v>1.4079999999999999</v>
      </c>
      <c r="J360" s="600" t="s">
        <v>767</v>
      </c>
      <c r="K360">
        <v>108307988</v>
      </c>
      <c r="L360" s="2">
        <v>45976</v>
      </c>
      <c r="M360">
        <v>5</v>
      </c>
      <c r="N360">
        <v>1</v>
      </c>
      <c r="O360">
        <v>0</v>
      </c>
      <c r="P360">
        <v>1</v>
      </c>
      <c r="Q360" t="s">
        <v>7</v>
      </c>
    </row>
    <row r="361" spans="1:22">
      <c r="A361" t="s">
        <v>850</v>
      </c>
      <c r="B361" t="s">
        <v>913</v>
      </c>
      <c r="C361">
        <v>0</v>
      </c>
      <c r="E361" t="s">
        <v>762</v>
      </c>
      <c r="F361" t="s">
        <v>918</v>
      </c>
      <c r="G361" t="s">
        <v>909</v>
      </c>
      <c r="H361">
        <v>3.2839999999999998</v>
      </c>
      <c r="J361" s="600" t="s">
        <v>767</v>
      </c>
      <c r="K361">
        <v>108321102</v>
      </c>
      <c r="L361" s="2">
        <v>45981</v>
      </c>
      <c r="M361">
        <v>30</v>
      </c>
      <c r="N361">
        <v>1</v>
      </c>
      <c r="O361">
        <v>7</v>
      </c>
      <c r="P361">
        <v>2</v>
      </c>
      <c r="Q361" t="s">
        <v>3</v>
      </c>
    </row>
    <row r="362" spans="1:22">
      <c r="A362" t="s">
        <v>867</v>
      </c>
      <c r="B362" t="s">
        <v>762</v>
      </c>
      <c r="C362">
        <v>0</v>
      </c>
      <c r="E362" t="s">
        <v>903</v>
      </c>
      <c r="F362" t="s">
        <v>762</v>
      </c>
      <c r="G362" t="s">
        <v>943</v>
      </c>
      <c r="H362">
        <v>1.149</v>
      </c>
      <c r="J362" s="600" t="s">
        <v>767</v>
      </c>
      <c r="K362">
        <v>108324306</v>
      </c>
      <c r="L362" s="2">
        <v>45992</v>
      </c>
      <c r="M362">
        <v>1</v>
      </c>
      <c r="N362">
        <v>1</v>
      </c>
      <c r="O362">
        <v>0</v>
      </c>
      <c r="P362">
        <v>1</v>
      </c>
    </row>
    <row r="363" spans="1:22">
      <c r="A363" t="s">
        <v>867</v>
      </c>
      <c r="B363" t="s">
        <v>891</v>
      </c>
      <c r="C363">
        <v>0</v>
      </c>
      <c r="E363" t="s">
        <v>869</v>
      </c>
      <c r="F363" t="s">
        <v>869</v>
      </c>
      <c r="G363" t="s">
        <v>953</v>
      </c>
      <c r="H363">
        <v>2.6850000000000001</v>
      </c>
      <c r="J363" s="600" t="s">
        <v>767</v>
      </c>
      <c r="K363">
        <v>108334601</v>
      </c>
      <c r="L363" s="2">
        <v>46004</v>
      </c>
      <c r="M363">
        <v>1</v>
      </c>
      <c r="N363">
        <v>1</v>
      </c>
      <c r="O363">
        <v>0</v>
      </c>
      <c r="P363">
        <v>1</v>
      </c>
      <c r="Q363" t="s">
        <v>7</v>
      </c>
    </row>
    <row r="364" spans="1:22">
      <c r="A364" t="s">
        <v>751</v>
      </c>
      <c r="B364" t="s">
        <v>943</v>
      </c>
      <c r="C364">
        <v>0.23</v>
      </c>
      <c r="D364" t="s">
        <v>754</v>
      </c>
      <c r="E364" t="s">
        <v>971</v>
      </c>
      <c r="F364" t="s">
        <v>949</v>
      </c>
      <c r="G364" t="s">
        <v>943</v>
      </c>
      <c r="H364">
        <v>999.99900000000002</v>
      </c>
      <c r="J364" s="600" t="s">
        <v>767</v>
      </c>
      <c r="K364">
        <v>108357712</v>
      </c>
      <c r="L364" s="2">
        <v>46020</v>
      </c>
      <c r="M364">
        <v>28</v>
      </c>
      <c r="N364">
        <v>1</v>
      </c>
      <c r="O364">
        <v>0</v>
      </c>
      <c r="P364">
        <v>1</v>
      </c>
      <c r="Q364" t="s">
        <v>7</v>
      </c>
      <c r="R364">
        <v>36.309410999999997</v>
      </c>
      <c r="S364">
        <v>-78.555239999999998</v>
      </c>
      <c r="T364" t="s">
        <v>758</v>
      </c>
      <c r="V364">
        <v>1.7870833391980847</v>
      </c>
    </row>
    <row r="365" spans="1:22">
      <c r="A365" t="s">
        <v>850</v>
      </c>
      <c r="B365" t="s">
        <v>762</v>
      </c>
      <c r="C365">
        <v>0</v>
      </c>
      <c r="E365" t="s">
        <v>909</v>
      </c>
      <c r="F365" t="s">
        <v>909</v>
      </c>
      <c r="G365" t="s">
        <v>909</v>
      </c>
      <c r="H365">
        <v>3.2850000000000001</v>
      </c>
      <c r="J365" s="600" t="s">
        <v>767</v>
      </c>
      <c r="K365">
        <v>108357308</v>
      </c>
      <c r="L365" s="2">
        <v>46021</v>
      </c>
      <c r="M365">
        <v>21</v>
      </c>
      <c r="N365">
        <v>1</v>
      </c>
      <c r="O365">
        <v>0</v>
      </c>
      <c r="P365">
        <v>1</v>
      </c>
      <c r="Q365" t="s">
        <v>7</v>
      </c>
    </row>
    <row r="366" spans="1:22">
      <c r="A366" t="s">
        <v>850</v>
      </c>
      <c r="B366" t="s">
        <v>762</v>
      </c>
      <c r="C366">
        <v>3.7999999999999999E-2</v>
      </c>
      <c r="D366" t="s">
        <v>754</v>
      </c>
      <c r="E366" t="s">
        <v>854</v>
      </c>
      <c r="F366" t="s">
        <v>855</v>
      </c>
      <c r="H366">
        <v>999.99900000000002</v>
      </c>
      <c r="J366" s="600" t="s">
        <v>767</v>
      </c>
      <c r="K366">
        <v>108393847</v>
      </c>
      <c r="L366" s="2">
        <v>46027</v>
      </c>
      <c r="M366">
        <v>13</v>
      </c>
      <c r="N366">
        <v>1</v>
      </c>
      <c r="O366">
        <v>0</v>
      </c>
      <c r="P366">
        <v>4</v>
      </c>
      <c r="Q366" t="s">
        <v>7</v>
      </c>
    </row>
    <row r="367" spans="1:22">
      <c r="A367" t="s">
        <v>751</v>
      </c>
      <c r="B367" t="s">
        <v>897</v>
      </c>
      <c r="C367">
        <v>0</v>
      </c>
      <c r="E367" t="s">
        <v>949</v>
      </c>
      <c r="F367" t="s">
        <v>955</v>
      </c>
      <c r="G367" t="s">
        <v>897</v>
      </c>
      <c r="H367">
        <v>0.88200000000000001</v>
      </c>
      <c r="J367" s="600" t="s">
        <v>767</v>
      </c>
      <c r="K367">
        <v>108365462</v>
      </c>
      <c r="L367" s="2">
        <v>46029</v>
      </c>
      <c r="M367">
        <v>18</v>
      </c>
      <c r="N367">
        <v>1</v>
      </c>
      <c r="O367">
        <v>7</v>
      </c>
      <c r="P367">
        <v>1</v>
      </c>
      <c r="Q367" t="s">
        <v>7</v>
      </c>
    </row>
    <row r="368" spans="1:22">
      <c r="A368" t="s">
        <v>867</v>
      </c>
      <c r="B368" t="s">
        <v>888</v>
      </c>
      <c r="C368">
        <v>0</v>
      </c>
      <c r="E368" t="s">
        <v>891</v>
      </c>
      <c r="F368" t="s">
        <v>891</v>
      </c>
      <c r="G368" t="s">
        <v>953</v>
      </c>
      <c r="H368">
        <v>2.6850000000000001</v>
      </c>
      <c r="J368" s="600" t="s">
        <v>767</v>
      </c>
      <c r="K368">
        <v>108383499</v>
      </c>
      <c r="L368" s="2">
        <v>46038</v>
      </c>
      <c r="M368">
        <v>24</v>
      </c>
      <c r="N368">
        <v>1</v>
      </c>
      <c r="O368">
        <v>7</v>
      </c>
      <c r="P368">
        <v>1</v>
      </c>
      <c r="Q368" t="s">
        <v>7</v>
      </c>
    </row>
    <row r="369" spans="1:17">
      <c r="A369" t="s">
        <v>850</v>
      </c>
      <c r="B369" t="s">
        <v>762</v>
      </c>
      <c r="C369">
        <v>0</v>
      </c>
      <c r="E369" t="s">
        <v>865</v>
      </c>
      <c r="F369" t="s">
        <v>913</v>
      </c>
      <c r="G369" t="s">
        <v>909</v>
      </c>
      <c r="H369">
        <v>2.9369999999999998</v>
      </c>
      <c r="J369" s="600" t="s">
        <v>767</v>
      </c>
      <c r="K369">
        <v>108402133</v>
      </c>
      <c r="L369" s="2">
        <v>46063</v>
      </c>
      <c r="M369">
        <v>28</v>
      </c>
      <c r="N369">
        <v>1</v>
      </c>
      <c r="O369">
        <v>0</v>
      </c>
      <c r="P369">
        <v>1</v>
      </c>
      <c r="Q369" t="s">
        <v>7</v>
      </c>
    </row>
    <row r="370" spans="1:17">
      <c r="A370" t="s">
        <v>850</v>
      </c>
      <c r="B370" t="s">
        <v>762</v>
      </c>
      <c r="C370">
        <v>8.9999999999999993E-3</v>
      </c>
      <c r="D370" t="s">
        <v>6</v>
      </c>
      <c r="E370" t="s">
        <v>855</v>
      </c>
      <c r="F370" t="s">
        <v>853</v>
      </c>
      <c r="G370" t="s">
        <v>909</v>
      </c>
      <c r="H370">
        <v>2.9870000000000001</v>
      </c>
      <c r="J370" s="600" t="s">
        <v>767</v>
      </c>
      <c r="K370">
        <v>108398245</v>
      </c>
      <c r="L370" s="2">
        <v>46064</v>
      </c>
      <c r="M370">
        <v>29</v>
      </c>
      <c r="N370">
        <v>1</v>
      </c>
      <c r="O370">
        <v>0</v>
      </c>
      <c r="P370">
        <v>1</v>
      </c>
      <c r="Q370" t="s">
        <v>7</v>
      </c>
    </row>
    <row r="371" spans="1:17">
      <c r="A371" t="s">
        <v>751</v>
      </c>
      <c r="B371" t="s">
        <v>897</v>
      </c>
      <c r="C371">
        <v>0.2</v>
      </c>
      <c r="D371" t="s">
        <v>753</v>
      </c>
      <c r="E371" t="s">
        <v>957</v>
      </c>
      <c r="F371" t="s">
        <v>955</v>
      </c>
      <c r="G371" t="s">
        <v>897</v>
      </c>
      <c r="H371">
        <v>2.6840000000000002</v>
      </c>
      <c r="J371" s="600" t="s">
        <v>767</v>
      </c>
      <c r="K371">
        <v>108407980</v>
      </c>
      <c r="L371" s="2">
        <v>46071</v>
      </c>
      <c r="M371">
        <v>17</v>
      </c>
      <c r="N371">
        <v>1</v>
      </c>
      <c r="O371">
        <v>0</v>
      </c>
      <c r="P371">
        <v>5</v>
      </c>
      <c r="Q371" t="s">
        <v>7</v>
      </c>
    </row>
    <row r="372" spans="1:17">
      <c r="A372" t="s">
        <v>751</v>
      </c>
      <c r="B372" t="s">
        <v>897</v>
      </c>
      <c r="C372">
        <v>1.5</v>
      </c>
      <c r="D372" t="s">
        <v>6</v>
      </c>
      <c r="E372" t="s">
        <v>948</v>
      </c>
      <c r="F372" t="s">
        <v>956</v>
      </c>
      <c r="G372" t="s">
        <v>897</v>
      </c>
      <c r="H372">
        <v>1.6040000000000001</v>
      </c>
      <c r="J372" s="600" t="s">
        <v>767</v>
      </c>
      <c r="K372">
        <v>108414530</v>
      </c>
      <c r="L372" s="2">
        <v>46072</v>
      </c>
      <c r="M372">
        <v>19</v>
      </c>
      <c r="N372">
        <v>2</v>
      </c>
      <c r="O372">
        <v>0</v>
      </c>
      <c r="P372">
        <v>5</v>
      </c>
      <c r="Q372" t="s">
        <v>7</v>
      </c>
    </row>
    <row r="373" spans="1:17">
      <c r="A373" t="s">
        <v>751</v>
      </c>
      <c r="B373" t="s">
        <v>897</v>
      </c>
      <c r="C373">
        <v>0.2</v>
      </c>
      <c r="D373" t="s">
        <v>753</v>
      </c>
      <c r="E373" t="s">
        <v>956</v>
      </c>
      <c r="F373" t="s">
        <v>960</v>
      </c>
      <c r="G373" t="s">
        <v>897</v>
      </c>
      <c r="H373">
        <v>4.306</v>
      </c>
      <c r="J373" s="600" t="s">
        <v>767</v>
      </c>
      <c r="K373">
        <v>108411395</v>
      </c>
      <c r="L373" s="2">
        <v>46076</v>
      </c>
      <c r="M373">
        <v>19</v>
      </c>
      <c r="N373">
        <v>1</v>
      </c>
      <c r="O373">
        <v>5</v>
      </c>
      <c r="P373">
        <v>3</v>
      </c>
      <c r="Q373" t="s">
        <v>7</v>
      </c>
    </row>
    <row r="374" spans="1:17">
      <c r="A374" t="s">
        <v>867</v>
      </c>
      <c r="B374" t="s">
        <v>924</v>
      </c>
      <c r="C374">
        <v>0</v>
      </c>
      <c r="E374" t="s">
        <v>869</v>
      </c>
      <c r="F374" t="s">
        <v>924</v>
      </c>
      <c r="G374" t="s">
        <v>925</v>
      </c>
      <c r="H374">
        <v>17.59</v>
      </c>
      <c r="J374" s="600" t="s">
        <v>767</v>
      </c>
      <c r="K374">
        <v>108410554</v>
      </c>
      <c r="L374" s="2">
        <v>46077</v>
      </c>
      <c r="M374">
        <v>30</v>
      </c>
      <c r="N374">
        <v>1</v>
      </c>
      <c r="O374">
        <v>7</v>
      </c>
      <c r="P374">
        <v>1</v>
      </c>
      <c r="Q374" t="s">
        <v>7</v>
      </c>
    </row>
    <row r="375" spans="1:17">
      <c r="A375" t="s">
        <v>850</v>
      </c>
      <c r="B375" t="s">
        <v>866</v>
      </c>
      <c r="C375">
        <v>0</v>
      </c>
      <c r="E375" t="s">
        <v>762</v>
      </c>
      <c r="F375" t="s">
        <v>762</v>
      </c>
      <c r="H375">
        <v>999.99900000000002</v>
      </c>
      <c r="J375" s="600" t="s">
        <v>767</v>
      </c>
      <c r="K375">
        <v>108457950</v>
      </c>
      <c r="L375" s="2">
        <v>46087</v>
      </c>
      <c r="M375">
        <v>31</v>
      </c>
      <c r="N375">
        <v>1</v>
      </c>
      <c r="O375">
        <v>0</v>
      </c>
      <c r="P375">
        <v>1</v>
      </c>
      <c r="Q375" t="s">
        <v>7</v>
      </c>
    </row>
    <row r="376" spans="1:17">
      <c r="A376" t="s">
        <v>751</v>
      </c>
      <c r="B376" t="s">
        <v>948</v>
      </c>
      <c r="C376">
        <v>0</v>
      </c>
      <c r="D376" t="s">
        <v>754</v>
      </c>
      <c r="E376" t="s">
        <v>897</v>
      </c>
      <c r="F376" t="s">
        <v>951</v>
      </c>
      <c r="G376" t="s">
        <v>948</v>
      </c>
      <c r="H376">
        <v>3.2890000000000001</v>
      </c>
      <c r="J376" s="600" t="s">
        <v>767</v>
      </c>
      <c r="K376">
        <v>108433634</v>
      </c>
      <c r="L376" s="2">
        <v>46096</v>
      </c>
      <c r="M376">
        <v>17</v>
      </c>
      <c r="N376">
        <v>2</v>
      </c>
      <c r="O376">
        <v>0</v>
      </c>
      <c r="P376">
        <v>5</v>
      </c>
      <c r="Q376" t="s">
        <v>7</v>
      </c>
    </row>
    <row r="377" spans="1:17">
      <c r="A377" t="s">
        <v>850</v>
      </c>
      <c r="B377" t="s">
        <v>762</v>
      </c>
      <c r="C377">
        <v>0</v>
      </c>
      <c r="E377" t="s">
        <v>862</v>
      </c>
      <c r="F377" t="s">
        <v>911</v>
      </c>
      <c r="G377" t="s">
        <v>909</v>
      </c>
      <c r="H377">
        <v>2.8679999999999999</v>
      </c>
      <c r="J377" s="600" t="s">
        <v>767</v>
      </c>
      <c r="K377">
        <v>108458258</v>
      </c>
      <c r="L377" s="2">
        <v>46113</v>
      </c>
      <c r="M377">
        <v>30</v>
      </c>
      <c r="N377">
        <v>1</v>
      </c>
      <c r="O377">
        <v>7</v>
      </c>
      <c r="P377">
        <v>1</v>
      </c>
      <c r="Q377" t="s">
        <v>7</v>
      </c>
    </row>
    <row r="378" spans="1:17">
      <c r="A378" t="s">
        <v>867</v>
      </c>
      <c r="B378" t="s">
        <v>926</v>
      </c>
      <c r="C378">
        <v>0</v>
      </c>
      <c r="E378" t="s">
        <v>869</v>
      </c>
      <c r="F378" t="s">
        <v>927</v>
      </c>
      <c r="G378" t="s">
        <v>869</v>
      </c>
      <c r="H378">
        <v>0.09</v>
      </c>
      <c r="J378" s="600" t="s">
        <v>767</v>
      </c>
      <c r="K378">
        <v>108460018</v>
      </c>
      <c r="L378" s="2">
        <v>46115</v>
      </c>
      <c r="M378">
        <v>23</v>
      </c>
      <c r="N378">
        <v>1</v>
      </c>
      <c r="O378">
        <v>7</v>
      </c>
      <c r="P378">
        <v>1</v>
      </c>
      <c r="Q378" t="s">
        <v>3</v>
      </c>
    </row>
    <row r="379" spans="1:17">
      <c r="A379" t="s">
        <v>867</v>
      </c>
      <c r="B379" t="s">
        <v>762</v>
      </c>
      <c r="C379">
        <v>0</v>
      </c>
      <c r="E379" t="s">
        <v>970</v>
      </c>
      <c r="F379" t="s">
        <v>970</v>
      </c>
      <c r="G379" t="s">
        <v>943</v>
      </c>
      <c r="H379">
        <v>1.4770000000000001</v>
      </c>
      <c r="J379" s="600" t="s">
        <v>767</v>
      </c>
      <c r="K379">
        <v>108466832</v>
      </c>
      <c r="L379" s="2">
        <v>46128</v>
      </c>
      <c r="M379">
        <v>3</v>
      </c>
      <c r="N379">
        <v>1</v>
      </c>
      <c r="O379">
        <v>7</v>
      </c>
      <c r="P379">
        <v>1</v>
      </c>
      <c r="Q379" t="s">
        <v>7</v>
      </c>
    </row>
    <row r="380" spans="1:17">
      <c r="A380" t="s">
        <v>850</v>
      </c>
      <c r="B380" t="s">
        <v>762</v>
      </c>
      <c r="C380">
        <v>6.0000000000000001E-3</v>
      </c>
      <c r="D380" t="s">
        <v>6</v>
      </c>
      <c r="E380" t="s">
        <v>913</v>
      </c>
      <c r="F380" t="s">
        <v>918</v>
      </c>
      <c r="G380" t="s">
        <v>909</v>
      </c>
      <c r="H380">
        <v>3.278</v>
      </c>
      <c r="J380" s="600" t="s">
        <v>767</v>
      </c>
      <c r="K380">
        <v>108484990</v>
      </c>
      <c r="L380" s="2">
        <v>46140</v>
      </c>
      <c r="M380">
        <v>21</v>
      </c>
      <c r="N380">
        <v>1</v>
      </c>
      <c r="O380">
        <v>0</v>
      </c>
      <c r="P380">
        <v>1</v>
      </c>
      <c r="Q380" t="s">
        <v>7</v>
      </c>
    </row>
    <row r="381" spans="1:17">
      <c r="A381" t="s">
        <v>867</v>
      </c>
      <c r="B381" t="s">
        <v>936</v>
      </c>
      <c r="C381">
        <v>0</v>
      </c>
      <c r="E381" t="s">
        <v>869</v>
      </c>
      <c r="F381" t="s">
        <v>936</v>
      </c>
      <c r="G381" t="s">
        <v>883</v>
      </c>
      <c r="H381">
        <v>20.498000000000001</v>
      </c>
      <c r="J381" s="600" t="s">
        <v>767</v>
      </c>
      <c r="K381">
        <v>108498369</v>
      </c>
      <c r="L381" s="2">
        <v>46144</v>
      </c>
      <c r="M381">
        <v>30</v>
      </c>
      <c r="N381">
        <v>1</v>
      </c>
      <c r="O381">
        <v>0</v>
      </c>
      <c r="P381">
        <v>1</v>
      </c>
      <c r="Q381" t="s">
        <v>7</v>
      </c>
    </row>
    <row r="382" spans="1:17">
      <c r="A382" t="s">
        <v>850</v>
      </c>
      <c r="B382" t="s">
        <v>762</v>
      </c>
      <c r="C382">
        <v>0</v>
      </c>
      <c r="E382" t="s">
        <v>762</v>
      </c>
      <c r="F382" t="s">
        <v>854</v>
      </c>
      <c r="G382" t="s">
        <v>940</v>
      </c>
      <c r="H382">
        <v>5.0730000000000004</v>
      </c>
      <c r="J382" s="600" t="s">
        <v>767</v>
      </c>
      <c r="K382">
        <v>108492798</v>
      </c>
      <c r="L382" s="2">
        <v>46148</v>
      </c>
      <c r="M382">
        <v>28</v>
      </c>
      <c r="N382">
        <v>1</v>
      </c>
      <c r="O382">
        <v>0</v>
      </c>
      <c r="P382">
        <v>1</v>
      </c>
      <c r="Q382" t="s">
        <v>7</v>
      </c>
    </row>
    <row r="383" spans="1:17">
      <c r="A383" t="s">
        <v>850</v>
      </c>
      <c r="B383" t="s">
        <v>762</v>
      </c>
      <c r="C383">
        <v>0</v>
      </c>
      <c r="E383" t="s">
        <v>854</v>
      </c>
      <c r="F383" t="s">
        <v>762</v>
      </c>
      <c r="H383">
        <v>999.99900000000002</v>
      </c>
      <c r="J383" s="600" t="s">
        <v>767</v>
      </c>
      <c r="K383">
        <v>108551459</v>
      </c>
      <c r="L383" s="2">
        <v>46148</v>
      </c>
      <c r="M383">
        <v>28</v>
      </c>
      <c r="N383">
        <v>1</v>
      </c>
      <c r="O383">
        <v>0</v>
      </c>
      <c r="P383">
        <v>1</v>
      </c>
      <c r="Q383" t="s">
        <v>7</v>
      </c>
    </row>
    <row r="384" spans="1:17">
      <c r="A384" t="s">
        <v>850</v>
      </c>
      <c r="B384" t="s">
        <v>762</v>
      </c>
      <c r="C384">
        <v>0</v>
      </c>
      <c r="E384" t="s">
        <v>865</v>
      </c>
      <c r="F384" t="s">
        <v>865</v>
      </c>
      <c r="G384" t="s">
        <v>909</v>
      </c>
      <c r="H384">
        <v>2.9369999999999998</v>
      </c>
      <c r="J384" s="600" t="s">
        <v>767</v>
      </c>
      <c r="K384">
        <v>108506608</v>
      </c>
      <c r="L384" s="2">
        <v>46164</v>
      </c>
      <c r="M384">
        <v>24</v>
      </c>
      <c r="N384">
        <v>2</v>
      </c>
      <c r="O384">
        <v>7</v>
      </c>
      <c r="P384">
        <v>1</v>
      </c>
      <c r="Q384" t="s">
        <v>7</v>
      </c>
    </row>
    <row r="385" spans="1:17">
      <c r="A385" t="s">
        <v>850</v>
      </c>
      <c r="B385" t="s">
        <v>762</v>
      </c>
      <c r="C385">
        <v>2.1000000000000001E-2</v>
      </c>
      <c r="D385" t="s">
        <v>754</v>
      </c>
      <c r="E385" t="s">
        <v>853</v>
      </c>
      <c r="F385" t="s">
        <v>855</v>
      </c>
      <c r="G385" t="s">
        <v>909</v>
      </c>
      <c r="H385">
        <v>2.9870000000000001</v>
      </c>
      <c r="J385" s="600" t="s">
        <v>767</v>
      </c>
      <c r="K385">
        <v>108516973</v>
      </c>
      <c r="L385" s="2">
        <v>46168</v>
      </c>
      <c r="M385">
        <v>28</v>
      </c>
      <c r="N385">
        <v>2</v>
      </c>
      <c r="O385">
        <v>0</v>
      </c>
      <c r="P385">
        <v>1</v>
      </c>
    </row>
    <row r="386" spans="1:17">
      <c r="A386" t="s">
        <v>850</v>
      </c>
      <c r="B386" t="s">
        <v>762</v>
      </c>
      <c r="C386">
        <v>0</v>
      </c>
      <c r="E386" t="s">
        <v>918</v>
      </c>
      <c r="F386" t="s">
        <v>913</v>
      </c>
      <c r="G386" t="s">
        <v>909</v>
      </c>
      <c r="H386">
        <v>3.226</v>
      </c>
      <c r="J386" s="600" t="s">
        <v>767</v>
      </c>
      <c r="K386">
        <v>108532983</v>
      </c>
      <c r="L386" s="2">
        <v>46178</v>
      </c>
      <c r="M386">
        <v>30</v>
      </c>
      <c r="N386">
        <v>1</v>
      </c>
      <c r="O386">
        <v>0</v>
      </c>
      <c r="P386">
        <v>1</v>
      </c>
      <c r="Q386" t="s">
        <v>7</v>
      </c>
    </row>
    <row r="387" spans="1:17">
      <c r="A387" t="s">
        <v>751</v>
      </c>
      <c r="B387" t="s">
        <v>897</v>
      </c>
      <c r="C387">
        <v>0.28999999999999998</v>
      </c>
      <c r="D387" t="s">
        <v>753</v>
      </c>
      <c r="E387" t="s">
        <v>948</v>
      </c>
      <c r="F387" t="s">
        <v>956</v>
      </c>
      <c r="G387" t="s">
        <v>897</v>
      </c>
      <c r="H387">
        <v>3.3940000000000001</v>
      </c>
      <c r="J387" s="600" t="s">
        <v>767</v>
      </c>
      <c r="K387">
        <v>108530730</v>
      </c>
      <c r="L387" s="2">
        <v>46187</v>
      </c>
      <c r="M387">
        <v>19</v>
      </c>
      <c r="N387">
        <v>1</v>
      </c>
      <c r="O387">
        <v>0</v>
      </c>
      <c r="P387">
        <v>1</v>
      </c>
      <c r="Q387" t="s">
        <v>8</v>
      </c>
    </row>
    <row r="388" spans="1:17">
      <c r="A388" t="s">
        <v>751</v>
      </c>
      <c r="B388" t="s">
        <v>897</v>
      </c>
      <c r="C388">
        <v>0.28999999999999998</v>
      </c>
      <c r="D388" t="s">
        <v>753</v>
      </c>
      <c r="E388" t="s">
        <v>948</v>
      </c>
      <c r="F388" t="s">
        <v>956</v>
      </c>
      <c r="G388" t="s">
        <v>897</v>
      </c>
      <c r="H388">
        <v>3.3940000000000001</v>
      </c>
      <c r="J388" s="600" t="s">
        <v>767</v>
      </c>
      <c r="K388">
        <v>108532682</v>
      </c>
      <c r="L388" s="2">
        <v>46187</v>
      </c>
      <c r="M388">
        <v>31</v>
      </c>
      <c r="N388">
        <v>1</v>
      </c>
      <c r="O388">
        <v>0</v>
      </c>
      <c r="P388">
        <v>1</v>
      </c>
      <c r="Q388" t="s">
        <v>7</v>
      </c>
    </row>
    <row r="389" spans="1:17">
      <c r="A389" t="s">
        <v>751</v>
      </c>
      <c r="B389" t="s">
        <v>897</v>
      </c>
      <c r="C389">
        <v>0</v>
      </c>
      <c r="E389" t="s">
        <v>900</v>
      </c>
      <c r="F389" t="s">
        <v>901</v>
      </c>
      <c r="H389">
        <v>999.99900000000002</v>
      </c>
      <c r="J389" s="600" t="s">
        <v>767</v>
      </c>
      <c r="K389">
        <v>108556564</v>
      </c>
      <c r="L389" s="2">
        <v>46210</v>
      </c>
      <c r="M389">
        <v>19</v>
      </c>
      <c r="N389">
        <v>2</v>
      </c>
      <c r="O389">
        <v>4</v>
      </c>
      <c r="P389">
        <v>5</v>
      </c>
      <c r="Q389" t="s">
        <v>3</v>
      </c>
    </row>
    <row r="390" spans="1:17">
      <c r="A390" t="s">
        <v>850</v>
      </c>
      <c r="B390" t="s">
        <v>762</v>
      </c>
      <c r="C390">
        <v>0</v>
      </c>
      <c r="E390" t="s">
        <v>855</v>
      </c>
      <c r="F390" t="s">
        <v>853</v>
      </c>
      <c r="G390" t="s">
        <v>909</v>
      </c>
      <c r="H390">
        <v>2.996</v>
      </c>
      <c r="J390" s="600" t="s">
        <v>767</v>
      </c>
      <c r="K390">
        <v>108553169</v>
      </c>
      <c r="L390" s="2">
        <v>46211</v>
      </c>
      <c r="M390">
        <v>28</v>
      </c>
      <c r="N390">
        <v>1</v>
      </c>
      <c r="O390">
        <v>0</v>
      </c>
      <c r="P390">
        <v>1</v>
      </c>
      <c r="Q390" t="s">
        <v>7</v>
      </c>
    </row>
    <row r="391" spans="1:17">
      <c r="A391" t="s">
        <v>867</v>
      </c>
      <c r="B391" t="s">
        <v>936</v>
      </c>
      <c r="C391">
        <v>0</v>
      </c>
      <c r="E391" t="s">
        <v>869</v>
      </c>
      <c r="F391" t="s">
        <v>986</v>
      </c>
      <c r="G391" t="s">
        <v>883</v>
      </c>
      <c r="H391">
        <v>20.498000000000001</v>
      </c>
      <c r="J391" s="600" t="s">
        <v>767</v>
      </c>
      <c r="K391">
        <v>108561053</v>
      </c>
      <c r="L391" s="2">
        <v>46214</v>
      </c>
      <c r="M391">
        <v>32</v>
      </c>
      <c r="N391">
        <v>1</v>
      </c>
      <c r="O391">
        <v>0</v>
      </c>
      <c r="P391">
        <v>1</v>
      </c>
      <c r="Q391" t="s">
        <v>3</v>
      </c>
    </row>
  </sheetData>
  <sheetProtection formatCells="0" formatColumns="0" formatRows="0" insertColumns="0" insertRows="0" insertHyperlinks="0" sort="0" autoFilter="0" pivotTables="0"/>
  <sortState xmlns:xlrd2="http://schemas.microsoft.com/office/spreadsheetml/2017/richdata2" ref="A2:AA23">
    <sortCondition ref="L3:L23"/>
  </sortState>
  <hyperlinks>
    <hyperlink ref="U35" r:id="rId1" display="http://maps.google.com/?q=35.988188,-80.06655" xr:uid="{57D7CC05-C907-4B2B-90CA-87680E4B01A7}"/>
    <hyperlink ref="U36" r:id="rId2" display="http://maps.google.com/?q=35.98827,-80.06647" xr:uid="{EC9E0D6D-C288-4459-A5C4-0BE062717241}"/>
    <hyperlink ref="U42" r:id="rId3" display="http://maps.google.com/?q=35.98822,-80.0666" xr:uid="{21AAEFD6-0B2D-4BCA-AA9C-9751E2F77DEB}"/>
    <hyperlink ref="U44" r:id="rId4" display="http://maps.google.com/?q=35.99109,-80.06337" xr:uid="{179C5232-4161-427F-BDD7-AEB6A38D0BF4}"/>
    <hyperlink ref="U45" r:id="rId5" display="http://maps.google.com/?q=35.99211,-80.06229" xr:uid="{C51E73BD-81D2-49E0-A125-AB1922D46D17}"/>
    <hyperlink ref="U23" r:id="rId6" display="http://maps.google.com/?q=35.994472,-80.06245" xr:uid="{ABB7EF93-9487-4FAB-867A-98E500CA5B3A}"/>
    <hyperlink ref="U21" r:id="rId7" display="http://maps.google.com/?q=35.994456,-80.06247" xr:uid="{BB3B8327-98AE-406A-9159-76FDE92D35C5}"/>
    <hyperlink ref="U22" r:id="rId8" display="http://maps.google.com/?q=35.994456,-80.06247" xr:uid="{D9A23181-182E-4D43-8ADE-624F43E83EB3}"/>
    <hyperlink ref="U19" r:id="rId9" display="http://maps.google.com/?q=35.99443,-80.06258" xr:uid="{B8C3D57B-6889-401D-AEDD-2FB4DE182CA1}"/>
    <hyperlink ref="U18" r:id="rId10" display="http://maps.google.com/?q=35.9945,-80.06249" xr:uid="{98F86B29-AD8E-4B75-BBB8-B40D2308EC99}"/>
    <hyperlink ref="U46" r:id="rId11" display="http://maps.google.com/?q=35.994508,-80.062469" xr:uid="{F45BCC9A-A4E3-476F-A5D1-8F155B197D7A}"/>
    <hyperlink ref="U26" r:id="rId12" display="http://maps.google.com/?q=35.99812,-80.06297" xr:uid="{0D3592F2-6D2C-44F9-B921-8DED6B109AFA}"/>
    <hyperlink ref="U49" r:id="rId13" display="http://maps.google.com/?q=36.00188,-80.063" xr:uid="{918E0275-01E8-401F-B116-ED163AC5FCAE}"/>
    <hyperlink ref="U52" r:id="rId14" display="http://maps.google.com/?q=36.00331,-80.06219" xr:uid="{3A75077C-A2F3-42D7-B208-49C0451DA79C}"/>
    <hyperlink ref="U144" r:id="rId15" display="http://maps.google.com/?q=36.00713,-80.0606" xr:uid="{B9F8D11E-40D7-43ED-BA41-43719013D125}"/>
    <hyperlink ref="U149" r:id="rId16" display="http://maps.google.com/?q=36.00762,-80.06054" xr:uid="{86A3A25B-0EFD-44F9-AE15-DEE9B031FA33}"/>
    <hyperlink ref="U57" r:id="rId17" display="http://maps.google.com/?q=36.009882,-80.06053" xr:uid="{6A031BDB-2238-43ED-B8FA-4E6C20DF64E5}"/>
    <hyperlink ref="U60" r:id="rId18" display="http://maps.google.com/?q=36.016926,-80.06724" xr:uid="{6B3509C4-7862-4B7F-9D5E-9A1DD96C9EB3}"/>
    <hyperlink ref="U158" r:id="rId19" display="http://maps.google.com/?q=36.0015,-80.06301" xr:uid="{AC174B43-9D2F-47D7-96F5-1840ADBFF669}"/>
    <hyperlink ref="U66" r:id="rId20" display="http://maps.google.com/?q=36.00034,-80.06173" xr:uid="{967D3D52-5DA6-4CCF-BFD2-0E908890038A}"/>
    <hyperlink ref="U20" r:id="rId21" display="http://maps.google.com/?q=36.009579,-80.06063" xr:uid="{D94BDE78-9EAD-4C90-806F-0976F670C700}"/>
    <hyperlink ref="U70" r:id="rId22" display="http://maps.google.com/?q=36.011641,-80.06052" xr:uid="{05ACF2F0-F5C0-4E49-AB29-1D847E01B54E}"/>
    <hyperlink ref="U74" r:id="rId23" display="http://maps.google.com/?q=35.99133,-80.06282" xr:uid="{B57EEBBD-25BC-4ED2-BFC1-4B8DAC6794C2}"/>
    <hyperlink ref="U77" r:id="rId24" display="http://maps.google.com/?q=35.99142,-80.06269" xr:uid="{0B3370D2-8132-43C8-B670-DB2678EB2E9B}"/>
    <hyperlink ref="U81" r:id="rId25" display="http://maps.google.com/?q=35.99945,-80.06305" xr:uid="{7BA4C0A6-1D8B-4A00-AB7C-9B8112D32529}"/>
    <hyperlink ref="U88" r:id="rId26" display="http://maps.google.com/?q=35.9883,-80.06657" xr:uid="{674D437E-A139-40F6-BF63-11288BD9CFCB}"/>
    <hyperlink ref="U91" r:id="rId27" display="http://maps.google.com/?q=36.0045,-80.06138" xr:uid="{ECBDE62A-39AE-4B56-A801-A921E4051065}"/>
    <hyperlink ref="U92" r:id="rId28" display="http://maps.google.com/?q=36.0045,-80.06142" xr:uid="{A73E8598-0A91-4B31-B149-EB0957BE8EBC}"/>
    <hyperlink ref="U93" r:id="rId29" display="http://maps.google.com/?q=35.99923,-80.06299" xr:uid="{C0001639-1078-40BC-AA4F-FB2F7F1A99B2}"/>
    <hyperlink ref="U99" r:id="rId30" display="http://maps.google.com/?q=36.00694,-80.06093" xr:uid="{A9BA0C6C-8D25-4B9E-9933-730745C2763F}"/>
    <hyperlink ref="U165" r:id="rId31" display="http://maps.google.com/?q=36.007196,-80.0607" xr:uid="{5764EBB8-0890-4AAE-B1F3-D5805A41B960}"/>
    <hyperlink ref="U167" r:id="rId32" display="http://maps.google.com/?q=36.00613,-80.06076" xr:uid="{A3C3B590-2690-46BF-B2D5-CB2FC167A028}"/>
    <hyperlink ref="U102" r:id="rId33" display="http://maps.google.com/?q=35.99301,-80.04478" xr:uid="{108A5CD0-E544-4905-BC50-E063E53B3717}"/>
    <hyperlink ref="U17" r:id="rId34" display="http://maps.google.com/?q=35.99413,-80.06176" xr:uid="{863B1BFF-2BF9-47F7-83F1-DB6B22F5B8EF}"/>
    <hyperlink ref="U112" r:id="rId35" display="http://maps.google.com/?q=35.99383,-80.06044" xr:uid="{D78C6F0B-DD12-44C1-B8C1-4CF02FCF66D8}"/>
    <hyperlink ref="U115" r:id="rId36" display="http://maps.google.com/?q=35.99805,-80.05136" xr:uid="{5840F1B1-8D9A-4564-BA96-5C47F44CF7D8}"/>
    <hyperlink ref="U116" r:id="rId37" display="http://maps.google.com/?q=35.99442,-80.04028" xr:uid="{A4C4BC1D-F790-40F3-A532-2BD00283262F}"/>
    <hyperlink ref="U117" r:id="rId38" display="http://maps.google.com/?q=35.993488,-80.057046" xr:uid="{3214A99F-2E00-42FB-87EE-948B0C8FA27D}"/>
    <hyperlink ref="U118" r:id="rId39" display="http://maps.google.com/?q=35.99305,-80.05136" xr:uid="{34F02C8C-B8A5-41B0-A25E-A04951C39CFA}"/>
    <hyperlink ref="U119" r:id="rId40" display="http://maps.google.com/?q=35.993001,-80.05102" xr:uid="{29D564FB-5E7F-47AC-A8FC-EBFC3C091D2C}"/>
    <hyperlink ref="U121" r:id="rId41" display="http://maps.google.com/?q=35.99182,-80.04815" xr:uid="{B9C50D13-39E6-4B47-8764-C3F37707506F}"/>
    <hyperlink ref="U169" r:id="rId42" display="http://maps.google.com/?q=35.988089,-80.06656" xr:uid="{617B86D8-6536-4DF0-8A8E-7ACB26256DC6}"/>
    <hyperlink ref="U172" r:id="rId43" display="http://maps.google.com/?q=35.98818,-80.06642" xr:uid="{16D8A65F-C6E6-4746-9161-59CE79935706}"/>
    <hyperlink ref="U174" r:id="rId44" display="http://maps.google.com/?q=35.9881,-80.06659" xr:uid="{BB610878-B7D5-4CF4-B1AC-6B16FD04C254}"/>
    <hyperlink ref="U176" r:id="rId45" display="http://maps.google.com/?q=35.98836,-80.0668" xr:uid="{AF8B9571-5F49-4280-BBD7-D5E2FE92DEB0}"/>
    <hyperlink ref="U179" r:id="rId46" display="http://maps.google.com/?q=35.99462,-80.06257" xr:uid="{0F11FD85-1EE7-443F-9685-1710A464AFF9}"/>
    <hyperlink ref="U183" r:id="rId47" display="http://maps.google.com/?q=36.000828,-80.06297" xr:uid="{99A75285-1807-4884-B99F-DE1EC2208731}"/>
    <hyperlink ref="U122" r:id="rId48" display="http://maps.google.com/?q=35.818197,-80.245566" xr:uid="{26D9443D-F985-4574-983F-A76ED6E70AE7}"/>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sqref="A1:N1"/>
    </sheetView>
  </sheetViews>
  <sheetFormatPr defaultColWidth="9.15625" defaultRowHeight="14.4"/>
  <cols>
    <col min="1" max="1" width="10" style="204" bestFit="1" customWidth="1"/>
    <col min="2" max="2" width="10.734375" style="319" bestFit="1" customWidth="1"/>
    <col min="3" max="7" width="3.5234375" style="204" customWidth="1"/>
    <col min="8" max="8" width="11" style="98" customWidth="1"/>
    <col min="9" max="10" width="9.47265625" style="98" customWidth="1"/>
    <col min="11" max="11" width="8.47265625" style="98" customWidth="1"/>
    <col min="12" max="12" width="9.15625" style="320"/>
    <col min="13" max="13" width="9.15625" style="321"/>
    <col min="14" max="14" width="9.15625" style="322" hidden="1" customWidth="1"/>
    <col min="15" max="15" width="2.26171875" style="289" customWidth="1"/>
    <col min="16" max="16" width="7.26171875" style="204" bestFit="1" customWidth="1"/>
    <col min="17" max="17" width="5.7890625" style="204" bestFit="1" customWidth="1"/>
    <col min="18" max="20" width="9.15625" style="204"/>
    <col min="21" max="22" width="9.15625" style="321"/>
    <col min="23" max="24" width="9.15625" style="321"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36" t="s">
        <v>129</v>
      </c>
      <c r="B1" s="737"/>
      <c r="C1" s="737"/>
      <c r="D1" s="737"/>
      <c r="E1" s="737"/>
      <c r="F1" s="737"/>
      <c r="G1" s="737"/>
      <c r="H1" s="737"/>
      <c r="I1" s="737"/>
      <c r="J1" s="737"/>
      <c r="K1" s="737"/>
      <c r="L1" s="737"/>
      <c r="M1" s="737"/>
      <c r="N1" s="737"/>
      <c r="O1" s="262"/>
      <c r="P1" s="738" t="s">
        <v>130</v>
      </c>
      <c r="Q1" s="739"/>
      <c r="R1" s="739"/>
      <c r="S1" s="739"/>
      <c r="T1" s="739"/>
      <c r="U1" s="739"/>
      <c r="V1" s="739"/>
      <c r="W1" s="739"/>
      <c r="X1" s="739"/>
      <c r="Y1" s="740"/>
      <c r="Z1" s="740"/>
      <c r="AA1" s="740"/>
      <c r="AB1" s="740"/>
      <c r="AC1" s="740"/>
      <c r="AD1" s="740"/>
      <c r="AE1" s="740"/>
      <c r="AF1" s="740"/>
      <c r="AG1" s="741"/>
    </row>
    <row r="2" spans="1:45" s="97" customFormat="1" ht="18" customHeight="1" thickBot="1">
      <c r="A2" s="730" t="str">
        <f>"Before Period ("&amp;TEXT('Evaluation Set-up'!D9, "mm/dd/yy")&amp;" - "&amp;TEXT('Evaluation Set-up'!E9, "mm/dd/yy")&amp;")"</f>
        <v>Before Period (03/01/17 - 09/30/21)</v>
      </c>
      <c r="B2" s="731"/>
      <c r="C2" s="731"/>
      <c r="D2" s="731"/>
      <c r="E2" s="731"/>
      <c r="F2" s="731"/>
      <c r="G2" s="731"/>
      <c r="H2" s="731"/>
      <c r="I2" s="731"/>
      <c r="J2" s="731"/>
      <c r="K2" s="731"/>
      <c r="L2" s="731"/>
      <c r="M2" s="731"/>
      <c r="N2" s="263"/>
      <c r="O2" s="264"/>
      <c r="P2" s="732" t="s">
        <v>11</v>
      </c>
      <c r="Q2" s="734" t="s">
        <v>30</v>
      </c>
      <c r="R2" s="734" t="s">
        <v>12</v>
      </c>
      <c r="S2" s="734" t="s">
        <v>50</v>
      </c>
      <c r="T2" s="734" t="s">
        <v>51</v>
      </c>
      <c r="U2" s="734" t="s">
        <v>52</v>
      </c>
      <c r="V2" s="734" t="s">
        <v>53</v>
      </c>
      <c r="W2" s="734" t="s">
        <v>368</v>
      </c>
      <c r="X2" s="742" t="s">
        <v>53</v>
      </c>
      <c r="Y2" s="265"/>
      <c r="AR2" s="254"/>
      <c r="AS2" s="254"/>
    </row>
    <row r="3" spans="1:45" ht="14.7" thickBot="1">
      <c r="A3" s="266" t="s">
        <v>0</v>
      </c>
      <c r="B3" s="268" t="s">
        <v>1</v>
      </c>
      <c r="C3" s="268" t="s">
        <v>2</v>
      </c>
      <c r="D3" s="268" t="s">
        <v>3</v>
      </c>
      <c r="E3" s="268" t="s">
        <v>4</v>
      </c>
      <c r="F3" s="268" t="s">
        <v>5</v>
      </c>
      <c r="G3" s="269" t="s">
        <v>6</v>
      </c>
      <c r="H3" s="266" t="s">
        <v>780</v>
      </c>
      <c r="I3" s="266" t="s">
        <v>781</v>
      </c>
      <c r="J3" s="266" t="s">
        <v>782</v>
      </c>
      <c r="K3" s="266" t="s">
        <v>716</v>
      </c>
      <c r="L3" s="270" t="s">
        <v>57</v>
      </c>
      <c r="M3" s="271" t="s">
        <v>58</v>
      </c>
      <c r="N3" s="272" t="s">
        <v>369</v>
      </c>
      <c r="O3" s="273"/>
      <c r="P3" s="733"/>
      <c r="Q3" s="735"/>
      <c r="R3" s="735"/>
      <c r="S3" s="735"/>
      <c r="T3" s="735"/>
      <c r="U3" s="735"/>
      <c r="V3" s="735"/>
      <c r="W3" s="735"/>
      <c r="X3" s="743"/>
      <c r="Y3" s="274"/>
      <c r="AB3" s="275" t="s">
        <v>13</v>
      </c>
      <c r="AC3" s="276" t="s">
        <v>47</v>
      </c>
      <c r="AD3" s="277" t="s">
        <v>49</v>
      </c>
      <c r="AE3" s="278" t="s">
        <v>370</v>
      </c>
      <c r="AF3" s="279" t="s">
        <v>60</v>
      </c>
      <c r="AR3" t="s">
        <v>11</v>
      </c>
      <c r="AS3" t="s">
        <v>62</v>
      </c>
    </row>
    <row r="4" spans="1:45">
      <c r="A4" s="280">
        <v>105172416</v>
      </c>
      <c r="B4" s="281">
        <v>42935</v>
      </c>
      <c r="C4" s="282">
        <v>31</v>
      </c>
      <c r="D4" s="282">
        <v>1</v>
      </c>
      <c r="E4" s="282">
        <v>0</v>
      </c>
      <c r="F4" s="282">
        <v>1</v>
      </c>
      <c r="G4" s="283" t="s">
        <v>7</v>
      </c>
      <c r="H4" s="285" t="s">
        <v>318</v>
      </c>
      <c r="I4" s="284" t="s">
        <v>771</v>
      </c>
      <c r="J4" s="284" t="s">
        <v>993</v>
      </c>
      <c r="K4" s="285" t="s">
        <v>994</v>
      </c>
      <c r="L4" s="286"/>
      <c r="M4" s="287"/>
      <c r="N4" s="288"/>
      <c r="P4" s="190" t="n">
        <f>IF(R4 = "", "", COUNT(R$4:$R4))</f>
        <v>1</v>
      </c>
      <c r="Q4" s="190" t="n">
        <f t="shared" ref="Q4:Q67" si="0">IF(C4 &gt; 0, YEAR(B4), "")</f>
        <v>2017</v>
      </c>
      <c r="R4" s="191" t="n">
        <f t="shared" ref="R4:R67" si="1">IF(A4="", "", IF(G4="",1,IF(G4="O",1,IF(G4="C",8.4,IF(G4="B",8.4,IF(G4="A",76.8,IF(G4="K",76.8,"ERR")))))))</f>
        <v>1</v>
      </c>
      <c r="S4" s="192" t="str">
        <f>IF(L4&lt;&gt;"",R4,"")</f>
        <v/>
      </c>
      <c r="T4" s="193" t="str">
        <f>IF(IF(L4&lt;&gt;"",G4,"")=0, "O", IF(L4&lt;&gt;"",G4,""))</f>
        <v/>
      </c>
      <c r="U4" s="194" t="str">
        <f>IF(M4&lt;&gt;"",R4,"")</f>
        <v/>
      </c>
      <c r="V4" s="195" t="str">
        <f t="shared" ref="V4:V67" si="2">IF(IF(M4&lt;&gt;"",G4,"")=0, "O", IF(M4&lt;&gt;"",G4,""))</f>
        <v/>
      </c>
      <c r="W4" s="336" t="str">
        <f>IF(N4&lt;&gt;"",R4,"")</f>
        <v/>
      </c>
      <c r="X4" s="338" t="str">
        <f>IF(IF(N4&lt;&gt;"",G4,"")=0, "O", IF(N4&lt;&gt;"",G4,""))</f>
        <v/>
      </c>
      <c r="Y4" s="274"/>
      <c r="AA4" s="290" t="s">
        <v>9</v>
      </c>
      <c r="AB4" s="323" t="n">
        <f>COUNTIF($G$4:$G$1048576,$AA4)</f>
        <v>0</v>
      </c>
      <c r="AC4" s="324" t="n">
        <f>COUNTIF($T$4:$T$1048576,$AA4)</f>
        <v>0</v>
      </c>
      <c r="AD4" s="325" t="n">
        <f>COUNTIF($V$4:$V$1048576,$AA4)</f>
        <v>0</v>
      </c>
      <c r="AE4" s="326" t="n">
        <f>COUNTIF($X$4:$X$1048576,$AA4)</f>
        <v>0</v>
      </c>
      <c r="AF4" s="327" t="n">
        <f>COUNTIF($T:$T, AA4)+COUNTIF($V:$V, AA4)+COUNTIF($X:$X, AA4)-COUNTIFS($T:$T, AA4, $V:$V, AA4,$X:$X,AA4)</f>
        <v>0</v>
      </c>
      <c r="AR4" t="n">
        <f>IF(P4&gt;0, P4, "")</f>
        <v>1</v>
      </c>
      <c r="AS4" t="str">
        <f>IF(OR(L4="Y",M4="Y",N4="Y"),"Y","")</f>
        <v/>
      </c>
    </row>
    <row r="5" spans="1:45">
      <c r="A5" s="291">
        <v>105273794</v>
      </c>
      <c r="B5" s="292">
        <v>43041</v>
      </c>
      <c r="C5" s="293">
        <v>31</v>
      </c>
      <c r="D5" s="293">
        <v>1</v>
      </c>
      <c r="E5" s="293">
        <v>0</v>
      </c>
      <c r="F5" s="293">
        <v>1</v>
      </c>
      <c r="G5" s="294" t="s">
        <v>7</v>
      </c>
      <c r="H5" s="285" t="s">
        <v>318</v>
      </c>
      <c r="I5" s="295" t="s">
        <v>993</v>
      </c>
      <c r="J5" s="284" t="s">
        <v>771</v>
      </c>
      <c r="K5" s="296" t="s">
        <v>997</v>
      </c>
      <c r="L5" s="286"/>
      <c r="M5" s="297"/>
      <c r="N5" s="298"/>
      <c r="P5" s="190" t="n">
        <f>IF(R5 = "", "", COUNT(R$4:$R5))</f>
        <v>2</v>
      </c>
      <c r="Q5" s="190" t="n">
        <f t="shared" si="0"/>
        <v>2017</v>
      </c>
      <c r="R5" s="191" t="n">
        <f t="shared" si="1"/>
        <v>1</v>
      </c>
      <c r="S5" s="192" t="str">
        <f t="shared" ref="S5:S68" si="3">IF(L5&lt;&gt;"",R5,"")</f>
        <v/>
      </c>
      <c r="T5" s="193" t="str">
        <f t="shared" ref="T5:T68" si="4">IF(IF(L5&lt;&gt;"",G5,"")=0, "O", IF(L5&lt;&gt;"",G5,""))</f>
        <v/>
      </c>
      <c r="U5" s="194" t="str">
        <f t="shared" ref="U5:U68" si="5">IF(M5&lt;&gt;"",R5,"")</f>
        <v/>
      </c>
      <c r="V5" s="195" t="str">
        <f t="shared" si="2"/>
        <v/>
      </c>
      <c r="W5" s="336" t="str">
        <f t="shared" ref="W5:W68" si="6">IF(N5&lt;&gt;"",R5,"")</f>
        <v/>
      </c>
      <c r="X5" s="338" t="str">
        <f t="shared" ref="X5:X68" si="7">IF(IF(N5&lt;&gt;"",G5,"")=0, "O", IF(N5&lt;&gt;"",G5,""))</f>
        <v/>
      </c>
      <c r="Y5" s="274"/>
      <c r="AA5" s="290" t="s">
        <v>10</v>
      </c>
      <c r="AB5" s="323" t="n">
        <f>COUNTIF($G$4:$G$1048576,$AA5)</f>
        <v>0</v>
      </c>
      <c r="AC5" s="324" t="n">
        <f>COUNTIF($T$4:$T$1048576,$AA5)</f>
        <v>0</v>
      </c>
      <c r="AD5" s="325" t="n">
        <f>COUNTIF($V$4:$V$1048576,$AA5)</f>
        <v>0</v>
      </c>
      <c r="AE5" s="326" t="n">
        <f>COUNTIF($X$4:$X$1048576,$AA5)</f>
        <v>0</v>
      </c>
      <c r="AF5" s="327" t="n">
        <f t="shared" ref="AF5:AF8" si="8">COUNTIF($T:$T, AA5)+COUNTIF($V:$V, AA5)+COUNTIF($X:$X, AA5)-COUNTIFS($T:$T, AA5, $V:$V, AA5,$X:$X,AA5)</f>
        <v>0</v>
      </c>
      <c r="AR5" t="n">
        <f t="shared" ref="AR5:AR68" si="9">IF(P5&gt;0, P5, "")</f>
        <v>2</v>
      </c>
      <c r="AS5" t="str">
        <f t="shared" ref="AS5:AS68" si="10">IF(OR(L5="Y",M5="Y",N5="Y"),"Y","")</f>
        <v/>
      </c>
    </row>
    <row r="6" spans="1:45">
      <c r="A6" s="291">
        <v>105329673</v>
      </c>
      <c r="B6" s="292">
        <v>43089</v>
      </c>
      <c r="C6" s="293">
        <v>30</v>
      </c>
      <c r="D6" s="293">
        <v>2</v>
      </c>
      <c r="E6" s="293">
        <v>7</v>
      </c>
      <c r="F6" s="293">
        <v>1</v>
      </c>
      <c r="G6" s="294" t="s">
        <v>7</v>
      </c>
      <c r="H6" s="285" t="s">
        <v>715</v>
      </c>
      <c r="I6" s="295" t="s">
        <v>784</v>
      </c>
      <c r="J6" s="295" t="s">
        <v>771</v>
      </c>
      <c r="K6" s="296" t="s">
        <v>994</v>
      </c>
      <c r="L6" s="286" t="s">
        <v>61</v>
      </c>
      <c r="M6" s="297"/>
      <c r="N6" s="298"/>
      <c r="P6" s="190" t="n">
        <f>IF(R6 = "", "", COUNT(R$4:$R6))</f>
        <v>3</v>
      </c>
      <c r="Q6" s="190" t="n">
        <f t="shared" si="0"/>
        <v>2017</v>
      </c>
      <c r="R6" s="191" t="n">
        <f t="shared" si="1"/>
        <v>1</v>
      </c>
      <c r="S6" s="192" t="n">
        <f t="shared" si="3"/>
        <v>1</v>
      </c>
      <c r="T6" s="193" t="str">
        <f t="shared" si="4"/>
        <v>O</v>
      </c>
      <c r="U6" s="194" t="str">
        <f t="shared" si="5"/>
        <v/>
      </c>
      <c r="V6" s="195" t="str">
        <f t="shared" si="2"/>
        <v/>
      </c>
      <c r="W6" s="336" t="str">
        <f t="shared" si="6"/>
        <v/>
      </c>
      <c r="X6" s="338" t="str">
        <f t="shared" si="7"/>
        <v/>
      </c>
      <c r="Y6" s="274"/>
      <c r="AA6" s="290" t="s">
        <v>8</v>
      </c>
      <c r="AB6" s="323" t="n">
        <f>COUNTIF($G$4:$G$1048576,$AA6)</f>
        <v>0</v>
      </c>
      <c r="AC6" s="324" t="n">
        <f>COUNTIF($T$4:$T$1048576,$AA6)</f>
        <v>0</v>
      </c>
      <c r="AD6" s="325" t="n">
        <f>COUNTIF($V$4:$V$1048576,$AA6)</f>
        <v>0</v>
      </c>
      <c r="AE6" s="326" t="n">
        <f>COUNTIF($X$4:$X$1048576,$AA6)</f>
        <v>0</v>
      </c>
      <c r="AF6" s="327" t="n">
        <f t="shared" si="8"/>
        <v>0</v>
      </c>
      <c r="AR6" t="n">
        <f t="shared" si="9"/>
        <v>3</v>
      </c>
      <c r="AS6" t="str">
        <f t="shared" si="10"/>
        <v>Y</v>
      </c>
    </row>
    <row r="7" spans="1:45">
      <c r="A7" s="291">
        <v>105532814</v>
      </c>
      <c r="B7" s="292">
        <v>43284</v>
      </c>
      <c r="C7" s="293">
        <v>32</v>
      </c>
      <c r="D7" s="293">
        <v>1</v>
      </c>
      <c r="E7" s="293">
        <v>0</v>
      </c>
      <c r="F7" s="293">
        <v>1</v>
      </c>
      <c r="G7" s="294" t="s">
        <v>7</v>
      </c>
      <c r="H7" s="296" t="s">
        <v>720</v>
      </c>
      <c r="I7" s="295" t="s">
        <v>1002</v>
      </c>
      <c r="J7" s="295" t="s">
        <v>1003</v>
      </c>
      <c r="K7" s="296" t="s">
        <v>994</v>
      </c>
      <c r="L7" s="286" t="s">
        <v>61</v>
      </c>
      <c r="M7" s="297"/>
      <c r="N7" s="298"/>
      <c r="P7" s="190" t="n">
        <f>IF(R7 = "", "", COUNT(R$4:$R7))</f>
        <v>4</v>
      </c>
      <c r="Q7" s="190" t="n">
        <f t="shared" si="0"/>
        <v>2018</v>
      </c>
      <c r="R7" s="191" t="n">
        <f t="shared" si="1"/>
        <v>1</v>
      </c>
      <c r="S7" s="192" t="n">
        <f>IF(L7&lt;&gt;"",R7,"")</f>
        <v>1</v>
      </c>
      <c r="T7" s="193" t="str">
        <f t="shared" si="4"/>
        <v>O</v>
      </c>
      <c r="U7" s="194" t="str">
        <f t="shared" si="5"/>
        <v/>
      </c>
      <c r="V7" s="195" t="str">
        <f t="shared" si="2"/>
        <v/>
      </c>
      <c r="W7" s="336" t="str">
        <f t="shared" si="6"/>
        <v/>
      </c>
      <c r="X7" s="338" t="str">
        <f t="shared" si="7"/>
        <v/>
      </c>
      <c r="Y7" s="274"/>
      <c r="AA7" s="290" t="s">
        <v>3</v>
      </c>
      <c r="AB7" s="323" t="n">
        <f>COUNTIF($G$4:$G$1048576,$AA7)</f>
        <v>1</v>
      </c>
      <c r="AC7" s="324" t="n">
        <f>COUNTIF($T$4:$T$1048576,$AA7)</f>
        <v>0</v>
      </c>
      <c r="AD7" s="325" t="n">
        <f>COUNTIF($V$4:$V$1048576,$AA7)</f>
        <v>0</v>
      </c>
      <c r="AE7" s="326" t="n">
        <f>COUNTIF($X$4:$X$1048576,$AA7)</f>
        <v>0</v>
      </c>
      <c r="AF7" s="327" t="n">
        <f t="shared" si="8"/>
        <v>0</v>
      </c>
      <c r="AR7" t="n">
        <f t="shared" si="9"/>
        <v>4</v>
      </c>
      <c r="AS7" t="str">
        <f t="shared" si="10"/>
        <v>Y</v>
      </c>
    </row>
    <row r="8" spans="1:45">
      <c r="A8" s="291">
        <v>106097127</v>
      </c>
      <c r="B8" s="292">
        <v>43805</v>
      </c>
      <c r="C8" s="293">
        <v>21</v>
      </c>
      <c r="D8" s="293">
        <v>1</v>
      </c>
      <c r="E8" s="293">
        <v>7</v>
      </c>
      <c r="F8" s="293">
        <v>4</v>
      </c>
      <c r="G8" s="294" t="s">
        <v>3</v>
      </c>
      <c r="H8" s="285" t="s">
        <v>311</v>
      </c>
      <c r="I8" s="295" t="s">
        <v>1003</v>
      </c>
      <c r="J8" s="295" t="s">
        <v>1003</v>
      </c>
      <c r="K8" s="296" t="s">
        <v>997</v>
      </c>
      <c r="L8" s="286"/>
      <c r="M8" s="297"/>
      <c r="N8" s="298"/>
      <c r="P8" s="190" t="n">
        <f>IF(R8 = "", "", COUNT(R$4:$R8))</f>
        <v>5</v>
      </c>
      <c r="Q8" s="190" t="n">
        <f t="shared" si="0"/>
        <v>2019</v>
      </c>
      <c r="R8" s="191" t="n">
        <f t="shared" si="1"/>
        <v>8.4</v>
      </c>
      <c r="S8" s="192" t="str">
        <f t="shared" si="3"/>
        <v/>
      </c>
      <c r="T8" s="193" t="str">
        <f t="shared" si="4"/>
        <v/>
      </c>
      <c r="U8" s="194" t="str">
        <f t="shared" si="5"/>
        <v/>
      </c>
      <c r="V8" s="195" t="str">
        <f t="shared" si="2"/>
        <v/>
      </c>
      <c r="W8" s="336" t="str">
        <f t="shared" si="6"/>
        <v/>
      </c>
      <c r="X8" s="338" t="str">
        <f t="shared" si="7"/>
        <v/>
      </c>
      <c r="Y8" s="274"/>
      <c r="AA8" s="290" t="s">
        <v>7</v>
      </c>
      <c r="AB8" s="323" t="n">
        <f>COUNTIF($G$4:$G$1048576,$AA8)+COUNTIFS($G$4:$G$1048576, "", $P$4:$P$1048576, "&gt;0")</f>
        <v>6</v>
      </c>
      <c r="AC8" s="324" t="n">
        <f>COUNTIF($T$4:$T$1048576,$AA8)</f>
        <v>3</v>
      </c>
      <c r="AD8" s="325" t="n">
        <f>COUNTIF($V$4:$V$1048576,$AA8)</f>
        <v>0</v>
      </c>
      <c r="AE8" s="326" t="n">
        <f>COUNTIF($X$4:$X$1048576,$AA8)</f>
        <v>0</v>
      </c>
      <c r="AF8" s="327" t="n">
        <f t="shared" si="8"/>
        <v>3</v>
      </c>
      <c r="AR8" t="n">
        <f t="shared" si="9"/>
        <v>5</v>
      </c>
      <c r="AS8" t="str">
        <f t="shared" si="10"/>
        <v/>
      </c>
    </row>
    <row r="9" spans="1:45">
      <c r="A9" s="291">
        <v>106412908</v>
      </c>
      <c r="B9" s="292">
        <v>44152</v>
      </c>
      <c r="C9" s="293">
        <v>20</v>
      </c>
      <c r="D9" s="293">
        <v>1</v>
      </c>
      <c r="E9" s="293">
        <v>0</v>
      </c>
      <c r="F9" s="293">
        <v>1</v>
      </c>
      <c r="G9" s="294"/>
      <c r="H9" s="296" t="s">
        <v>318</v>
      </c>
      <c r="I9" s="295" t="s">
        <v>1003</v>
      </c>
      <c r="J9" s="295"/>
      <c r="K9" s="296" t="s">
        <v>997</v>
      </c>
      <c r="L9" s="286"/>
      <c r="M9" s="297"/>
      <c r="N9" s="298"/>
      <c r="P9" s="190" t="n">
        <f>IF(R9 = "", "", COUNT(R$4:$R9))</f>
        <v>6</v>
      </c>
      <c r="Q9" s="190" t="n">
        <f t="shared" si="0"/>
        <v>2020</v>
      </c>
      <c r="R9" s="191" t="n">
        <f t="shared" si="1"/>
        <v>1</v>
      </c>
      <c r="S9" s="192" t="str">
        <f t="shared" si="3"/>
        <v/>
      </c>
      <c r="T9" s="193" t="str">
        <f t="shared" si="4"/>
        <v/>
      </c>
      <c r="U9" s="194" t="str">
        <f t="shared" si="5"/>
        <v/>
      </c>
      <c r="V9" s="195" t="str">
        <f t="shared" si="2"/>
        <v/>
      </c>
      <c r="W9" s="336" t="str">
        <f t="shared" si="6"/>
        <v/>
      </c>
      <c r="X9" s="338" t="str">
        <f t="shared" si="7"/>
        <v/>
      </c>
      <c r="Y9" s="274"/>
      <c r="AA9" s="290" t="s">
        <v>13</v>
      </c>
      <c r="AB9" s="323" t="n">
        <f>COUNTIF(P4:P1048576, "&gt;0")</f>
        <v>7</v>
      </c>
      <c r="AC9" s="324" t="n">
        <f>COUNT(S4:S1048576)</f>
        <v>3</v>
      </c>
      <c r="AD9" s="325" t="n">
        <f>COUNT(U4:U1048576)</f>
        <v>0</v>
      </c>
      <c r="AE9" s="326" t="n">
        <f>COUNT(W4:W1048576)</f>
        <v>0</v>
      </c>
      <c r="AF9" s="327" t="n">
        <f>SUM(AF4:AF8)</f>
        <v>3</v>
      </c>
      <c r="AR9" t="n">
        <f t="shared" si="9"/>
        <v>6</v>
      </c>
      <c r="AS9" t="str">
        <f t="shared" si="10"/>
        <v/>
      </c>
    </row>
    <row r="10" spans="1:45">
      <c r="A10" s="291">
        <v>106594525</v>
      </c>
      <c r="B10" s="292">
        <v>44342</v>
      </c>
      <c r="C10" s="293">
        <v>23</v>
      </c>
      <c r="D10" s="293">
        <v>1</v>
      </c>
      <c r="E10" s="293">
        <v>8</v>
      </c>
      <c r="F10" s="293">
        <v>1</v>
      </c>
      <c r="G10" s="294" t="s">
        <v>7</v>
      </c>
      <c r="H10" s="296" t="s">
        <v>717</v>
      </c>
      <c r="I10" s="295" t="s">
        <v>1003</v>
      </c>
      <c r="J10" s="295" t="s">
        <v>1010</v>
      </c>
      <c r="K10" s="296" t="s">
        <v>994</v>
      </c>
      <c r="L10" s="286" t="s">
        <v>61</v>
      </c>
      <c r="M10" s="297"/>
      <c r="N10" s="298"/>
      <c r="P10" s="190" t="n">
        <f>IF(R10 = "", "", COUNT(R$4:$R10))</f>
        <v>7</v>
      </c>
      <c r="Q10" s="190" t="n">
        <f t="shared" si="0"/>
        <v>2021</v>
      </c>
      <c r="R10" s="191" t="n">
        <f t="shared" si="1"/>
        <v>1</v>
      </c>
      <c r="S10" s="192" t="n">
        <f t="shared" si="3"/>
        <v>1</v>
      </c>
      <c r="T10" s="193" t="str">
        <f t="shared" si="4"/>
        <v>O</v>
      </c>
      <c r="U10" s="194" t="str">
        <f t="shared" si="5"/>
        <v/>
      </c>
      <c r="V10" s="195" t="str">
        <f t="shared" si="2"/>
        <v/>
      </c>
      <c r="W10" s="336" t="str">
        <f t="shared" si="6"/>
        <v/>
      </c>
      <c r="X10" s="338" t="str">
        <f t="shared" si="7"/>
        <v/>
      </c>
      <c r="Y10" s="274"/>
      <c r="AA10" s="290" t="s">
        <v>14</v>
      </c>
      <c r="AB10" s="328" t="n">
        <f>IFERROR(AVERAGE(R4:R1048576), 0)</f>
        <v>2.05714285714286</v>
      </c>
      <c r="AC10" s="329" t="n">
        <f>IFERROR(AVERAGE(S4:S1048576),0)</f>
        <v>1</v>
      </c>
      <c r="AD10" s="330" t="n">
        <f>IFERROR(AVERAGE(U4:U1048576),0)</f>
        <v>0</v>
      </c>
      <c r="AE10" s="331" t="n">
        <f>IFERROR(AVERAGE(W4:W1048576),0)</f>
        <v>0</v>
      </c>
      <c r="AF10" s="332" t="n">
        <f>IFERROR(AVERAGEIF($AS$4:$AS$1048576,"Y", R4:R1048576 ),0)</f>
        <v>1</v>
      </c>
      <c r="AR10" t="n">
        <f t="shared" si="9"/>
        <v>7</v>
      </c>
      <c r="AS10" t="str">
        <f t="shared" si="10"/>
        <v>Y</v>
      </c>
    </row>
    <row r="11" spans="1:45">
      <c r="A11" s="291"/>
      <c r="B11" s="292"/>
      <c r="C11" s="293"/>
      <c r="D11" s="293"/>
      <c r="E11" s="293"/>
      <c r="F11" s="293"/>
      <c r="G11" s="294"/>
      <c r="H11" s="296"/>
      <c r="I11" s="295"/>
      <c r="J11" s="295"/>
      <c r="K11" s="296"/>
      <c r="L11" s="286"/>
      <c r="M11" s="297"/>
      <c r="N11" s="298"/>
      <c r="P11" s="190" t="str">
        <f>IF(R11 = "", "", COUNT(R$4:$R11))</f>
        <v/>
      </c>
      <c r="Q11" s="190" t="str">
        <f t="shared" si="0"/>
        <v/>
      </c>
      <c r="R11" s="191" t="str">
        <f t="shared" si="1"/>
        <v/>
      </c>
      <c r="S11" s="192" t="str">
        <f t="shared" si="3"/>
        <v/>
      </c>
      <c r="T11" s="193" t="str">
        <f t="shared" si="4"/>
        <v/>
      </c>
      <c r="U11" s="194" t="str">
        <f t="shared" si="5"/>
        <v/>
      </c>
      <c r="V11" s="195" t="str">
        <f t="shared" si="2"/>
        <v/>
      </c>
      <c r="W11" s="336" t="str">
        <f t="shared" si="6"/>
        <v/>
      </c>
      <c r="X11" s="338" t="str">
        <f t="shared" si="7"/>
        <v/>
      </c>
      <c r="Y11" s="274"/>
      <c r="AR11" t="str">
        <f t="shared" si="9"/>
        <v/>
      </c>
      <c r="AS11" t="str">
        <f t="shared" si="10"/>
        <v/>
      </c>
    </row>
    <row r="12" spans="1:45">
      <c r="A12" s="291"/>
      <c r="B12" s="292"/>
      <c r="C12" s="293"/>
      <c r="D12" s="293"/>
      <c r="E12" s="293"/>
      <c r="F12" s="293"/>
      <c r="G12" s="294"/>
      <c r="H12" s="296"/>
      <c r="I12" s="295"/>
      <c r="J12" s="295"/>
      <c r="K12" s="296"/>
      <c r="L12" s="286"/>
      <c r="M12" s="297"/>
      <c r="N12" s="298"/>
      <c r="P12" s="190" t="str">
        <f>IF(R12 = "", "", COUNT(R$4:$R12))</f>
        <v/>
      </c>
      <c r="Q12" s="190" t="str">
        <f t="shared" si="0"/>
        <v/>
      </c>
      <c r="R12" s="191" t="str">
        <f t="shared" si="1"/>
        <v/>
      </c>
      <c r="S12" s="192" t="str">
        <f t="shared" si="3"/>
        <v/>
      </c>
      <c r="T12" s="193" t="str">
        <f t="shared" si="4"/>
        <v/>
      </c>
      <c r="U12" s="194" t="str">
        <f t="shared" si="5"/>
        <v/>
      </c>
      <c r="V12" s="195" t="str">
        <f t="shared" si="2"/>
        <v/>
      </c>
      <c r="W12" s="336" t="str">
        <f t="shared" si="6"/>
        <v/>
      </c>
      <c r="X12" s="338" t="str">
        <f t="shared" si="7"/>
        <v/>
      </c>
      <c r="Y12" s="274"/>
      <c r="AR12" t="str">
        <f t="shared" si="9"/>
        <v/>
      </c>
      <c r="AS12" t="str">
        <f t="shared" si="10"/>
        <v/>
      </c>
    </row>
    <row r="13" spans="1:45" ht="14.7" thickBot="1">
      <c r="A13" s="291"/>
      <c r="B13" s="292"/>
      <c r="C13" s="293"/>
      <c r="D13" s="293"/>
      <c r="E13" s="293"/>
      <c r="F13" s="293"/>
      <c r="G13" s="294"/>
      <c r="H13" s="296"/>
      <c r="I13" s="295"/>
      <c r="J13" s="295"/>
      <c r="K13" s="296"/>
      <c r="L13" s="286"/>
      <c r="M13" s="297"/>
      <c r="N13" s="298"/>
      <c r="P13" s="190" t="str">
        <f>IF(R13 = "", "", COUNT(R$4:$R13))</f>
        <v/>
      </c>
      <c r="Q13" s="190" t="str">
        <f t="shared" si="0"/>
        <v/>
      </c>
      <c r="R13" s="191" t="str">
        <f t="shared" si="1"/>
        <v/>
      </c>
      <c r="S13" s="192" t="str">
        <f t="shared" si="3"/>
        <v/>
      </c>
      <c r="T13" s="193" t="str">
        <f t="shared" si="4"/>
        <v/>
      </c>
      <c r="U13" s="194" t="str">
        <f t="shared" si="5"/>
        <v/>
      </c>
      <c r="V13" s="195" t="str">
        <f t="shared" si="2"/>
        <v/>
      </c>
      <c r="W13" s="336" t="str">
        <f t="shared" si="6"/>
        <v/>
      </c>
      <c r="X13" s="338" t="str">
        <f t="shared" si="7"/>
        <v/>
      </c>
      <c r="Y13" s="274"/>
      <c r="AR13" t="str">
        <f t="shared" si="9"/>
        <v/>
      </c>
      <c r="AS13" t="str">
        <f t="shared" si="10"/>
        <v/>
      </c>
    </row>
    <row r="14" spans="1:45" ht="14.7" thickBot="1">
      <c r="A14" s="291"/>
      <c r="B14" s="292"/>
      <c r="C14" s="293"/>
      <c r="D14" s="293"/>
      <c r="E14" s="293"/>
      <c r="F14" s="293"/>
      <c r="G14" s="294"/>
      <c r="H14" s="285"/>
      <c r="I14" s="295"/>
      <c r="J14" s="295"/>
      <c r="K14" s="296"/>
      <c r="L14" s="286"/>
      <c r="M14" s="297"/>
      <c r="N14" s="298"/>
      <c r="P14" s="190" t="str">
        <f>IF(R14 = "", "", COUNT(R$4:$R14))</f>
        <v/>
      </c>
      <c r="Q14" s="190" t="str">
        <f t="shared" si="0"/>
        <v/>
      </c>
      <c r="R14" s="191" t="str">
        <f t="shared" si="1"/>
        <v/>
      </c>
      <c r="S14" s="192" t="str">
        <f t="shared" si="3"/>
        <v/>
      </c>
      <c r="T14" s="193" t="str">
        <f t="shared" si="4"/>
        <v/>
      </c>
      <c r="U14" s="194" t="str">
        <f t="shared" si="5"/>
        <v/>
      </c>
      <c r="V14" s="195" t="str">
        <f t="shared" si="2"/>
        <v/>
      </c>
      <c r="W14" s="336" t="str">
        <f t="shared" si="6"/>
        <v/>
      </c>
      <c r="X14" s="338" t="str">
        <f t="shared" si="7"/>
        <v/>
      </c>
      <c r="Y14" s="274"/>
      <c r="Z14" s="744" t="s">
        <v>40</v>
      </c>
      <c r="AA14" s="745"/>
      <c r="AB14" s="745"/>
      <c r="AC14" s="745"/>
      <c r="AD14" s="745"/>
      <c r="AE14" s="745"/>
      <c r="AF14" s="745"/>
      <c r="AG14" s="746"/>
      <c r="AR14" t="str">
        <f t="shared" si="9"/>
        <v/>
      </c>
      <c r="AS14" t="str">
        <f t="shared" si="10"/>
        <v/>
      </c>
    </row>
    <row r="15" spans="1:45" ht="15" customHeight="1">
      <c r="A15" s="291"/>
      <c r="B15" s="292"/>
      <c r="C15" s="293"/>
      <c r="D15" s="293"/>
      <c r="E15" s="293"/>
      <c r="F15" s="293"/>
      <c r="G15" s="294"/>
      <c r="H15" s="296"/>
      <c r="I15" s="295"/>
      <c r="J15" s="295"/>
      <c r="K15" s="296"/>
      <c r="L15" s="286"/>
      <c r="M15" s="297"/>
      <c r="N15" s="298"/>
      <c r="P15" s="190" t="str">
        <f>IF(R15 = "", "", COUNT(R$4:$R15))</f>
        <v/>
      </c>
      <c r="Q15" s="190" t="str">
        <f t="shared" si="0"/>
        <v/>
      </c>
      <c r="R15" s="191" t="str">
        <f t="shared" si="1"/>
        <v/>
      </c>
      <c r="S15" s="192" t="str">
        <f t="shared" si="3"/>
        <v/>
      </c>
      <c r="T15" s="193" t="str">
        <f t="shared" si="4"/>
        <v/>
      </c>
      <c r="U15" s="194" t="str">
        <f t="shared" si="5"/>
        <v/>
      </c>
      <c r="V15" s="195" t="str">
        <f t="shared" si="2"/>
        <v/>
      </c>
      <c r="W15" s="336" t="str">
        <f t="shared" si="6"/>
        <v/>
      </c>
      <c r="X15" s="338" t="str">
        <f t="shared" si="7"/>
        <v/>
      </c>
      <c r="Y15" s="274"/>
      <c r="Z15" s="752">
        <v>1</v>
      </c>
      <c r="AA15" s="747" t="s">
        <v>724</v>
      </c>
      <c r="AB15" s="748"/>
      <c r="AC15" s="748"/>
      <c r="AD15" s="748"/>
      <c r="AE15" s="748"/>
      <c r="AF15" s="748"/>
      <c r="AG15" s="749"/>
      <c r="AR15" t="str">
        <f t="shared" si="9"/>
        <v/>
      </c>
      <c r="AS15" t="str">
        <f t="shared" si="10"/>
        <v/>
      </c>
    </row>
    <row r="16" spans="1:45" ht="15" customHeight="1">
      <c r="A16" s="291"/>
      <c r="B16" s="292"/>
      <c r="C16" s="293"/>
      <c r="D16" s="293"/>
      <c r="E16" s="293"/>
      <c r="F16" s="293"/>
      <c r="G16" s="294"/>
      <c r="H16" s="296"/>
      <c r="I16" s="295"/>
      <c r="J16" s="295"/>
      <c r="K16" s="296"/>
      <c r="L16" s="286"/>
      <c r="M16" s="297"/>
      <c r="N16" s="298"/>
      <c r="P16" s="190" t="str">
        <f>IF(R16 = "", "", COUNT(R$4:$R16))</f>
        <v/>
      </c>
      <c r="Q16" s="190" t="str">
        <f t="shared" si="0"/>
        <v/>
      </c>
      <c r="R16" s="191" t="str">
        <f t="shared" si="1"/>
        <v/>
      </c>
      <c r="S16" s="192" t="str">
        <f t="shared" si="3"/>
        <v/>
      </c>
      <c r="T16" s="193" t="str">
        <f t="shared" si="4"/>
        <v/>
      </c>
      <c r="U16" s="194" t="str">
        <f t="shared" si="5"/>
        <v/>
      </c>
      <c r="V16" s="195" t="str">
        <f t="shared" si="2"/>
        <v/>
      </c>
      <c r="W16" s="336" t="str">
        <f t="shared" si="6"/>
        <v/>
      </c>
      <c r="X16" s="338" t="str">
        <f t="shared" si="7"/>
        <v/>
      </c>
      <c r="Y16" s="274"/>
      <c r="Z16" s="753"/>
      <c r="AA16" s="750"/>
      <c r="AB16" s="659"/>
      <c r="AC16" s="659"/>
      <c r="AD16" s="659"/>
      <c r="AE16" s="659"/>
      <c r="AF16" s="659"/>
      <c r="AG16" s="751"/>
      <c r="AR16" t="str">
        <f t="shared" si="9"/>
        <v/>
      </c>
      <c r="AS16" t="str">
        <f t="shared" si="10"/>
        <v/>
      </c>
    </row>
    <row r="17" spans="1:45">
      <c r="A17" s="291"/>
      <c r="B17" s="292"/>
      <c r="C17" s="293"/>
      <c r="D17" s="293"/>
      <c r="E17" s="293"/>
      <c r="F17" s="293"/>
      <c r="G17" s="294"/>
      <c r="H17" s="296"/>
      <c r="I17" s="295"/>
      <c r="J17" s="295"/>
      <c r="K17" s="296"/>
      <c r="L17" s="286"/>
      <c r="M17" s="297"/>
      <c r="N17" s="298"/>
      <c r="P17" s="190" t="str">
        <f>IF(R17 = "", "", COUNT(R$4:$R17))</f>
        <v/>
      </c>
      <c r="Q17" s="190" t="str">
        <f t="shared" si="0"/>
        <v/>
      </c>
      <c r="R17" s="191" t="str">
        <f t="shared" si="1"/>
        <v/>
      </c>
      <c r="S17" s="192" t="str">
        <f t="shared" si="3"/>
        <v/>
      </c>
      <c r="T17" s="193" t="str">
        <f t="shared" si="4"/>
        <v/>
      </c>
      <c r="U17" s="194" t="str">
        <f t="shared" si="5"/>
        <v/>
      </c>
      <c r="V17" s="195" t="str">
        <f t="shared" si="2"/>
        <v/>
      </c>
      <c r="W17" s="336" t="str">
        <f t="shared" si="6"/>
        <v/>
      </c>
      <c r="X17" s="338" t="str">
        <f t="shared" si="7"/>
        <v/>
      </c>
      <c r="Y17" s="274"/>
      <c r="Z17" s="753"/>
      <c r="AA17" s="750"/>
      <c r="AB17" s="659"/>
      <c r="AC17" s="659"/>
      <c r="AD17" s="659"/>
      <c r="AE17" s="659"/>
      <c r="AF17" s="659"/>
      <c r="AG17" s="751"/>
      <c r="AR17" t="str">
        <f t="shared" si="9"/>
        <v/>
      </c>
      <c r="AS17" t="str">
        <f t="shared" si="10"/>
        <v/>
      </c>
    </row>
    <row r="18" spans="1:45" ht="15" customHeight="1">
      <c r="A18" s="291"/>
      <c r="B18" s="292"/>
      <c r="C18" s="293"/>
      <c r="D18" s="293"/>
      <c r="E18" s="293"/>
      <c r="F18" s="293"/>
      <c r="G18" s="294"/>
      <c r="H18" s="296"/>
      <c r="I18" s="295"/>
      <c r="J18" s="295"/>
      <c r="K18" s="296"/>
      <c r="L18" s="286"/>
      <c r="M18" s="297"/>
      <c r="N18" s="298"/>
      <c r="P18" s="190" t="str">
        <f>IF(R18 = "", "", COUNT(R$4:$R18))</f>
        <v/>
      </c>
      <c r="Q18" s="190" t="str">
        <f t="shared" si="0"/>
        <v/>
      </c>
      <c r="R18" s="191" t="str">
        <f t="shared" si="1"/>
        <v/>
      </c>
      <c r="S18" s="192" t="str">
        <f t="shared" si="3"/>
        <v/>
      </c>
      <c r="T18" s="193" t="str">
        <f t="shared" si="4"/>
        <v/>
      </c>
      <c r="U18" s="194" t="str">
        <f t="shared" si="5"/>
        <v/>
      </c>
      <c r="V18" s="195" t="str">
        <f t="shared" si="2"/>
        <v/>
      </c>
      <c r="W18" s="336" t="str">
        <f t="shared" si="6"/>
        <v/>
      </c>
      <c r="X18" s="338" t="str">
        <f t="shared" si="7"/>
        <v/>
      </c>
      <c r="Y18" s="274"/>
      <c r="Z18" s="753"/>
      <c r="AA18" s="750"/>
      <c r="AB18" s="659"/>
      <c r="AC18" s="659"/>
      <c r="AD18" s="659"/>
      <c r="AE18" s="659"/>
      <c r="AF18" s="659"/>
      <c r="AG18" s="751"/>
      <c r="AR18" t="str">
        <f t="shared" si="9"/>
        <v/>
      </c>
      <c r="AS18" t="str">
        <f t="shared" si="10"/>
        <v/>
      </c>
    </row>
    <row r="19" spans="1:45">
      <c r="A19" s="291"/>
      <c r="B19" s="292"/>
      <c r="C19" s="293"/>
      <c r="D19" s="293"/>
      <c r="E19" s="293"/>
      <c r="F19" s="293"/>
      <c r="G19" s="294"/>
      <c r="H19" s="296"/>
      <c r="I19" s="295"/>
      <c r="J19" s="295"/>
      <c r="K19" s="296"/>
      <c r="L19" s="286"/>
      <c r="M19" s="297"/>
      <c r="N19" s="298"/>
      <c r="P19" s="190" t="str">
        <f>IF(R19 = "", "", COUNT(R$4:$R19))</f>
        <v/>
      </c>
      <c r="Q19" s="190" t="str">
        <f t="shared" si="0"/>
        <v/>
      </c>
      <c r="R19" s="191" t="str">
        <f t="shared" si="1"/>
        <v/>
      </c>
      <c r="S19" s="192" t="str">
        <f t="shared" si="3"/>
        <v/>
      </c>
      <c r="T19" s="193" t="str">
        <f t="shared" si="4"/>
        <v/>
      </c>
      <c r="U19" s="194" t="str">
        <f t="shared" si="5"/>
        <v/>
      </c>
      <c r="V19" s="195" t="str">
        <f t="shared" si="2"/>
        <v/>
      </c>
      <c r="W19" s="336" t="str">
        <f t="shared" si="6"/>
        <v/>
      </c>
      <c r="X19" s="338" t="str">
        <f t="shared" si="7"/>
        <v/>
      </c>
      <c r="Y19" s="274"/>
      <c r="Z19" s="753"/>
      <c r="AA19" s="299" t="s">
        <v>45</v>
      </c>
      <c r="AB19" s="659" t="s">
        <v>704</v>
      </c>
      <c r="AC19" s="659"/>
      <c r="AD19" s="659"/>
      <c r="AE19" s="659"/>
      <c r="AF19" s="659"/>
      <c r="AG19" s="751"/>
      <c r="AR19" t="str">
        <f t="shared" si="9"/>
        <v/>
      </c>
      <c r="AS19" t="str">
        <f t="shared" si="10"/>
        <v/>
      </c>
    </row>
    <row r="20" spans="1:45" ht="15" customHeight="1">
      <c r="A20" s="291"/>
      <c r="B20" s="292"/>
      <c r="C20" s="293"/>
      <c r="D20" s="293"/>
      <c r="E20" s="293"/>
      <c r="F20" s="293"/>
      <c r="G20" s="294"/>
      <c r="H20" s="296"/>
      <c r="I20" s="295"/>
      <c r="J20" s="295"/>
      <c r="K20" s="296"/>
      <c r="L20" s="286"/>
      <c r="M20" s="297"/>
      <c r="N20" s="298"/>
      <c r="P20" s="190" t="str">
        <f>IF(R20 = "", "", COUNT(R$4:$R20))</f>
        <v/>
      </c>
      <c r="Q20" s="190" t="str">
        <f t="shared" si="0"/>
        <v/>
      </c>
      <c r="R20" s="191" t="str">
        <f t="shared" si="1"/>
        <v/>
      </c>
      <c r="S20" s="192" t="str">
        <f t="shared" si="3"/>
        <v/>
      </c>
      <c r="T20" s="193" t="str">
        <f t="shared" si="4"/>
        <v/>
      </c>
      <c r="U20" s="194" t="str">
        <f t="shared" si="5"/>
        <v/>
      </c>
      <c r="V20" s="195" t="str">
        <f t="shared" si="2"/>
        <v/>
      </c>
      <c r="W20" s="336" t="str">
        <f t="shared" si="6"/>
        <v/>
      </c>
      <c r="X20" s="338" t="str">
        <f t="shared" si="7"/>
        <v/>
      </c>
      <c r="Y20" s="274"/>
      <c r="Z20" s="753"/>
      <c r="AA20" s="299"/>
      <c r="AB20" s="659"/>
      <c r="AC20" s="659"/>
      <c r="AD20" s="659"/>
      <c r="AE20" s="659"/>
      <c r="AF20" s="659"/>
      <c r="AG20" s="751"/>
      <c r="AR20" t="str">
        <f t="shared" si="9"/>
        <v/>
      </c>
      <c r="AS20" t="str">
        <f t="shared" si="10"/>
        <v/>
      </c>
    </row>
    <row r="21" spans="1:45" ht="15" customHeight="1">
      <c r="A21" s="291"/>
      <c r="B21" s="292"/>
      <c r="C21" s="293"/>
      <c r="D21" s="293"/>
      <c r="E21" s="293"/>
      <c r="F21" s="293"/>
      <c r="G21" s="294"/>
      <c r="H21" s="296"/>
      <c r="I21" s="295"/>
      <c r="J21" s="295"/>
      <c r="K21" s="296"/>
      <c r="L21" s="301"/>
      <c r="M21" s="297"/>
      <c r="N21" s="298"/>
      <c r="P21" s="190" t="str">
        <f>IF(R21 = "", "", COUNT(R$4:$R21))</f>
        <v/>
      </c>
      <c r="Q21" s="190" t="str">
        <f t="shared" si="0"/>
        <v/>
      </c>
      <c r="R21" s="191" t="str">
        <f t="shared" si="1"/>
        <v/>
      </c>
      <c r="S21" s="192" t="str">
        <f t="shared" si="3"/>
        <v/>
      </c>
      <c r="T21" s="193" t="str">
        <f t="shared" si="4"/>
        <v/>
      </c>
      <c r="U21" s="194" t="str">
        <f t="shared" si="5"/>
        <v/>
      </c>
      <c r="V21" s="195" t="str">
        <f t="shared" si="2"/>
        <v/>
      </c>
      <c r="W21" s="336" t="str">
        <f t="shared" si="6"/>
        <v/>
      </c>
      <c r="X21" s="338" t="str">
        <f t="shared" si="7"/>
        <v/>
      </c>
      <c r="Y21" s="274"/>
      <c r="Z21" s="753"/>
      <c r="AA21" s="302"/>
      <c r="AB21" s="659"/>
      <c r="AC21" s="659"/>
      <c r="AD21" s="659"/>
      <c r="AE21" s="659"/>
      <c r="AF21" s="659"/>
      <c r="AG21" s="751"/>
      <c r="AR21" t="str">
        <f t="shared" si="9"/>
        <v/>
      </c>
      <c r="AS21" t="str">
        <f t="shared" si="10"/>
        <v/>
      </c>
    </row>
    <row r="22" spans="1:45" ht="15" customHeight="1">
      <c r="A22" s="291"/>
      <c r="B22" s="292"/>
      <c r="C22" s="293"/>
      <c r="D22" s="293"/>
      <c r="E22" s="293"/>
      <c r="F22" s="293"/>
      <c r="G22" s="294"/>
      <c r="H22" s="296"/>
      <c r="I22" s="295"/>
      <c r="J22" s="295"/>
      <c r="K22" s="296"/>
      <c r="L22" s="301"/>
      <c r="M22" s="297"/>
      <c r="N22" s="298"/>
      <c r="P22" s="190" t="str">
        <f>IF(R22 = "", "", COUNT(R$4:$R22))</f>
        <v/>
      </c>
      <c r="Q22" s="190" t="str">
        <f t="shared" si="0"/>
        <v/>
      </c>
      <c r="R22" s="191" t="str">
        <f t="shared" si="1"/>
        <v/>
      </c>
      <c r="S22" s="192" t="str">
        <f t="shared" si="3"/>
        <v/>
      </c>
      <c r="T22" s="193" t="str">
        <f t="shared" si="4"/>
        <v/>
      </c>
      <c r="U22" s="194" t="str">
        <f t="shared" si="5"/>
        <v/>
      </c>
      <c r="V22" s="195" t="str">
        <f t="shared" si="2"/>
        <v/>
      </c>
      <c r="W22" s="336" t="str">
        <f t="shared" si="6"/>
        <v/>
      </c>
      <c r="X22" s="338" t="str">
        <f t="shared" si="7"/>
        <v/>
      </c>
      <c r="Y22" s="274"/>
      <c r="Z22" s="753"/>
      <c r="AA22" s="303"/>
      <c r="AB22" s="659"/>
      <c r="AC22" s="659"/>
      <c r="AD22" s="659"/>
      <c r="AE22" s="659"/>
      <c r="AF22" s="659"/>
      <c r="AG22" s="751"/>
      <c r="AR22" t="str">
        <f t="shared" si="9"/>
        <v/>
      </c>
      <c r="AS22" t="str">
        <f t="shared" si="10"/>
        <v/>
      </c>
    </row>
    <row r="23" spans="1:45" ht="15" customHeight="1">
      <c r="A23" s="291"/>
      <c r="B23" s="292"/>
      <c r="C23" s="293"/>
      <c r="D23" s="293"/>
      <c r="E23" s="293"/>
      <c r="F23" s="293"/>
      <c r="G23" s="294"/>
      <c r="H23" s="296"/>
      <c r="I23" s="295"/>
      <c r="J23" s="295"/>
      <c r="K23" s="296"/>
      <c r="L23" s="301"/>
      <c r="M23" s="297"/>
      <c r="N23" s="298"/>
      <c r="P23" s="190" t="str">
        <f>IF(R23 = "", "", COUNT(R$4:$R23))</f>
        <v/>
      </c>
      <c r="Q23" s="190" t="str">
        <f t="shared" si="0"/>
        <v/>
      </c>
      <c r="R23" s="191" t="str">
        <f t="shared" si="1"/>
        <v/>
      </c>
      <c r="S23" s="192" t="str">
        <f t="shared" si="3"/>
        <v/>
      </c>
      <c r="T23" s="193" t="str">
        <f t="shared" si="4"/>
        <v/>
      </c>
      <c r="U23" s="194" t="str">
        <f t="shared" si="5"/>
        <v/>
      </c>
      <c r="V23" s="195" t="str">
        <f t="shared" si="2"/>
        <v/>
      </c>
      <c r="W23" s="336" t="str">
        <f t="shared" si="6"/>
        <v/>
      </c>
      <c r="X23" s="338" t="str">
        <f t="shared" si="7"/>
        <v/>
      </c>
      <c r="Y23" s="274"/>
      <c r="Z23" s="753"/>
      <c r="AA23" s="303"/>
      <c r="AB23" s="659"/>
      <c r="AC23" s="659"/>
      <c r="AD23" s="659"/>
      <c r="AE23" s="659"/>
      <c r="AF23" s="659"/>
      <c r="AG23" s="751"/>
      <c r="AR23" t="str">
        <f t="shared" si="9"/>
        <v/>
      </c>
      <c r="AS23" t="str">
        <f t="shared" si="10"/>
        <v/>
      </c>
    </row>
    <row r="24" spans="1:45" ht="15" customHeight="1">
      <c r="A24" s="291"/>
      <c r="B24" s="292"/>
      <c r="C24" s="293"/>
      <c r="D24" s="293"/>
      <c r="E24" s="293"/>
      <c r="F24" s="293"/>
      <c r="G24" s="294"/>
      <c r="H24" s="296"/>
      <c r="I24" s="295"/>
      <c r="J24" s="295"/>
      <c r="K24" s="296"/>
      <c r="L24" s="301"/>
      <c r="M24" s="297"/>
      <c r="N24" s="298"/>
      <c r="P24" s="190" t="str">
        <f>IF(R24 = "", "", COUNT(R$4:$R24))</f>
        <v/>
      </c>
      <c r="Q24" s="190" t="str">
        <f t="shared" si="0"/>
        <v/>
      </c>
      <c r="R24" s="191" t="str">
        <f t="shared" si="1"/>
        <v/>
      </c>
      <c r="S24" s="192" t="str">
        <f t="shared" si="3"/>
        <v/>
      </c>
      <c r="T24" s="193" t="str">
        <f t="shared" si="4"/>
        <v/>
      </c>
      <c r="U24" s="194" t="str">
        <f t="shared" si="5"/>
        <v/>
      </c>
      <c r="V24" s="195" t="str">
        <f t="shared" si="2"/>
        <v/>
      </c>
      <c r="W24" s="336" t="str">
        <f t="shared" si="6"/>
        <v/>
      </c>
      <c r="X24" s="338" t="str">
        <f t="shared" si="7"/>
        <v/>
      </c>
      <c r="Y24" s="274"/>
      <c r="Z24" s="753"/>
      <c r="AA24" s="299" t="s">
        <v>45</v>
      </c>
      <c r="AB24" s="659" t="s">
        <v>702</v>
      </c>
      <c r="AC24" s="659"/>
      <c r="AD24" s="659"/>
      <c r="AE24" s="659"/>
      <c r="AF24" s="659"/>
      <c r="AG24" s="751"/>
      <c r="AR24" t="str">
        <f t="shared" si="9"/>
        <v/>
      </c>
      <c r="AS24" t="str">
        <f t="shared" si="10"/>
        <v/>
      </c>
    </row>
    <row r="25" spans="1:45" ht="15" customHeight="1">
      <c r="A25" s="291"/>
      <c r="B25" s="292"/>
      <c r="C25" s="293"/>
      <c r="D25" s="293"/>
      <c r="E25" s="293"/>
      <c r="F25" s="293"/>
      <c r="G25" s="294"/>
      <c r="H25" s="296"/>
      <c r="I25" s="295"/>
      <c r="J25" s="295"/>
      <c r="K25" s="296"/>
      <c r="L25" s="301"/>
      <c r="M25" s="297"/>
      <c r="N25" s="298"/>
      <c r="P25" s="190" t="str">
        <f>IF(R25 = "", "", COUNT(R$4:$R25))</f>
        <v/>
      </c>
      <c r="Q25" s="190" t="str">
        <f t="shared" si="0"/>
        <v/>
      </c>
      <c r="R25" s="191" t="str">
        <f t="shared" si="1"/>
        <v/>
      </c>
      <c r="S25" s="192" t="str">
        <f t="shared" si="3"/>
        <v/>
      </c>
      <c r="T25" s="193" t="str">
        <f t="shared" si="4"/>
        <v/>
      </c>
      <c r="U25" s="194" t="str">
        <f t="shared" si="5"/>
        <v/>
      </c>
      <c r="V25" s="195" t="str">
        <f t="shared" si="2"/>
        <v/>
      </c>
      <c r="W25" s="336" t="str">
        <f t="shared" si="6"/>
        <v/>
      </c>
      <c r="X25" s="338" t="str">
        <f t="shared" si="7"/>
        <v/>
      </c>
      <c r="Y25" s="274"/>
      <c r="Z25" s="753"/>
      <c r="AA25" s="299"/>
      <c r="AB25" s="659"/>
      <c r="AC25" s="659"/>
      <c r="AD25" s="659"/>
      <c r="AE25" s="659"/>
      <c r="AF25" s="659"/>
      <c r="AG25" s="751"/>
      <c r="AR25" t="str">
        <f t="shared" si="9"/>
        <v/>
      </c>
      <c r="AS25" t="str">
        <f t="shared" si="10"/>
        <v/>
      </c>
    </row>
    <row r="26" spans="1:45">
      <c r="A26" s="291"/>
      <c r="B26" s="292"/>
      <c r="C26" s="293"/>
      <c r="D26" s="293"/>
      <c r="E26" s="293"/>
      <c r="F26" s="293"/>
      <c r="G26" s="294"/>
      <c r="H26" s="296"/>
      <c r="I26" s="295"/>
      <c r="J26" s="295"/>
      <c r="K26" s="296"/>
      <c r="L26" s="301"/>
      <c r="M26" s="297"/>
      <c r="N26" s="298"/>
      <c r="P26" s="190" t="str">
        <f>IF(R26 = "", "", COUNT(R$4:$R26))</f>
        <v/>
      </c>
      <c r="Q26" s="190" t="str">
        <f t="shared" si="0"/>
        <v/>
      </c>
      <c r="R26" s="191" t="str">
        <f t="shared" si="1"/>
        <v/>
      </c>
      <c r="S26" s="192" t="str">
        <f t="shared" si="3"/>
        <v/>
      </c>
      <c r="T26" s="193" t="str">
        <f t="shared" si="4"/>
        <v/>
      </c>
      <c r="U26" s="194" t="str">
        <f t="shared" si="5"/>
        <v/>
      </c>
      <c r="V26" s="195" t="str">
        <f t="shared" si="2"/>
        <v/>
      </c>
      <c r="W26" s="336" t="str">
        <f t="shared" si="6"/>
        <v/>
      </c>
      <c r="X26" s="338" t="str">
        <f t="shared" si="7"/>
        <v/>
      </c>
      <c r="Y26" s="274"/>
      <c r="Z26" s="753"/>
      <c r="AA26" s="303"/>
      <c r="AB26" s="659"/>
      <c r="AC26" s="659"/>
      <c r="AD26" s="659"/>
      <c r="AE26" s="659"/>
      <c r="AF26" s="659"/>
      <c r="AG26" s="751"/>
      <c r="AR26" t="str">
        <f t="shared" si="9"/>
        <v/>
      </c>
      <c r="AS26" t="str">
        <f t="shared" si="10"/>
        <v/>
      </c>
    </row>
    <row r="27" spans="1:45" ht="15" customHeight="1">
      <c r="A27" s="291"/>
      <c r="B27" s="292"/>
      <c r="C27" s="293"/>
      <c r="D27" s="293"/>
      <c r="E27" s="293"/>
      <c r="F27" s="293"/>
      <c r="G27" s="294"/>
      <c r="H27" s="296"/>
      <c r="I27" s="295"/>
      <c r="J27" s="295"/>
      <c r="K27" s="296"/>
      <c r="L27" s="301"/>
      <c r="M27" s="297"/>
      <c r="N27" s="298"/>
      <c r="P27" s="190" t="str">
        <f>IF(R27 = "", "", COUNT(R$4:$R27))</f>
        <v/>
      </c>
      <c r="Q27" s="190" t="str">
        <f t="shared" si="0"/>
        <v/>
      </c>
      <c r="R27" s="191" t="str">
        <f t="shared" si="1"/>
        <v/>
      </c>
      <c r="S27" s="192" t="str">
        <f t="shared" si="3"/>
        <v/>
      </c>
      <c r="T27" s="193" t="str">
        <f t="shared" si="4"/>
        <v/>
      </c>
      <c r="U27" s="194" t="str">
        <f t="shared" si="5"/>
        <v/>
      </c>
      <c r="V27" s="195" t="str">
        <f t="shared" si="2"/>
        <v/>
      </c>
      <c r="W27" s="336" t="str">
        <f t="shared" si="6"/>
        <v/>
      </c>
      <c r="X27" s="338" t="str">
        <f t="shared" si="7"/>
        <v/>
      </c>
      <c r="Y27" s="274"/>
      <c r="Z27" s="753"/>
      <c r="AA27" s="304"/>
      <c r="AB27" s="659"/>
      <c r="AC27" s="659"/>
      <c r="AD27" s="659"/>
      <c r="AE27" s="659"/>
      <c r="AF27" s="659"/>
      <c r="AG27" s="751"/>
      <c r="AR27" t="str">
        <f t="shared" si="9"/>
        <v/>
      </c>
      <c r="AS27" t="str">
        <f t="shared" si="10"/>
        <v/>
      </c>
    </row>
    <row r="28" spans="1:45" ht="15" customHeight="1">
      <c r="A28" s="291"/>
      <c r="B28" s="292"/>
      <c r="C28" s="293"/>
      <c r="D28" s="293"/>
      <c r="E28" s="293"/>
      <c r="F28" s="293"/>
      <c r="G28" s="294"/>
      <c r="H28" s="296"/>
      <c r="I28" s="295"/>
      <c r="J28" s="295"/>
      <c r="K28" s="296"/>
      <c r="L28" s="301"/>
      <c r="M28" s="297"/>
      <c r="N28" s="298"/>
      <c r="P28" s="190" t="str">
        <f>IF(R28 = "", "", COUNT(R$4:$R28))</f>
        <v/>
      </c>
      <c r="Q28" s="190" t="str">
        <f t="shared" si="0"/>
        <v/>
      </c>
      <c r="R28" s="191" t="str">
        <f t="shared" si="1"/>
        <v/>
      </c>
      <c r="S28" s="192" t="str">
        <f t="shared" si="3"/>
        <v/>
      </c>
      <c r="T28" s="193" t="str">
        <f t="shared" si="4"/>
        <v/>
      </c>
      <c r="U28" s="194" t="str">
        <f t="shared" si="5"/>
        <v/>
      </c>
      <c r="V28" s="195" t="str">
        <f t="shared" si="2"/>
        <v/>
      </c>
      <c r="W28" s="336" t="str">
        <f t="shared" si="6"/>
        <v/>
      </c>
      <c r="X28" s="338" t="str">
        <f t="shared" si="7"/>
        <v/>
      </c>
      <c r="Y28" s="274"/>
      <c r="Z28" s="715">
        <v>2</v>
      </c>
      <c r="AA28" s="721" t="s">
        <v>131</v>
      </c>
      <c r="AB28" s="721"/>
      <c r="AC28" s="721"/>
      <c r="AD28" s="721"/>
      <c r="AE28" s="721"/>
      <c r="AF28" s="721"/>
      <c r="AG28" s="722"/>
      <c r="AR28" t="str">
        <f t="shared" si="9"/>
        <v/>
      </c>
      <c r="AS28" t="str">
        <f t="shared" si="10"/>
        <v/>
      </c>
    </row>
    <row r="29" spans="1:45">
      <c r="A29" s="291"/>
      <c r="B29" s="292"/>
      <c r="C29" s="293"/>
      <c r="D29" s="293"/>
      <c r="E29" s="293"/>
      <c r="F29" s="293"/>
      <c r="G29" s="294"/>
      <c r="H29" s="296"/>
      <c r="I29" s="295"/>
      <c r="J29" s="295"/>
      <c r="K29" s="296"/>
      <c r="L29" s="301"/>
      <c r="M29" s="297"/>
      <c r="N29" s="298"/>
      <c r="P29" s="190" t="str">
        <f>IF(R29 = "", "", COUNT(R$4:$R29))</f>
        <v/>
      </c>
      <c r="Q29" s="190" t="str">
        <f t="shared" si="0"/>
        <v/>
      </c>
      <c r="R29" s="191" t="str">
        <f t="shared" si="1"/>
        <v/>
      </c>
      <c r="S29" s="192" t="str">
        <f t="shared" si="3"/>
        <v/>
      </c>
      <c r="T29" s="193" t="str">
        <f t="shared" si="4"/>
        <v/>
      </c>
      <c r="U29" s="194" t="str">
        <f t="shared" si="5"/>
        <v/>
      </c>
      <c r="V29" s="195" t="str">
        <f t="shared" si="2"/>
        <v/>
      </c>
      <c r="W29" s="336" t="str">
        <f t="shared" si="6"/>
        <v/>
      </c>
      <c r="X29" s="338" t="str">
        <f t="shared" si="7"/>
        <v/>
      </c>
      <c r="Y29" s="274"/>
      <c r="Z29" s="728"/>
      <c r="AA29" s="215" t="s">
        <v>45</v>
      </c>
      <c r="AB29" s="111" t="s">
        <v>132</v>
      </c>
      <c r="AC29" s="111"/>
      <c r="AD29" s="111"/>
      <c r="AE29" s="111"/>
      <c r="AF29" s="111"/>
      <c r="AG29" s="112"/>
      <c r="AR29" t="str">
        <f t="shared" si="9"/>
        <v/>
      </c>
      <c r="AS29" t="str">
        <f t="shared" si="10"/>
        <v/>
      </c>
    </row>
    <row r="30" spans="1:45" ht="15" customHeight="1">
      <c r="A30" s="291"/>
      <c r="B30" s="292"/>
      <c r="C30" s="293"/>
      <c r="D30" s="293"/>
      <c r="E30" s="293"/>
      <c r="F30" s="293"/>
      <c r="G30" s="294"/>
      <c r="H30" s="296"/>
      <c r="I30" s="295"/>
      <c r="J30" s="295"/>
      <c r="K30" s="296"/>
      <c r="L30" s="301"/>
      <c r="M30" s="297"/>
      <c r="N30" s="298"/>
      <c r="P30" s="190" t="str">
        <f>IF(R30 = "", "", COUNT(R$4:$R30))</f>
        <v/>
      </c>
      <c r="Q30" s="190" t="str">
        <f t="shared" si="0"/>
        <v/>
      </c>
      <c r="R30" s="191" t="str">
        <f t="shared" si="1"/>
        <v/>
      </c>
      <c r="S30" s="192" t="str">
        <f t="shared" si="3"/>
        <v/>
      </c>
      <c r="T30" s="193" t="str">
        <f t="shared" si="4"/>
        <v/>
      </c>
      <c r="U30" s="194" t="str">
        <f t="shared" si="5"/>
        <v/>
      </c>
      <c r="V30" s="195" t="str">
        <f t="shared" si="2"/>
        <v/>
      </c>
      <c r="W30" s="336" t="str">
        <f t="shared" si="6"/>
        <v/>
      </c>
      <c r="X30" s="338" t="str">
        <f t="shared" si="7"/>
        <v/>
      </c>
      <c r="Y30" s="274"/>
      <c r="Z30" s="728"/>
      <c r="AA30" s="215" t="s">
        <v>45</v>
      </c>
      <c r="AB30" s="111" t="s">
        <v>133</v>
      </c>
      <c r="AC30" s="111"/>
      <c r="AD30" s="111"/>
      <c r="AE30" s="111"/>
      <c r="AF30" s="111"/>
      <c r="AG30" s="112"/>
      <c r="AR30" t="str">
        <f t="shared" si="9"/>
        <v/>
      </c>
      <c r="AS30" t="str">
        <f t="shared" si="10"/>
        <v/>
      </c>
    </row>
    <row r="31" spans="1:45">
      <c r="A31" s="291"/>
      <c r="B31" s="292"/>
      <c r="C31" s="293"/>
      <c r="D31" s="293"/>
      <c r="E31" s="293"/>
      <c r="F31" s="293"/>
      <c r="G31" s="294"/>
      <c r="H31" s="296"/>
      <c r="I31" s="295"/>
      <c r="J31" s="295"/>
      <c r="K31" s="296"/>
      <c r="L31" s="301"/>
      <c r="M31" s="297"/>
      <c r="N31" s="298"/>
      <c r="P31" s="190" t="str">
        <f>IF(R31 = "", "", COUNT(R$4:$R31))</f>
        <v/>
      </c>
      <c r="Q31" s="190" t="str">
        <f t="shared" si="0"/>
        <v/>
      </c>
      <c r="R31" s="191" t="str">
        <f t="shared" si="1"/>
        <v/>
      </c>
      <c r="S31" s="192" t="str">
        <f t="shared" si="3"/>
        <v/>
      </c>
      <c r="T31" s="193" t="str">
        <f t="shared" si="4"/>
        <v/>
      </c>
      <c r="U31" s="194" t="str">
        <f t="shared" si="5"/>
        <v/>
      </c>
      <c r="V31" s="195" t="str">
        <f t="shared" si="2"/>
        <v/>
      </c>
      <c r="W31" s="336" t="str">
        <f t="shared" si="6"/>
        <v/>
      </c>
      <c r="X31" s="338" t="str">
        <f t="shared" si="7"/>
        <v/>
      </c>
      <c r="Y31" s="274"/>
      <c r="Z31" s="728"/>
      <c r="AA31" s="215" t="s">
        <v>45</v>
      </c>
      <c r="AB31" s="111" t="s">
        <v>59</v>
      </c>
      <c r="AC31" s="111"/>
      <c r="AD31" s="111"/>
      <c r="AE31" s="111"/>
      <c r="AF31" s="111"/>
      <c r="AG31" s="112"/>
      <c r="AR31" t="str">
        <f t="shared" si="9"/>
        <v/>
      </c>
      <c r="AS31" t="str">
        <f t="shared" si="10"/>
        <v/>
      </c>
    </row>
    <row r="32" spans="1:45">
      <c r="A32" s="291"/>
      <c r="B32" s="292"/>
      <c r="C32" s="293"/>
      <c r="D32" s="293"/>
      <c r="E32" s="293"/>
      <c r="F32" s="293"/>
      <c r="G32" s="294"/>
      <c r="H32" s="296"/>
      <c r="I32" s="295"/>
      <c r="J32" s="295"/>
      <c r="K32" s="296"/>
      <c r="L32" s="301"/>
      <c r="M32" s="297"/>
      <c r="N32" s="298"/>
      <c r="P32" s="190" t="str">
        <f>IF(R32 = "", "", COUNT(R$4:$R32))</f>
        <v/>
      </c>
      <c r="Q32" s="190" t="str">
        <f t="shared" si="0"/>
        <v/>
      </c>
      <c r="R32" s="191" t="str">
        <f t="shared" si="1"/>
        <v/>
      </c>
      <c r="S32" s="192" t="str">
        <f t="shared" si="3"/>
        <v/>
      </c>
      <c r="T32" s="193" t="str">
        <f t="shared" si="4"/>
        <v/>
      </c>
      <c r="U32" s="194" t="str">
        <f t="shared" si="5"/>
        <v/>
      </c>
      <c r="V32" s="195" t="str">
        <f t="shared" si="2"/>
        <v/>
      </c>
      <c r="W32" s="336" t="str">
        <f t="shared" si="6"/>
        <v/>
      </c>
      <c r="X32" s="338" t="str">
        <f t="shared" si="7"/>
        <v/>
      </c>
      <c r="Y32" s="274"/>
      <c r="Z32" s="728"/>
      <c r="AA32" s="215" t="s">
        <v>45</v>
      </c>
      <c r="AB32" s="723" t="s">
        <v>181</v>
      </c>
      <c r="AC32" s="723"/>
      <c r="AD32" s="723"/>
      <c r="AE32" s="723"/>
      <c r="AF32" s="723"/>
      <c r="AG32" s="724"/>
      <c r="AR32" t="str">
        <f t="shared" si="9"/>
        <v/>
      </c>
      <c r="AS32" t="str">
        <f t="shared" si="10"/>
        <v/>
      </c>
    </row>
    <row r="33" spans="1:45">
      <c r="A33" s="291"/>
      <c r="B33" s="292"/>
      <c r="C33" s="293"/>
      <c r="D33" s="293"/>
      <c r="E33" s="293"/>
      <c r="F33" s="293"/>
      <c r="G33" s="294"/>
      <c r="H33" s="296"/>
      <c r="I33" s="295"/>
      <c r="J33" s="295"/>
      <c r="K33" s="296"/>
      <c r="L33" s="301"/>
      <c r="M33" s="297"/>
      <c r="N33" s="298"/>
      <c r="P33" s="190" t="str">
        <f>IF(R33 = "", "", COUNT(R$4:$R33))</f>
        <v/>
      </c>
      <c r="Q33" s="190" t="str">
        <f t="shared" si="0"/>
        <v/>
      </c>
      <c r="R33" s="191" t="str">
        <f t="shared" si="1"/>
        <v/>
      </c>
      <c r="S33" s="192" t="str">
        <f t="shared" si="3"/>
        <v/>
      </c>
      <c r="T33" s="193" t="str">
        <f t="shared" si="4"/>
        <v/>
      </c>
      <c r="U33" s="194" t="str">
        <f t="shared" si="5"/>
        <v/>
      </c>
      <c r="V33" s="195" t="str">
        <f t="shared" si="2"/>
        <v/>
      </c>
      <c r="W33" s="336" t="str">
        <f t="shared" si="6"/>
        <v/>
      </c>
      <c r="X33" s="338" t="str">
        <f t="shared" si="7"/>
        <v/>
      </c>
      <c r="Y33" s="274"/>
      <c r="Z33" s="728"/>
      <c r="AA33" s="111"/>
      <c r="AB33" s="723"/>
      <c r="AC33" s="723"/>
      <c r="AD33" s="723"/>
      <c r="AE33" s="723"/>
      <c r="AF33" s="723"/>
      <c r="AG33" s="724"/>
      <c r="AR33" t="str">
        <f t="shared" si="9"/>
        <v/>
      </c>
      <c r="AS33" t="str">
        <f t="shared" si="10"/>
        <v/>
      </c>
    </row>
    <row r="34" spans="1:45">
      <c r="A34" s="291"/>
      <c r="B34" s="292"/>
      <c r="C34" s="293"/>
      <c r="D34" s="293"/>
      <c r="E34" s="293"/>
      <c r="F34" s="293"/>
      <c r="G34" s="294"/>
      <c r="H34" s="296"/>
      <c r="I34" s="295"/>
      <c r="J34" s="295"/>
      <c r="K34" s="296"/>
      <c r="L34" s="301"/>
      <c r="M34" s="297"/>
      <c r="N34" s="298"/>
      <c r="P34" s="190" t="str">
        <f>IF(R34 = "", "", COUNT(R$4:$R34))</f>
        <v/>
      </c>
      <c r="Q34" s="190" t="str">
        <f t="shared" si="0"/>
        <v/>
      </c>
      <c r="R34" s="191" t="str">
        <f t="shared" si="1"/>
        <v/>
      </c>
      <c r="S34" s="192" t="str">
        <f t="shared" si="3"/>
        <v/>
      </c>
      <c r="T34" s="193" t="str">
        <f t="shared" si="4"/>
        <v/>
      </c>
      <c r="U34" s="194" t="str">
        <f t="shared" si="5"/>
        <v/>
      </c>
      <c r="V34" s="195" t="str">
        <f t="shared" si="2"/>
        <v/>
      </c>
      <c r="W34" s="336" t="str">
        <f t="shared" si="6"/>
        <v/>
      </c>
      <c r="X34" s="338" t="str">
        <f t="shared" si="7"/>
        <v/>
      </c>
      <c r="Y34" s="274"/>
      <c r="Z34" s="728"/>
      <c r="AA34" s="111"/>
      <c r="AB34" s="723"/>
      <c r="AC34" s="723"/>
      <c r="AD34" s="723"/>
      <c r="AE34" s="723"/>
      <c r="AF34" s="723"/>
      <c r="AG34" s="724"/>
      <c r="AR34" t="str">
        <f t="shared" si="9"/>
        <v/>
      </c>
      <c r="AS34" t="str">
        <f t="shared" si="10"/>
        <v/>
      </c>
    </row>
    <row r="35" spans="1:45">
      <c r="A35" s="291"/>
      <c r="B35" s="292"/>
      <c r="C35" s="293"/>
      <c r="D35" s="293"/>
      <c r="E35" s="293"/>
      <c r="F35" s="293"/>
      <c r="G35" s="294"/>
      <c r="H35" s="285"/>
      <c r="I35" s="295"/>
      <c r="J35" s="295"/>
      <c r="K35" s="296"/>
      <c r="L35" s="301"/>
      <c r="M35" s="297"/>
      <c r="N35" s="298"/>
      <c r="P35" s="190" t="str">
        <f>IF(R35 = "", "", COUNT(R$4:$R35))</f>
        <v/>
      </c>
      <c r="Q35" s="190" t="str">
        <f t="shared" si="0"/>
        <v/>
      </c>
      <c r="R35" s="191" t="str">
        <f t="shared" si="1"/>
        <v/>
      </c>
      <c r="S35" s="192" t="str">
        <f t="shared" si="3"/>
        <v/>
      </c>
      <c r="T35" s="193" t="str">
        <f t="shared" si="4"/>
        <v/>
      </c>
      <c r="U35" s="194" t="str">
        <f t="shared" si="5"/>
        <v/>
      </c>
      <c r="V35" s="195" t="str">
        <f t="shared" si="2"/>
        <v/>
      </c>
      <c r="W35" s="336" t="str">
        <f t="shared" si="6"/>
        <v/>
      </c>
      <c r="X35" s="338" t="str">
        <f t="shared" si="7"/>
        <v/>
      </c>
      <c r="Y35" s="274"/>
      <c r="Z35" s="728"/>
      <c r="AA35" s="111"/>
      <c r="AB35" s="723"/>
      <c r="AC35" s="723"/>
      <c r="AD35" s="723"/>
      <c r="AE35" s="723"/>
      <c r="AF35" s="723"/>
      <c r="AG35" s="724"/>
      <c r="AR35" t="str">
        <f t="shared" si="9"/>
        <v/>
      </c>
      <c r="AS35" t="str">
        <f t="shared" si="10"/>
        <v/>
      </c>
    </row>
    <row r="36" spans="1:45">
      <c r="A36" s="291"/>
      <c r="B36" s="292"/>
      <c r="C36" s="293"/>
      <c r="D36" s="293"/>
      <c r="E36" s="293"/>
      <c r="F36" s="293"/>
      <c r="G36" s="294"/>
      <c r="H36" s="296"/>
      <c r="I36" s="295"/>
      <c r="J36" s="295"/>
      <c r="K36" s="296"/>
      <c r="L36" s="301"/>
      <c r="M36" s="297"/>
      <c r="N36" s="298"/>
      <c r="P36" s="190" t="str">
        <f>IF(R36 = "", "", COUNT(R$4:$R36))</f>
        <v/>
      </c>
      <c r="Q36" s="190" t="str">
        <f t="shared" si="0"/>
        <v/>
      </c>
      <c r="R36" s="191" t="str">
        <f t="shared" si="1"/>
        <v/>
      </c>
      <c r="S36" s="192" t="str">
        <f t="shared" si="3"/>
        <v/>
      </c>
      <c r="T36" s="193" t="str">
        <f t="shared" si="4"/>
        <v/>
      </c>
      <c r="U36" s="194" t="str">
        <f t="shared" si="5"/>
        <v/>
      </c>
      <c r="V36" s="195" t="str">
        <f t="shared" si="2"/>
        <v/>
      </c>
      <c r="W36" s="336" t="str">
        <f t="shared" si="6"/>
        <v/>
      </c>
      <c r="X36" s="338" t="str">
        <f t="shared" si="7"/>
        <v/>
      </c>
      <c r="Y36" s="274"/>
      <c r="Z36" s="728"/>
      <c r="AA36" s="215" t="s">
        <v>45</v>
      </c>
      <c r="AB36" s="667" t="s">
        <v>703</v>
      </c>
      <c r="AC36" s="667"/>
      <c r="AD36" s="667"/>
      <c r="AE36" s="667"/>
      <c r="AF36" s="667"/>
      <c r="AG36" s="725"/>
      <c r="AR36" t="str">
        <f t="shared" si="9"/>
        <v/>
      </c>
      <c r="AS36" t="str">
        <f t="shared" si="10"/>
        <v/>
      </c>
    </row>
    <row r="37" spans="1:45" ht="14.5" customHeight="1">
      <c r="A37" s="291"/>
      <c r="B37" s="292"/>
      <c r="C37" s="293"/>
      <c r="D37" s="293"/>
      <c r="E37" s="293"/>
      <c r="F37" s="293"/>
      <c r="G37" s="294"/>
      <c r="H37" s="285"/>
      <c r="I37" s="295"/>
      <c r="J37" s="295"/>
      <c r="K37" s="296"/>
      <c r="L37" s="301"/>
      <c r="M37" s="297"/>
      <c r="N37" s="298"/>
      <c r="P37" s="190" t="str">
        <f>IF(R37 = "", "", COUNT(R$4:$R37))</f>
        <v/>
      </c>
      <c r="Q37" s="190" t="str">
        <f t="shared" si="0"/>
        <v/>
      </c>
      <c r="R37" s="191" t="str">
        <f t="shared" si="1"/>
        <v/>
      </c>
      <c r="S37" s="192" t="str">
        <f t="shared" si="3"/>
        <v/>
      </c>
      <c r="T37" s="193" t="str">
        <f t="shared" si="4"/>
        <v/>
      </c>
      <c r="U37" s="194" t="str">
        <f t="shared" si="5"/>
        <v/>
      </c>
      <c r="V37" s="195" t="str">
        <f t="shared" si="2"/>
        <v/>
      </c>
      <c r="W37" s="336" t="str">
        <f t="shared" si="6"/>
        <v/>
      </c>
      <c r="X37" s="338" t="str">
        <f t="shared" si="7"/>
        <v/>
      </c>
      <c r="Y37" s="274"/>
      <c r="Z37" s="728"/>
      <c r="AA37" s="111"/>
      <c r="AB37" s="667"/>
      <c r="AC37" s="667"/>
      <c r="AD37" s="667"/>
      <c r="AE37" s="667"/>
      <c r="AF37" s="667"/>
      <c r="AG37" s="725"/>
      <c r="AR37" t="str">
        <f t="shared" si="9"/>
        <v/>
      </c>
      <c r="AS37" t="str">
        <f t="shared" si="10"/>
        <v/>
      </c>
    </row>
    <row r="38" spans="1:45">
      <c r="A38" s="291"/>
      <c r="B38" s="292"/>
      <c r="C38" s="293"/>
      <c r="D38" s="293"/>
      <c r="E38" s="293"/>
      <c r="F38" s="293"/>
      <c r="G38" s="294"/>
      <c r="H38" s="296"/>
      <c r="I38" s="295"/>
      <c r="J38" s="295"/>
      <c r="K38" s="296"/>
      <c r="L38" s="301"/>
      <c r="M38" s="297"/>
      <c r="N38" s="298"/>
      <c r="P38" s="190" t="str">
        <f>IF(R38 = "", "", COUNT(R$4:$R38))</f>
        <v/>
      </c>
      <c r="Q38" s="190" t="str">
        <f t="shared" si="0"/>
        <v/>
      </c>
      <c r="R38" s="191" t="str">
        <f t="shared" si="1"/>
        <v/>
      </c>
      <c r="S38" s="192" t="str">
        <f t="shared" si="3"/>
        <v/>
      </c>
      <c r="T38" s="193" t="str">
        <f t="shared" si="4"/>
        <v/>
      </c>
      <c r="U38" s="194" t="str">
        <f t="shared" si="5"/>
        <v/>
      </c>
      <c r="V38" s="195" t="str">
        <f t="shared" si="2"/>
        <v/>
      </c>
      <c r="W38" s="336" t="str">
        <f t="shared" si="6"/>
        <v/>
      </c>
      <c r="X38" s="338" t="str">
        <f t="shared" si="7"/>
        <v/>
      </c>
      <c r="Y38" s="274"/>
      <c r="Z38" s="728"/>
      <c r="AA38" s="215" t="s">
        <v>45</v>
      </c>
      <c r="AB38" s="667" t="s">
        <v>705</v>
      </c>
      <c r="AC38" s="667"/>
      <c r="AD38" s="667"/>
      <c r="AE38" s="667"/>
      <c r="AF38" s="667"/>
      <c r="AG38" s="725"/>
      <c r="AR38" t="str">
        <f t="shared" si="9"/>
        <v/>
      </c>
      <c r="AS38" t="str">
        <f t="shared" si="10"/>
        <v/>
      </c>
    </row>
    <row r="39" spans="1:45">
      <c r="A39" s="291"/>
      <c r="B39" s="292"/>
      <c r="C39" s="293"/>
      <c r="D39" s="293"/>
      <c r="E39" s="293"/>
      <c r="F39" s="293"/>
      <c r="G39" s="294"/>
      <c r="H39" s="296"/>
      <c r="I39" s="295"/>
      <c r="J39" s="295"/>
      <c r="K39" s="296"/>
      <c r="L39" s="301"/>
      <c r="M39" s="297"/>
      <c r="N39" s="298"/>
      <c r="P39" s="190" t="str">
        <f>IF(R39 = "", "", COUNT(R$4:$R39))</f>
        <v/>
      </c>
      <c r="Q39" s="190" t="str">
        <f t="shared" si="0"/>
        <v/>
      </c>
      <c r="R39" s="191" t="str">
        <f t="shared" si="1"/>
        <v/>
      </c>
      <c r="S39" s="192" t="str">
        <f t="shared" si="3"/>
        <v/>
      </c>
      <c r="T39" s="193" t="str">
        <f t="shared" si="4"/>
        <v/>
      </c>
      <c r="U39" s="194" t="str">
        <f t="shared" si="5"/>
        <v/>
      </c>
      <c r="V39" s="195" t="str">
        <f t="shared" si="2"/>
        <v/>
      </c>
      <c r="W39" s="336" t="str">
        <f t="shared" si="6"/>
        <v/>
      </c>
      <c r="X39" s="338" t="str">
        <f t="shared" si="7"/>
        <v/>
      </c>
      <c r="Y39" s="274"/>
      <c r="Z39" s="729"/>
      <c r="AA39" s="305"/>
      <c r="AB39" s="726"/>
      <c r="AC39" s="726"/>
      <c r="AD39" s="726"/>
      <c r="AE39" s="726"/>
      <c r="AF39" s="726"/>
      <c r="AG39" s="727"/>
      <c r="AR39" t="str">
        <f t="shared" si="9"/>
        <v/>
      </c>
      <c r="AS39" t="str">
        <f t="shared" si="10"/>
        <v/>
      </c>
    </row>
    <row r="40" spans="1:45">
      <c r="A40" s="291"/>
      <c r="B40" s="292"/>
      <c r="C40" s="293"/>
      <c r="D40" s="293"/>
      <c r="E40" s="293"/>
      <c r="F40" s="293"/>
      <c r="G40" s="294"/>
      <c r="H40" s="285"/>
      <c r="I40" s="295"/>
      <c r="J40" s="295"/>
      <c r="K40" s="296"/>
      <c r="L40" s="301"/>
      <c r="M40" s="297"/>
      <c r="N40" s="298"/>
      <c r="P40" s="190" t="str">
        <f>IF(R40 = "", "", COUNT(R$4:$R40))</f>
        <v/>
      </c>
      <c r="Q40" s="190" t="str">
        <f t="shared" si="0"/>
        <v/>
      </c>
      <c r="R40" s="191" t="str">
        <f t="shared" si="1"/>
        <v/>
      </c>
      <c r="S40" s="192" t="str">
        <f t="shared" si="3"/>
        <v/>
      </c>
      <c r="T40" s="193" t="str">
        <f t="shared" si="4"/>
        <v/>
      </c>
      <c r="U40" s="194" t="str">
        <f t="shared" si="5"/>
        <v/>
      </c>
      <c r="V40" s="195" t="str">
        <f t="shared" si="2"/>
        <v/>
      </c>
      <c r="W40" s="336" t="str">
        <f t="shared" si="6"/>
        <v/>
      </c>
      <c r="X40" s="338" t="str">
        <f t="shared" si="7"/>
        <v/>
      </c>
      <c r="Y40" s="274"/>
      <c r="Z40" s="715">
        <v>4</v>
      </c>
      <c r="AA40" s="717" t="s">
        <v>706</v>
      </c>
      <c r="AB40" s="717"/>
      <c r="AC40" s="717"/>
      <c r="AD40" s="717"/>
      <c r="AE40" s="717"/>
      <c r="AF40" s="717"/>
      <c r="AG40" s="718"/>
      <c r="AR40" t="str">
        <f t="shared" si="9"/>
        <v/>
      </c>
      <c r="AS40" t="str">
        <f t="shared" si="10"/>
        <v/>
      </c>
    </row>
    <row r="41" spans="1:45" ht="15" customHeight="1" thickBot="1">
      <c r="A41" s="291"/>
      <c r="B41" s="292"/>
      <c r="C41" s="293"/>
      <c r="D41" s="293"/>
      <c r="E41" s="293"/>
      <c r="F41" s="293"/>
      <c r="G41" s="294"/>
      <c r="H41" s="296"/>
      <c r="I41" s="295"/>
      <c r="J41" s="295"/>
      <c r="K41" s="296"/>
      <c r="L41" s="301"/>
      <c r="M41" s="297"/>
      <c r="N41" s="298"/>
      <c r="P41" s="190" t="str">
        <f>IF(R41 = "", "", COUNT(R$4:$R41))</f>
        <v/>
      </c>
      <c r="Q41" s="190" t="str">
        <f t="shared" si="0"/>
        <v/>
      </c>
      <c r="R41" s="191" t="str">
        <f t="shared" si="1"/>
        <v/>
      </c>
      <c r="S41" s="192" t="str">
        <f t="shared" si="3"/>
        <v/>
      </c>
      <c r="T41" s="193" t="str">
        <f t="shared" si="4"/>
        <v/>
      </c>
      <c r="U41" s="194" t="str">
        <f t="shared" si="5"/>
        <v/>
      </c>
      <c r="V41" s="195" t="str">
        <f t="shared" si="2"/>
        <v/>
      </c>
      <c r="W41" s="336" t="str">
        <f t="shared" si="6"/>
        <v/>
      </c>
      <c r="X41" s="338" t="str">
        <f t="shared" si="7"/>
        <v/>
      </c>
      <c r="Y41" s="274"/>
      <c r="Z41" s="716"/>
      <c r="AA41" s="719"/>
      <c r="AB41" s="719"/>
      <c r="AC41" s="719"/>
      <c r="AD41" s="719"/>
      <c r="AE41" s="719"/>
      <c r="AF41" s="719"/>
      <c r="AG41" s="720"/>
      <c r="AR41" t="str">
        <f t="shared" si="9"/>
        <v/>
      </c>
      <c r="AS41" t="str">
        <f t="shared" si="10"/>
        <v/>
      </c>
    </row>
    <row r="42" spans="1:45">
      <c r="A42" s="291"/>
      <c r="B42" s="292"/>
      <c r="C42" s="293"/>
      <c r="D42" s="293"/>
      <c r="E42" s="293"/>
      <c r="F42" s="293"/>
      <c r="G42" s="294"/>
      <c r="H42" s="296"/>
      <c r="I42" s="295"/>
      <c r="J42" s="295"/>
      <c r="K42" s="296"/>
      <c r="L42" s="301"/>
      <c r="M42" s="297"/>
      <c r="N42" s="298"/>
      <c r="P42" s="190" t="str">
        <f>IF(R42 = "", "", COUNT(R$4:$R42))</f>
        <v/>
      </c>
      <c r="Q42" s="190" t="str">
        <f t="shared" si="0"/>
        <v/>
      </c>
      <c r="R42" s="191" t="str">
        <f t="shared" si="1"/>
        <v/>
      </c>
      <c r="S42" s="192" t="str">
        <f t="shared" si="3"/>
        <v/>
      </c>
      <c r="T42" s="193" t="str">
        <f t="shared" si="4"/>
        <v/>
      </c>
      <c r="U42" s="194" t="str">
        <f t="shared" si="5"/>
        <v/>
      </c>
      <c r="V42" s="195" t="str">
        <f t="shared" si="2"/>
        <v/>
      </c>
      <c r="W42" s="336" t="str">
        <f t="shared" si="6"/>
        <v/>
      </c>
      <c r="X42" s="338" t="str">
        <f t="shared" si="7"/>
        <v/>
      </c>
      <c r="Y42" s="274"/>
      <c r="AR42" t="str">
        <f t="shared" si="9"/>
        <v/>
      </c>
      <c r="AS42" t="str">
        <f t="shared" si="10"/>
        <v/>
      </c>
    </row>
    <row r="43" spans="1:45">
      <c r="A43" s="291"/>
      <c r="B43" s="292"/>
      <c r="C43" s="293"/>
      <c r="D43" s="293"/>
      <c r="E43" s="293"/>
      <c r="F43" s="293"/>
      <c r="G43" s="294"/>
      <c r="H43" s="296"/>
      <c r="I43" s="295"/>
      <c r="J43" s="295"/>
      <c r="K43" s="296"/>
      <c r="L43" s="301"/>
      <c r="M43" s="297"/>
      <c r="N43" s="298"/>
      <c r="P43" s="190" t="str">
        <f>IF(R43 = "", "", COUNT(R$4:$R43))</f>
        <v/>
      </c>
      <c r="Q43" s="190" t="str">
        <f t="shared" si="0"/>
        <v/>
      </c>
      <c r="R43" s="191" t="str">
        <f t="shared" si="1"/>
        <v/>
      </c>
      <c r="S43" s="192" t="str">
        <f t="shared" si="3"/>
        <v/>
      </c>
      <c r="T43" s="193" t="str">
        <f t="shared" si="4"/>
        <v/>
      </c>
      <c r="U43" s="194" t="str">
        <f t="shared" si="5"/>
        <v/>
      </c>
      <c r="V43" s="195" t="str">
        <f t="shared" si="2"/>
        <v/>
      </c>
      <c r="W43" s="336" t="str">
        <f t="shared" si="6"/>
        <v/>
      </c>
      <c r="X43" s="338" t="str">
        <f t="shared" si="7"/>
        <v/>
      </c>
      <c r="Y43" s="274"/>
      <c r="AR43" t="str">
        <f t="shared" si="9"/>
        <v/>
      </c>
      <c r="AS43" t="str">
        <f t="shared" si="10"/>
        <v/>
      </c>
    </row>
    <row r="44" spans="1:45">
      <c r="A44" s="291"/>
      <c r="B44" s="292"/>
      <c r="C44" s="293"/>
      <c r="D44" s="293"/>
      <c r="E44" s="293"/>
      <c r="F44" s="293"/>
      <c r="G44" s="294"/>
      <c r="H44" s="296"/>
      <c r="I44" s="295"/>
      <c r="J44" s="295"/>
      <c r="K44" s="296"/>
      <c r="L44" s="301"/>
      <c r="M44" s="297"/>
      <c r="N44" s="298"/>
      <c r="P44" s="190" t="str">
        <f>IF(R44 = "", "", COUNT(R$4:$R44))</f>
        <v/>
      </c>
      <c r="Q44" s="190" t="str">
        <f t="shared" si="0"/>
        <v/>
      </c>
      <c r="R44" s="191" t="str">
        <f t="shared" si="1"/>
        <v/>
      </c>
      <c r="S44" s="192" t="str">
        <f t="shared" si="3"/>
        <v/>
      </c>
      <c r="T44" s="193" t="str">
        <f t="shared" si="4"/>
        <v/>
      </c>
      <c r="U44" s="194" t="str">
        <f t="shared" si="5"/>
        <v/>
      </c>
      <c r="V44" s="195" t="str">
        <f t="shared" si="2"/>
        <v/>
      </c>
      <c r="W44" s="336" t="str">
        <f t="shared" si="6"/>
        <v/>
      </c>
      <c r="X44" s="338" t="str">
        <f t="shared" si="7"/>
        <v/>
      </c>
      <c r="Y44" s="274"/>
      <c r="AR44" t="str">
        <f t="shared" si="9"/>
        <v/>
      </c>
      <c r="AS44" t="str">
        <f t="shared" si="10"/>
        <v/>
      </c>
    </row>
    <row r="45" spans="1:45">
      <c r="A45" s="291"/>
      <c r="B45" s="292"/>
      <c r="C45" s="293"/>
      <c r="D45" s="293"/>
      <c r="E45" s="293"/>
      <c r="F45" s="293"/>
      <c r="G45" s="294"/>
      <c r="H45" s="285"/>
      <c r="I45" s="295"/>
      <c r="J45" s="295"/>
      <c r="K45" s="296"/>
      <c r="L45" s="301"/>
      <c r="M45" s="297"/>
      <c r="N45" s="298"/>
      <c r="P45" s="190" t="str">
        <f>IF(R45 = "", "", COUNT(R$4:$R45))</f>
        <v/>
      </c>
      <c r="Q45" s="190" t="str">
        <f t="shared" si="0"/>
        <v/>
      </c>
      <c r="R45" s="191" t="str">
        <f t="shared" si="1"/>
        <v/>
      </c>
      <c r="S45" s="192" t="str">
        <f t="shared" si="3"/>
        <v/>
      </c>
      <c r="T45" s="193" t="str">
        <f t="shared" si="4"/>
        <v/>
      </c>
      <c r="U45" s="194" t="str">
        <f t="shared" si="5"/>
        <v/>
      </c>
      <c r="V45" s="195" t="str">
        <f t="shared" si="2"/>
        <v/>
      </c>
      <c r="W45" s="336" t="str">
        <f t="shared" si="6"/>
        <v/>
      </c>
      <c r="X45" s="338" t="str">
        <f t="shared" si="7"/>
        <v/>
      </c>
      <c r="Y45" s="274"/>
      <c r="AR45" t="str">
        <f t="shared" si="9"/>
        <v/>
      </c>
      <c r="AS45" t="str">
        <f t="shared" si="10"/>
        <v/>
      </c>
    </row>
    <row r="46" spans="1:45">
      <c r="A46" s="291"/>
      <c r="B46" s="292"/>
      <c r="C46" s="293"/>
      <c r="D46" s="293"/>
      <c r="E46" s="293"/>
      <c r="F46" s="293"/>
      <c r="G46" s="294"/>
      <c r="H46" s="296"/>
      <c r="I46" s="295"/>
      <c r="J46" s="295"/>
      <c r="K46" s="296"/>
      <c r="L46" s="301"/>
      <c r="M46" s="297"/>
      <c r="N46" s="298"/>
      <c r="P46" s="190" t="str">
        <f>IF(R46 = "", "", COUNT(R$4:$R46))</f>
        <v/>
      </c>
      <c r="Q46" s="190" t="str">
        <f t="shared" si="0"/>
        <v/>
      </c>
      <c r="R46" s="191" t="str">
        <f t="shared" si="1"/>
        <v/>
      </c>
      <c r="S46" s="192" t="str">
        <f t="shared" si="3"/>
        <v/>
      </c>
      <c r="T46" s="193" t="str">
        <f t="shared" si="4"/>
        <v/>
      </c>
      <c r="U46" s="194" t="str">
        <f t="shared" si="5"/>
        <v/>
      </c>
      <c r="V46" s="195" t="str">
        <f t="shared" si="2"/>
        <v/>
      </c>
      <c r="W46" s="336" t="str">
        <f t="shared" si="6"/>
        <v/>
      </c>
      <c r="X46" s="338" t="str">
        <f t="shared" si="7"/>
        <v/>
      </c>
      <c r="Y46" s="274"/>
      <c r="AR46" t="str">
        <f t="shared" si="9"/>
        <v/>
      </c>
      <c r="AS46" t="str">
        <f t="shared" si="10"/>
        <v/>
      </c>
    </row>
    <row r="47" spans="1:45">
      <c r="A47" s="291"/>
      <c r="B47" s="292"/>
      <c r="C47" s="293"/>
      <c r="D47" s="293"/>
      <c r="E47" s="293"/>
      <c r="F47" s="293"/>
      <c r="G47" s="294"/>
      <c r="H47" s="296"/>
      <c r="I47" s="295"/>
      <c r="J47" s="295"/>
      <c r="K47" s="296"/>
      <c r="L47" s="301"/>
      <c r="M47" s="297"/>
      <c r="N47" s="298"/>
      <c r="P47" s="190" t="str">
        <f>IF(R47 = "", "", COUNT(R$4:$R47))</f>
        <v/>
      </c>
      <c r="Q47" s="190" t="str">
        <f t="shared" si="0"/>
        <v/>
      </c>
      <c r="R47" s="191" t="str">
        <f t="shared" si="1"/>
        <v/>
      </c>
      <c r="S47" s="192" t="str">
        <f t="shared" si="3"/>
        <v/>
      </c>
      <c r="T47" s="193" t="str">
        <f t="shared" si="4"/>
        <v/>
      </c>
      <c r="U47" s="194" t="str">
        <f t="shared" si="5"/>
        <v/>
      </c>
      <c r="V47" s="195" t="str">
        <f t="shared" si="2"/>
        <v/>
      </c>
      <c r="W47" s="336" t="str">
        <f t="shared" si="6"/>
        <v/>
      </c>
      <c r="X47" s="338" t="str">
        <f t="shared" si="7"/>
        <v/>
      </c>
      <c r="Y47" s="274"/>
      <c r="AR47" t="str">
        <f t="shared" si="9"/>
        <v/>
      </c>
      <c r="AS47" t="str">
        <f t="shared" si="10"/>
        <v/>
      </c>
    </row>
    <row r="48" spans="1:45">
      <c r="A48" s="291"/>
      <c r="B48" s="292"/>
      <c r="C48" s="293"/>
      <c r="D48" s="293"/>
      <c r="E48" s="293"/>
      <c r="F48" s="293"/>
      <c r="G48" s="294"/>
      <c r="H48" s="285"/>
      <c r="I48" s="295"/>
      <c r="J48" s="295"/>
      <c r="K48" s="296"/>
      <c r="L48" s="301"/>
      <c r="M48" s="297"/>
      <c r="N48" s="298"/>
      <c r="P48" s="190" t="str">
        <f>IF(R48 = "", "", COUNT(R$4:$R48))</f>
        <v/>
      </c>
      <c r="Q48" s="190" t="str">
        <f t="shared" si="0"/>
        <v/>
      </c>
      <c r="R48" s="191" t="str">
        <f t="shared" si="1"/>
        <v/>
      </c>
      <c r="S48" s="192" t="str">
        <f t="shared" si="3"/>
        <v/>
      </c>
      <c r="T48" s="193" t="str">
        <f t="shared" si="4"/>
        <v/>
      </c>
      <c r="U48" s="194" t="str">
        <f t="shared" si="5"/>
        <v/>
      </c>
      <c r="V48" s="195" t="str">
        <f t="shared" si="2"/>
        <v/>
      </c>
      <c r="W48" s="336" t="str">
        <f t="shared" si="6"/>
        <v/>
      </c>
      <c r="X48" s="338" t="str">
        <f t="shared" si="7"/>
        <v/>
      </c>
      <c r="Y48" s="274"/>
      <c r="AR48" t="str">
        <f t="shared" si="9"/>
        <v/>
      </c>
      <c r="AS48" t="str">
        <f t="shared" si="10"/>
        <v/>
      </c>
    </row>
    <row r="49" spans="1:45">
      <c r="A49" s="291"/>
      <c r="B49" s="292"/>
      <c r="C49" s="293"/>
      <c r="D49" s="293"/>
      <c r="E49" s="293"/>
      <c r="F49" s="293"/>
      <c r="G49" s="294"/>
      <c r="H49" s="296"/>
      <c r="I49" s="295"/>
      <c r="J49" s="295"/>
      <c r="K49" s="296"/>
      <c r="L49" s="301"/>
      <c r="M49" s="297"/>
      <c r="N49" s="298"/>
      <c r="P49" s="190" t="str">
        <f>IF(R49 = "", "", COUNT(R$4:$R49))</f>
        <v/>
      </c>
      <c r="Q49" s="190" t="str">
        <f t="shared" si="0"/>
        <v/>
      </c>
      <c r="R49" s="191" t="str">
        <f t="shared" si="1"/>
        <v/>
      </c>
      <c r="S49" s="192" t="str">
        <f t="shared" si="3"/>
        <v/>
      </c>
      <c r="T49" s="193" t="str">
        <f t="shared" si="4"/>
        <v/>
      </c>
      <c r="U49" s="194" t="str">
        <f t="shared" si="5"/>
        <v/>
      </c>
      <c r="V49" s="195" t="str">
        <f t="shared" si="2"/>
        <v/>
      </c>
      <c r="W49" s="336" t="str">
        <f t="shared" si="6"/>
        <v/>
      </c>
      <c r="X49" s="338" t="str">
        <f t="shared" si="7"/>
        <v/>
      </c>
      <c r="Y49" s="274"/>
      <c r="AR49" t="str">
        <f t="shared" si="9"/>
        <v/>
      </c>
      <c r="AS49" t="str">
        <f t="shared" si="10"/>
        <v/>
      </c>
    </row>
    <row r="50" spans="1:45">
      <c r="A50" s="291"/>
      <c r="B50" s="292"/>
      <c r="C50" s="293"/>
      <c r="D50" s="293"/>
      <c r="E50" s="293"/>
      <c r="F50" s="293"/>
      <c r="G50" s="294"/>
      <c r="H50" s="296"/>
      <c r="I50" s="295"/>
      <c r="J50" s="295"/>
      <c r="K50" s="296"/>
      <c r="L50" s="301"/>
      <c r="M50" s="297"/>
      <c r="N50" s="298"/>
      <c r="P50" s="190" t="str">
        <f>IF(R50 = "", "", COUNT(R$4:$R50))</f>
        <v/>
      </c>
      <c r="Q50" s="190" t="str">
        <f t="shared" si="0"/>
        <v/>
      </c>
      <c r="R50" s="191" t="str">
        <f t="shared" si="1"/>
        <v/>
      </c>
      <c r="S50" s="192" t="str">
        <f t="shared" si="3"/>
        <v/>
      </c>
      <c r="T50" s="193" t="str">
        <f t="shared" si="4"/>
        <v/>
      </c>
      <c r="U50" s="194" t="str">
        <f t="shared" si="5"/>
        <v/>
      </c>
      <c r="V50" s="195" t="str">
        <f t="shared" si="2"/>
        <v/>
      </c>
      <c r="W50" s="336" t="str">
        <f t="shared" si="6"/>
        <v/>
      </c>
      <c r="X50" s="338" t="str">
        <f t="shared" si="7"/>
        <v/>
      </c>
      <c r="Y50" s="274"/>
      <c r="AR50" t="str">
        <f t="shared" si="9"/>
        <v/>
      </c>
      <c r="AS50" t="str">
        <f t="shared" si="10"/>
        <v/>
      </c>
    </row>
    <row r="51" spans="1:45">
      <c r="A51" s="291"/>
      <c r="B51" s="292"/>
      <c r="C51" s="293"/>
      <c r="D51" s="293"/>
      <c r="E51" s="293"/>
      <c r="F51" s="293"/>
      <c r="G51" s="294"/>
      <c r="H51" s="296"/>
      <c r="I51" s="295"/>
      <c r="J51" s="295"/>
      <c r="K51" s="296"/>
      <c r="L51" s="301"/>
      <c r="M51" s="297"/>
      <c r="N51" s="298"/>
      <c r="P51" s="190" t="str">
        <f>IF(R51 = "", "", COUNT(R$4:$R51))</f>
        <v/>
      </c>
      <c r="Q51" s="190" t="str">
        <f t="shared" si="0"/>
        <v/>
      </c>
      <c r="R51" s="191" t="str">
        <f t="shared" si="1"/>
        <v/>
      </c>
      <c r="S51" s="192" t="str">
        <f t="shared" si="3"/>
        <v/>
      </c>
      <c r="T51" s="193" t="str">
        <f t="shared" si="4"/>
        <v/>
      </c>
      <c r="U51" s="194" t="str">
        <f t="shared" si="5"/>
        <v/>
      </c>
      <c r="V51" s="195" t="str">
        <f t="shared" si="2"/>
        <v/>
      </c>
      <c r="W51" s="336" t="str">
        <f t="shared" si="6"/>
        <v/>
      </c>
      <c r="X51" s="338" t="str">
        <f t="shared" si="7"/>
        <v/>
      </c>
      <c r="Y51" s="274"/>
      <c r="AR51" t="str">
        <f t="shared" si="9"/>
        <v/>
      </c>
      <c r="AS51" t="str">
        <f t="shared" si="10"/>
        <v/>
      </c>
    </row>
    <row r="52" spans="1:45">
      <c r="A52" s="291"/>
      <c r="B52" s="292"/>
      <c r="C52" s="293"/>
      <c r="D52" s="293"/>
      <c r="E52" s="293"/>
      <c r="F52" s="293"/>
      <c r="G52" s="294"/>
      <c r="H52" s="296"/>
      <c r="I52" s="295"/>
      <c r="J52" s="295"/>
      <c r="K52" s="296"/>
      <c r="L52" s="301"/>
      <c r="M52" s="297"/>
      <c r="N52" s="298"/>
      <c r="P52" s="190" t="str">
        <f>IF(R52 = "", "", COUNT(R$4:$R52))</f>
        <v/>
      </c>
      <c r="Q52" s="190" t="str">
        <f t="shared" si="0"/>
        <v/>
      </c>
      <c r="R52" s="191" t="str">
        <f t="shared" si="1"/>
        <v/>
      </c>
      <c r="S52" s="192" t="str">
        <f t="shared" si="3"/>
        <v/>
      </c>
      <c r="T52" s="193" t="str">
        <f t="shared" si="4"/>
        <v/>
      </c>
      <c r="U52" s="194" t="str">
        <f t="shared" si="5"/>
        <v/>
      </c>
      <c r="V52" s="195" t="str">
        <f t="shared" si="2"/>
        <v/>
      </c>
      <c r="W52" s="336" t="str">
        <f t="shared" si="6"/>
        <v/>
      </c>
      <c r="X52" s="338" t="str">
        <f t="shared" si="7"/>
        <v/>
      </c>
      <c r="Y52" s="274"/>
      <c r="AR52" t="str">
        <f t="shared" si="9"/>
        <v/>
      </c>
      <c r="AS52" t="str">
        <f t="shared" si="10"/>
        <v/>
      </c>
    </row>
    <row r="53" spans="1:45">
      <c r="A53" s="291"/>
      <c r="B53" s="292"/>
      <c r="C53" s="293"/>
      <c r="D53" s="293"/>
      <c r="E53" s="293"/>
      <c r="F53" s="293"/>
      <c r="G53" s="294"/>
      <c r="H53" s="296"/>
      <c r="I53" s="295"/>
      <c r="J53" s="295"/>
      <c r="K53" s="296"/>
      <c r="L53" s="301"/>
      <c r="M53" s="297"/>
      <c r="N53" s="298"/>
      <c r="P53" s="190" t="str">
        <f>IF(R53 = "", "", COUNT(R$4:$R53))</f>
        <v/>
      </c>
      <c r="Q53" s="190" t="str">
        <f t="shared" si="0"/>
        <v/>
      </c>
      <c r="R53" s="191" t="str">
        <f t="shared" si="1"/>
        <v/>
      </c>
      <c r="S53" s="192" t="str">
        <f t="shared" si="3"/>
        <v/>
      </c>
      <c r="T53" s="193" t="str">
        <f t="shared" si="4"/>
        <v/>
      </c>
      <c r="U53" s="194" t="str">
        <f t="shared" si="5"/>
        <v/>
      </c>
      <c r="V53" s="195" t="str">
        <f t="shared" si="2"/>
        <v/>
      </c>
      <c r="W53" s="336" t="str">
        <f t="shared" si="6"/>
        <v/>
      </c>
      <c r="X53" s="338" t="str">
        <f t="shared" si="7"/>
        <v/>
      </c>
      <c r="Y53" s="274"/>
      <c r="AR53" t="str">
        <f t="shared" si="9"/>
        <v/>
      </c>
      <c r="AS53" t="str">
        <f t="shared" si="10"/>
        <v/>
      </c>
    </row>
    <row r="54" spans="1:45">
      <c r="A54" s="291"/>
      <c r="B54" s="292"/>
      <c r="C54" s="293"/>
      <c r="D54" s="293"/>
      <c r="E54" s="293"/>
      <c r="F54" s="293"/>
      <c r="G54" s="294"/>
      <c r="H54" s="296"/>
      <c r="I54" s="295"/>
      <c r="J54" s="295"/>
      <c r="K54" s="296"/>
      <c r="L54" s="301"/>
      <c r="M54" s="297"/>
      <c r="N54" s="298"/>
      <c r="P54" s="190" t="str">
        <f>IF(R54 = "", "", COUNT(R$4:$R54))</f>
        <v/>
      </c>
      <c r="Q54" s="190" t="str">
        <f t="shared" si="0"/>
        <v/>
      </c>
      <c r="R54" s="191" t="str">
        <f t="shared" si="1"/>
        <v/>
      </c>
      <c r="S54" s="192" t="str">
        <f t="shared" si="3"/>
        <v/>
      </c>
      <c r="T54" s="193" t="str">
        <f t="shared" si="4"/>
        <v/>
      </c>
      <c r="U54" s="194" t="str">
        <f t="shared" si="5"/>
        <v/>
      </c>
      <c r="V54" s="195" t="str">
        <f t="shared" si="2"/>
        <v/>
      </c>
      <c r="W54" s="336" t="str">
        <f t="shared" si="6"/>
        <v/>
      </c>
      <c r="X54" s="338" t="str">
        <f t="shared" si="7"/>
        <v/>
      </c>
      <c r="Y54" s="274"/>
      <c r="AR54" t="str">
        <f t="shared" si="9"/>
        <v/>
      </c>
      <c r="AS54" t="str">
        <f t="shared" si="10"/>
        <v/>
      </c>
    </row>
    <row r="55" spans="1:45">
      <c r="A55" s="291"/>
      <c r="B55" s="292"/>
      <c r="C55" s="293"/>
      <c r="D55" s="293"/>
      <c r="E55" s="293"/>
      <c r="F55" s="293"/>
      <c r="G55" s="294"/>
      <c r="H55" s="285"/>
      <c r="I55" s="295"/>
      <c r="J55" s="295"/>
      <c r="K55" s="296"/>
      <c r="L55" s="301"/>
      <c r="M55" s="297"/>
      <c r="N55" s="298"/>
      <c r="P55" s="190" t="str">
        <f>IF(R55 = "", "", COUNT(R$4:$R55))</f>
        <v/>
      </c>
      <c r="Q55" s="190" t="str">
        <f t="shared" si="0"/>
        <v/>
      </c>
      <c r="R55" s="191" t="str">
        <f t="shared" si="1"/>
        <v/>
      </c>
      <c r="S55" s="192" t="str">
        <f t="shared" si="3"/>
        <v/>
      </c>
      <c r="T55" s="193" t="str">
        <f t="shared" si="4"/>
        <v/>
      </c>
      <c r="U55" s="194" t="str">
        <f t="shared" si="5"/>
        <v/>
      </c>
      <c r="V55" s="195" t="str">
        <f t="shared" si="2"/>
        <v/>
      </c>
      <c r="W55" s="336" t="str">
        <f t="shared" si="6"/>
        <v/>
      </c>
      <c r="X55" s="338" t="str">
        <f t="shared" si="7"/>
        <v/>
      </c>
      <c r="Y55" s="274"/>
      <c r="AR55" t="str">
        <f t="shared" si="9"/>
        <v/>
      </c>
      <c r="AS55" t="str">
        <f t="shared" si="10"/>
        <v/>
      </c>
    </row>
    <row r="56" spans="1:45">
      <c r="A56" s="291"/>
      <c r="B56" s="292"/>
      <c r="C56" s="293"/>
      <c r="D56" s="293"/>
      <c r="E56" s="293"/>
      <c r="F56" s="293"/>
      <c r="G56" s="294"/>
      <c r="H56" s="285"/>
      <c r="I56" s="295"/>
      <c r="J56" s="295"/>
      <c r="K56" s="296"/>
      <c r="L56" s="301"/>
      <c r="M56" s="297"/>
      <c r="N56" s="298"/>
      <c r="P56" s="190" t="str">
        <f>IF(R56 = "", "", COUNT(R$4:$R56))</f>
        <v/>
      </c>
      <c r="Q56" s="190" t="str">
        <f t="shared" si="0"/>
        <v/>
      </c>
      <c r="R56" s="191" t="str">
        <f t="shared" si="1"/>
        <v/>
      </c>
      <c r="S56" s="192" t="str">
        <f t="shared" si="3"/>
        <v/>
      </c>
      <c r="T56" s="193" t="str">
        <f t="shared" si="4"/>
        <v/>
      </c>
      <c r="U56" s="194" t="str">
        <f t="shared" si="5"/>
        <v/>
      </c>
      <c r="V56" s="195" t="str">
        <f t="shared" si="2"/>
        <v/>
      </c>
      <c r="W56" s="336" t="str">
        <f t="shared" si="6"/>
        <v/>
      </c>
      <c r="X56" s="338" t="str">
        <f t="shared" si="7"/>
        <v/>
      </c>
      <c r="Y56" s="274"/>
      <c r="AR56" t="str">
        <f t="shared" si="9"/>
        <v/>
      </c>
      <c r="AS56" t="str">
        <f t="shared" si="10"/>
        <v/>
      </c>
    </row>
    <row r="57" spans="1:45">
      <c r="A57" s="291"/>
      <c r="B57" s="292"/>
      <c r="C57" s="293"/>
      <c r="D57" s="293"/>
      <c r="E57" s="293"/>
      <c r="F57" s="293"/>
      <c r="G57" s="294"/>
      <c r="H57" s="285"/>
      <c r="I57" s="295"/>
      <c r="J57" s="295"/>
      <c r="K57" s="296"/>
      <c r="L57" s="301"/>
      <c r="M57" s="297"/>
      <c r="N57" s="298"/>
      <c r="P57" s="190" t="str">
        <f>IF(R57 = "", "", COUNT(R$4:$R57))</f>
        <v/>
      </c>
      <c r="Q57" s="190" t="str">
        <f t="shared" si="0"/>
        <v/>
      </c>
      <c r="R57" s="191" t="str">
        <f t="shared" si="1"/>
        <v/>
      </c>
      <c r="S57" s="192" t="str">
        <f t="shared" si="3"/>
        <v/>
      </c>
      <c r="T57" s="193" t="str">
        <f t="shared" si="4"/>
        <v/>
      </c>
      <c r="U57" s="194" t="str">
        <f t="shared" si="5"/>
        <v/>
      </c>
      <c r="V57" s="195" t="str">
        <f t="shared" si="2"/>
        <v/>
      </c>
      <c r="W57" s="336" t="str">
        <f t="shared" si="6"/>
        <v/>
      </c>
      <c r="X57" s="338" t="str">
        <f t="shared" si="7"/>
        <v/>
      </c>
      <c r="Y57" s="274"/>
      <c r="AR57" t="str">
        <f t="shared" si="9"/>
        <v/>
      </c>
      <c r="AS57" t="str">
        <f t="shared" si="10"/>
        <v/>
      </c>
    </row>
    <row r="58" spans="1:45">
      <c r="A58" s="291"/>
      <c r="B58" s="292"/>
      <c r="C58" s="293"/>
      <c r="D58" s="293"/>
      <c r="E58" s="293"/>
      <c r="F58" s="293"/>
      <c r="G58" s="294"/>
      <c r="H58" s="296"/>
      <c r="I58" s="295"/>
      <c r="J58" s="295"/>
      <c r="K58" s="296"/>
      <c r="L58" s="301"/>
      <c r="M58" s="297"/>
      <c r="N58" s="298"/>
      <c r="P58" s="190" t="str">
        <f>IF(R58 = "", "", COUNT(R$4:$R58))</f>
        <v/>
      </c>
      <c r="Q58" s="190" t="str">
        <f t="shared" si="0"/>
        <v/>
      </c>
      <c r="R58" s="191" t="str">
        <f t="shared" si="1"/>
        <v/>
      </c>
      <c r="S58" s="192" t="str">
        <f t="shared" si="3"/>
        <v/>
      </c>
      <c r="T58" s="193" t="str">
        <f t="shared" si="4"/>
        <v/>
      </c>
      <c r="U58" s="194" t="str">
        <f t="shared" si="5"/>
        <v/>
      </c>
      <c r="V58" s="195" t="str">
        <f t="shared" si="2"/>
        <v/>
      </c>
      <c r="W58" s="336" t="str">
        <f t="shared" si="6"/>
        <v/>
      </c>
      <c r="X58" s="338" t="str">
        <f t="shared" si="7"/>
        <v/>
      </c>
      <c r="Y58" s="274"/>
      <c r="AR58" t="str">
        <f t="shared" si="9"/>
        <v/>
      </c>
      <c r="AS58" t="str">
        <f t="shared" si="10"/>
        <v/>
      </c>
    </row>
    <row r="59" spans="1:45">
      <c r="A59" s="291"/>
      <c r="B59" s="292"/>
      <c r="C59" s="293"/>
      <c r="D59" s="293"/>
      <c r="E59" s="293"/>
      <c r="F59" s="293"/>
      <c r="G59" s="294"/>
      <c r="H59" s="296"/>
      <c r="I59" s="295"/>
      <c r="J59" s="295"/>
      <c r="K59" s="296"/>
      <c r="L59" s="301"/>
      <c r="M59" s="297"/>
      <c r="N59" s="298"/>
      <c r="P59" s="190" t="str">
        <f>IF(R59 = "", "", COUNT(R$4:$R59))</f>
        <v/>
      </c>
      <c r="Q59" s="190" t="str">
        <f t="shared" si="0"/>
        <v/>
      </c>
      <c r="R59" s="191" t="str">
        <f t="shared" si="1"/>
        <v/>
      </c>
      <c r="S59" s="192" t="str">
        <f t="shared" si="3"/>
        <v/>
      </c>
      <c r="T59" s="193" t="str">
        <f t="shared" si="4"/>
        <v/>
      </c>
      <c r="U59" s="194" t="str">
        <f t="shared" si="5"/>
        <v/>
      </c>
      <c r="V59" s="195" t="str">
        <f t="shared" si="2"/>
        <v/>
      </c>
      <c r="W59" s="336" t="str">
        <f t="shared" si="6"/>
        <v/>
      </c>
      <c r="X59" s="338" t="str">
        <f t="shared" si="7"/>
        <v/>
      </c>
      <c r="Y59" s="274"/>
      <c r="AR59" t="str">
        <f t="shared" si="9"/>
        <v/>
      </c>
      <c r="AS59" t="str">
        <f t="shared" si="10"/>
        <v/>
      </c>
    </row>
    <row r="60" spans="1:45">
      <c r="A60" s="291"/>
      <c r="B60" s="292"/>
      <c r="C60" s="293"/>
      <c r="D60" s="293"/>
      <c r="E60" s="293"/>
      <c r="F60" s="293"/>
      <c r="G60" s="294"/>
      <c r="H60" s="296"/>
      <c r="I60" s="295"/>
      <c r="J60" s="295"/>
      <c r="K60" s="296"/>
      <c r="L60" s="301"/>
      <c r="M60" s="297"/>
      <c r="N60" s="298"/>
      <c r="P60" s="190" t="str">
        <f>IF(R60 = "", "", COUNT(R$4:$R60))</f>
        <v/>
      </c>
      <c r="Q60" s="190" t="str">
        <f t="shared" si="0"/>
        <v/>
      </c>
      <c r="R60" s="191" t="str">
        <f t="shared" si="1"/>
        <v/>
      </c>
      <c r="S60" s="192" t="str">
        <f t="shared" si="3"/>
        <v/>
      </c>
      <c r="T60" s="193" t="str">
        <f t="shared" si="4"/>
        <v/>
      </c>
      <c r="U60" s="194" t="str">
        <f t="shared" si="5"/>
        <v/>
      </c>
      <c r="V60" s="195" t="str">
        <f t="shared" si="2"/>
        <v/>
      </c>
      <c r="W60" s="336" t="str">
        <f t="shared" si="6"/>
        <v/>
      </c>
      <c r="X60" s="338" t="str">
        <f t="shared" si="7"/>
        <v/>
      </c>
      <c r="Y60" s="274"/>
      <c r="AR60" t="str">
        <f t="shared" si="9"/>
        <v/>
      </c>
      <c r="AS60" t="str">
        <f t="shared" si="10"/>
        <v/>
      </c>
    </row>
    <row r="61" spans="1:45">
      <c r="A61" s="291"/>
      <c r="B61" s="292"/>
      <c r="C61" s="293"/>
      <c r="D61" s="293"/>
      <c r="E61" s="293"/>
      <c r="F61" s="293"/>
      <c r="G61" s="294"/>
      <c r="H61" s="296"/>
      <c r="I61" s="295"/>
      <c r="J61" s="295"/>
      <c r="K61" s="296"/>
      <c r="L61" s="301"/>
      <c r="M61" s="297"/>
      <c r="N61" s="298"/>
      <c r="P61" s="190" t="str">
        <f>IF(R61 = "", "", COUNT(R$4:$R61))</f>
        <v/>
      </c>
      <c r="Q61" s="190" t="str">
        <f t="shared" si="0"/>
        <v/>
      </c>
      <c r="R61" s="191" t="str">
        <f t="shared" si="1"/>
        <v/>
      </c>
      <c r="S61" s="192" t="str">
        <f t="shared" si="3"/>
        <v/>
      </c>
      <c r="T61" s="193" t="str">
        <f t="shared" si="4"/>
        <v/>
      </c>
      <c r="U61" s="194" t="str">
        <f t="shared" si="5"/>
        <v/>
      </c>
      <c r="V61" s="195" t="str">
        <f t="shared" si="2"/>
        <v/>
      </c>
      <c r="W61" s="336" t="str">
        <f t="shared" si="6"/>
        <v/>
      </c>
      <c r="X61" s="338" t="str">
        <f t="shared" si="7"/>
        <v/>
      </c>
      <c r="Y61" s="274"/>
      <c r="AR61" t="str">
        <f t="shared" si="9"/>
        <v/>
      </c>
      <c r="AS61" t="str">
        <f t="shared" si="10"/>
        <v/>
      </c>
    </row>
    <row r="62" spans="1:45">
      <c r="A62" s="291"/>
      <c r="B62" s="292"/>
      <c r="C62" s="293"/>
      <c r="D62" s="293"/>
      <c r="E62" s="293"/>
      <c r="F62" s="293"/>
      <c r="G62" s="294"/>
      <c r="H62" s="296"/>
      <c r="I62" s="295"/>
      <c r="J62" s="295"/>
      <c r="K62" s="296"/>
      <c r="L62" s="301"/>
      <c r="M62" s="297"/>
      <c r="N62" s="298"/>
      <c r="P62" s="190" t="str">
        <f>IF(R62 = "", "", COUNT(R$4:$R62))</f>
        <v/>
      </c>
      <c r="Q62" s="190" t="str">
        <f t="shared" si="0"/>
        <v/>
      </c>
      <c r="R62" s="191" t="str">
        <f t="shared" si="1"/>
        <v/>
      </c>
      <c r="S62" s="192" t="str">
        <f t="shared" si="3"/>
        <v/>
      </c>
      <c r="T62" s="193" t="str">
        <f t="shared" si="4"/>
        <v/>
      </c>
      <c r="U62" s="194" t="str">
        <f t="shared" si="5"/>
        <v/>
      </c>
      <c r="V62" s="195" t="str">
        <f t="shared" si="2"/>
        <v/>
      </c>
      <c r="W62" s="336" t="str">
        <f t="shared" si="6"/>
        <v/>
      </c>
      <c r="X62" s="338" t="str">
        <f t="shared" si="7"/>
        <v/>
      </c>
      <c r="Y62" s="274"/>
      <c r="AR62" t="str">
        <f t="shared" si="9"/>
        <v/>
      </c>
      <c r="AS62" t="str">
        <f t="shared" si="10"/>
        <v/>
      </c>
    </row>
    <row r="63" spans="1:45">
      <c r="A63" s="291"/>
      <c r="B63" s="292"/>
      <c r="C63" s="293"/>
      <c r="D63" s="293"/>
      <c r="E63" s="293"/>
      <c r="F63" s="293"/>
      <c r="G63" s="294"/>
      <c r="H63" s="296"/>
      <c r="I63" s="295"/>
      <c r="J63" s="295"/>
      <c r="K63" s="296"/>
      <c r="L63" s="301"/>
      <c r="M63" s="297"/>
      <c r="N63" s="298"/>
      <c r="P63" s="190" t="str">
        <f>IF(R63 = "", "", COUNT(R$4:$R63))</f>
        <v/>
      </c>
      <c r="Q63" s="190" t="str">
        <f t="shared" si="0"/>
        <v/>
      </c>
      <c r="R63" s="191" t="str">
        <f t="shared" si="1"/>
        <v/>
      </c>
      <c r="S63" s="192" t="str">
        <f t="shared" si="3"/>
        <v/>
      </c>
      <c r="T63" s="193" t="str">
        <f t="shared" si="4"/>
        <v/>
      </c>
      <c r="U63" s="194" t="str">
        <f t="shared" si="5"/>
        <v/>
      </c>
      <c r="V63" s="195" t="str">
        <f t="shared" si="2"/>
        <v/>
      </c>
      <c r="W63" s="336" t="str">
        <f t="shared" si="6"/>
        <v/>
      </c>
      <c r="X63" s="338" t="str">
        <f t="shared" si="7"/>
        <v/>
      </c>
      <c r="Y63" s="274"/>
      <c r="AR63" t="str">
        <f t="shared" si="9"/>
        <v/>
      </c>
      <c r="AS63" t="str">
        <f t="shared" si="10"/>
        <v/>
      </c>
    </row>
    <row r="64" spans="1:45">
      <c r="A64" s="291"/>
      <c r="B64" s="292"/>
      <c r="C64" s="293"/>
      <c r="D64" s="293"/>
      <c r="E64" s="293"/>
      <c r="F64" s="293"/>
      <c r="G64" s="294"/>
      <c r="H64" s="296"/>
      <c r="I64" s="295"/>
      <c r="J64" s="295"/>
      <c r="K64" s="296"/>
      <c r="L64" s="301"/>
      <c r="M64" s="297"/>
      <c r="N64" s="298"/>
      <c r="P64" s="190" t="str">
        <f>IF(R64 = "", "", COUNT(R$4:$R64))</f>
        <v/>
      </c>
      <c r="Q64" s="190" t="str">
        <f t="shared" si="0"/>
        <v/>
      </c>
      <c r="R64" s="191" t="str">
        <f t="shared" si="1"/>
        <v/>
      </c>
      <c r="S64" s="192" t="str">
        <f t="shared" si="3"/>
        <v/>
      </c>
      <c r="T64" s="193" t="str">
        <f t="shared" si="4"/>
        <v/>
      </c>
      <c r="U64" s="194" t="str">
        <f t="shared" si="5"/>
        <v/>
      </c>
      <c r="V64" s="195" t="str">
        <f t="shared" si="2"/>
        <v/>
      </c>
      <c r="W64" s="336" t="str">
        <f t="shared" si="6"/>
        <v/>
      </c>
      <c r="X64" s="338" t="str">
        <f t="shared" si="7"/>
        <v/>
      </c>
      <c r="Y64" s="274"/>
      <c r="AR64" t="str">
        <f t="shared" si="9"/>
        <v/>
      </c>
      <c r="AS64" t="str">
        <f t="shared" si="10"/>
        <v/>
      </c>
    </row>
    <row r="65" spans="1:45">
      <c r="A65" s="291"/>
      <c r="B65" s="292"/>
      <c r="C65" s="293"/>
      <c r="D65" s="293"/>
      <c r="E65" s="293"/>
      <c r="F65" s="293"/>
      <c r="G65" s="294"/>
      <c r="H65" s="296"/>
      <c r="I65" s="295"/>
      <c r="J65" s="295"/>
      <c r="K65" s="296"/>
      <c r="L65" s="301"/>
      <c r="M65" s="297"/>
      <c r="N65" s="298"/>
      <c r="P65" s="190" t="str">
        <f>IF(R65 = "", "", COUNT(R$4:$R65))</f>
        <v/>
      </c>
      <c r="Q65" s="190" t="str">
        <f t="shared" si="0"/>
        <v/>
      </c>
      <c r="R65" s="191" t="str">
        <f t="shared" si="1"/>
        <v/>
      </c>
      <c r="S65" s="192" t="str">
        <f t="shared" si="3"/>
        <v/>
      </c>
      <c r="T65" s="193" t="str">
        <f t="shared" si="4"/>
        <v/>
      </c>
      <c r="U65" s="194" t="str">
        <f t="shared" si="5"/>
        <v/>
      </c>
      <c r="V65" s="195" t="str">
        <f t="shared" si="2"/>
        <v/>
      </c>
      <c r="W65" s="336" t="str">
        <f t="shared" si="6"/>
        <v/>
      </c>
      <c r="X65" s="338" t="str">
        <f t="shared" si="7"/>
        <v/>
      </c>
      <c r="Y65" s="274"/>
      <c r="AR65" t="str">
        <f t="shared" si="9"/>
        <v/>
      </c>
      <c r="AS65" t="str">
        <f t="shared" si="10"/>
        <v/>
      </c>
    </row>
    <row r="66" spans="1:45">
      <c r="A66" s="291"/>
      <c r="B66" s="292"/>
      <c r="C66" s="293"/>
      <c r="D66" s="293"/>
      <c r="E66" s="293"/>
      <c r="F66" s="293"/>
      <c r="G66" s="294"/>
      <c r="H66" s="296"/>
      <c r="I66" s="295"/>
      <c r="J66" s="295"/>
      <c r="K66" s="296"/>
      <c r="L66" s="301"/>
      <c r="M66" s="297"/>
      <c r="N66" s="298"/>
      <c r="P66" s="190" t="str">
        <f>IF(R66 = "", "", COUNT(R$4:$R66))</f>
        <v/>
      </c>
      <c r="Q66" s="190" t="str">
        <f t="shared" si="0"/>
        <v/>
      </c>
      <c r="R66" s="191" t="str">
        <f t="shared" si="1"/>
        <v/>
      </c>
      <c r="S66" s="192" t="str">
        <f t="shared" si="3"/>
        <v/>
      </c>
      <c r="T66" s="193" t="str">
        <f t="shared" si="4"/>
        <v/>
      </c>
      <c r="U66" s="194" t="str">
        <f t="shared" si="5"/>
        <v/>
      </c>
      <c r="V66" s="195" t="str">
        <f t="shared" si="2"/>
        <v/>
      </c>
      <c r="W66" s="336" t="str">
        <f t="shared" si="6"/>
        <v/>
      </c>
      <c r="X66" s="338" t="str">
        <f t="shared" si="7"/>
        <v/>
      </c>
      <c r="Y66" s="274"/>
      <c r="AR66" t="str">
        <f t="shared" si="9"/>
        <v/>
      </c>
      <c r="AS66" t="str">
        <f t="shared" si="10"/>
        <v/>
      </c>
    </row>
    <row r="67" spans="1:45">
      <c r="A67" s="291"/>
      <c r="B67" s="292"/>
      <c r="C67" s="293"/>
      <c r="D67" s="293"/>
      <c r="E67" s="293"/>
      <c r="F67" s="293"/>
      <c r="G67" s="294"/>
      <c r="H67" s="300"/>
      <c r="I67" s="295"/>
      <c r="J67" s="295"/>
      <c r="K67" s="296"/>
      <c r="L67" s="301"/>
      <c r="M67" s="297"/>
      <c r="N67" s="298"/>
      <c r="P67" s="190" t="str">
        <f>IF(R67 = "", "", COUNT(R$4:$R67))</f>
        <v/>
      </c>
      <c r="Q67" s="190" t="str">
        <f t="shared" si="0"/>
        <v/>
      </c>
      <c r="R67" s="191" t="str">
        <f t="shared" si="1"/>
        <v/>
      </c>
      <c r="S67" s="192" t="str">
        <f t="shared" si="3"/>
        <v/>
      </c>
      <c r="T67" s="193" t="str">
        <f t="shared" si="4"/>
        <v/>
      </c>
      <c r="U67" s="194" t="str">
        <f t="shared" si="5"/>
        <v/>
      </c>
      <c r="V67" s="195" t="str">
        <f t="shared" si="2"/>
        <v/>
      </c>
      <c r="W67" s="336" t="str">
        <f t="shared" si="6"/>
        <v/>
      </c>
      <c r="X67" s="338" t="str">
        <f t="shared" si="7"/>
        <v/>
      </c>
      <c r="Y67" s="274"/>
      <c r="AR67" t="str">
        <f t="shared" si="9"/>
        <v/>
      </c>
      <c r="AS67" t="str">
        <f t="shared" si="10"/>
        <v/>
      </c>
    </row>
    <row r="68" spans="1:45">
      <c r="A68" s="291"/>
      <c r="B68" s="292"/>
      <c r="C68" s="293"/>
      <c r="D68" s="293"/>
      <c r="E68" s="293"/>
      <c r="F68" s="293"/>
      <c r="G68" s="294"/>
      <c r="H68" s="300"/>
      <c r="I68" s="295"/>
      <c r="J68" s="295"/>
      <c r="K68" s="296"/>
      <c r="L68" s="301"/>
      <c r="M68" s="297"/>
      <c r="N68" s="298"/>
      <c r="P68" s="190" t="str">
        <f>IF(R68 = "", "", COUNT(R$4:$R68))</f>
        <v/>
      </c>
      <c r="Q68" s="190" t="str">
        <f t="shared" ref="Q68:Q131" si="11">IF(C68 &gt; 0, YEAR(B68), "")</f>
        <v/>
      </c>
      <c r="R68" s="191" t="str">
        <f t="shared" ref="R68:R131" si="12">IF(A68="", "", IF(G68="",1,IF(G68="O",1,IF(G68="C",8.4,IF(G68="B",8.4,IF(G68="A",76.8,IF(G68="K",76.8,"ERR")))))))</f>
        <v/>
      </c>
      <c r="S68" s="192" t="str">
        <f t="shared" si="3"/>
        <v/>
      </c>
      <c r="T68" s="193" t="str">
        <f t="shared" si="4"/>
        <v/>
      </c>
      <c r="U68" s="194" t="str">
        <f t="shared" si="5"/>
        <v/>
      </c>
      <c r="V68" s="195" t="str">
        <f t="shared" ref="V68:V131" si="13">IF(IF(M68&lt;&gt;"",G68,"")=0, "O", IF(M68&lt;&gt;"",G68,""))</f>
        <v/>
      </c>
      <c r="W68" s="336" t="str">
        <f t="shared" si="6"/>
        <v/>
      </c>
      <c r="X68" s="338" t="str">
        <f t="shared" si="7"/>
        <v/>
      </c>
      <c r="Y68" s="274"/>
      <c r="AR68" t="str">
        <f t="shared" si="9"/>
        <v/>
      </c>
      <c r="AS68" t="str">
        <f t="shared" si="10"/>
        <v/>
      </c>
    </row>
    <row r="69" spans="1:45">
      <c r="A69" s="291"/>
      <c r="B69" s="292"/>
      <c r="C69" s="293"/>
      <c r="D69" s="293"/>
      <c r="E69" s="293"/>
      <c r="F69" s="293"/>
      <c r="G69" s="294"/>
      <c r="H69" s="300"/>
      <c r="I69" s="295"/>
      <c r="J69" s="295"/>
      <c r="K69" s="296"/>
      <c r="L69" s="301"/>
      <c r="M69" s="297"/>
      <c r="N69" s="298"/>
      <c r="P69" s="190" t="str">
        <f>IF(R69 = "", "", COUNT(R$4:$R69))</f>
        <v/>
      </c>
      <c r="Q69" s="190" t="str">
        <f t="shared" si="11"/>
        <v/>
      </c>
      <c r="R69" s="191" t="str">
        <f t="shared" si="12"/>
        <v/>
      </c>
      <c r="S69" s="192" t="str">
        <f t="shared" ref="S69:S132" si="14">IF(L69&lt;&gt;"",R69,"")</f>
        <v/>
      </c>
      <c r="T69" s="193" t="str">
        <f t="shared" ref="T69:T132" si="15">IF(IF(L69&lt;&gt;"",G69,"")=0, "O", IF(L69&lt;&gt;"",G69,""))</f>
        <v/>
      </c>
      <c r="U69" s="194" t="str">
        <f t="shared" ref="U69:U132" si="16">IF(M69&lt;&gt;"",R69,"")</f>
        <v/>
      </c>
      <c r="V69" s="195" t="str">
        <f t="shared" si="13"/>
        <v/>
      </c>
      <c r="W69" s="336" t="str">
        <f t="shared" ref="W69:W132" si="17">IF(N69&lt;&gt;"",R69,"")</f>
        <v/>
      </c>
      <c r="X69" s="338" t="str">
        <f t="shared" ref="X69:X132" si="18">IF(IF(N69&lt;&gt;"",G69,"")=0, "O", IF(N69&lt;&gt;"",G69,""))</f>
        <v/>
      </c>
      <c r="Y69" s="274"/>
      <c r="AR69" t="str">
        <f t="shared" ref="AR69:AR132" si="19">IF(P69&gt;0, P69, "")</f>
        <v/>
      </c>
      <c r="AS69" t="str">
        <f t="shared" ref="AS69:AS132" si="20">IF(OR(L69="Y",M69="Y",N69="Y"),"Y","")</f>
        <v/>
      </c>
    </row>
    <row r="70" spans="1:45">
      <c r="A70" s="291"/>
      <c r="B70" s="292"/>
      <c r="C70" s="293"/>
      <c r="D70" s="293"/>
      <c r="E70" s="293"/>
      <c r="F70" s="293"/>
      <c r="G70" s="294"/>
      <c r="H70" s="300"/>
      <c r="I70" s="295"/>
      <c r="J70" s="295"/>
      <c r="K70" s="296"/>
      <c r="L70" s="301"/>
      <c r="M70" s="297"/>
      <c r="N70" s="298"/>
      <c r="P70" s="190" t="str">
        <f>IF(R70 = "", "", COUNT(R$4:$R70))</f>
        <v/>
      </c>
      <c r="Q70" s="190" t="str">
        <f t="shared" si="11"/>
        <v/>
      </c>
      <c r="R70" s="191" t="str">
        <f t="shared" si="12"/>
        <v/>
      </c>
      <c r="S70" s="192" t="str">
        <f t="shared" si="14"/>
        <v/>
      </c>
      <c r="T70" s="193" t="str">
        <f t="shared" si="15"/>
        <v/>
      </c>
      <c r="U70" s="194" t="str">
        <f t="shared" si="16"/>
        <v/>
      </c>
      <c r="V70" s="195" t="str">
        <f t="shared" si="13"/>
        <v/>
      </c>
      <c r="W70" s="336" t="str">
        <f t="shared" si="17"/>
        <v/>
      </c>
      <c r="X70" s="338" t="str">
        <f t="shared" si="18"/>
        <v/>
      </c>
      <c r="Y70" s="274"/>
      <c r="AR70" t="str">
        <f t="shared" si="19"/>
        <v/>
      </c>
      <c r="AS70" t="str">
        <f t="shared" si="20"/>
        <v/>
      </c>
    </row>
    <row r="71" spans="1:45">
      <c r="A71" s="291"/>
      <c r="B71" s="292"/>
      <c r="C71" s="293"/>
      <c r="D71" s="293"/>
      <c r="E71" s="293"/>
      <c r="F71" s="293"/>
      <c r="G71" s="294"/>
      <c r="H71" s="300"/>
      <c r="I71" s="295"/>
      <c r="J71" s="295"/>
      <c r="K71" s="296"/>
      <c r="L71" s="301"/>
      <c r="M71" s="297"/>
      <c r="N71" s="298"/>
      <c r="P71" s="190" t="str">
        <f>IF(R71 = "", "", COUNT(R$4:$R71))</f>
        <v/>
      </c>
      <c r="Q71" s="190" t="str">
        <f t="shared" si="11"/>
        <v/>
      </c>
      <c r="R71" s="191" t="str">
        <f t="shared" si="12"/>
        <v/>
      </c>
      <c r="S71" s="192" t="str">
        <f t="shared" si="14"/>
        <v/>
      </c>
      <c r="T71" s="193" t="str">
        <f t="shared" si="15"/>
        <v/>
      </c>
      <c r="U71" s="194" t="str">
        <f t="shared" si="16"/>
        <v/>
      </c>
      <c r="V71" s="195" t="str">
        <f t="shared" si="13"/>
        <v/>
      </c>
      <c r="W71" s="336" t="str">
        <f t="shared" si="17"/>
        <v/>
      </c>
      <c r="X71" s="338" t="str">
        <f t="shared" si="18"/>
        <v/>
      </c>
      <c r="Y71" s="274"/>
      <c r="AR71" t="str">
        <f t="shared" si="19"/>
        <v/>
      </c>
      <c r="AS71" t="str">
        <f t="shared" si="20"/>
        <v/>
      </c>
    </row>
    <row r="72" spans="1:45">
      <c r="A72" s="291"/>
      <c r="B72" s="292"/>
      <c r="C72" s="293"/>
      <c r="D72" s="293"/>
      <c r="E72" s="293"/>
      <c r="F72" s="293"/>
      <c r="G72" s="294"/>
      <c r="H72" s="300"/>
      <c r="I72" s="295"/>
      <c r="J72" s="295"/>
      <c r="K72" s="296"/>
      <c r="L72" s="301"/>
      <c r="M72" s="297"/>
      <c r="N72" s="298"/>
      <c r="P72" s="190" t="str">
        <f>IF(R72 = "", "", COUNT(R$4:$R72))</f>
        <v/>
      </c>
      <c r="Q72" s="190" t="str">
        <f t="shared" si="11"/>
        <v/>
      </c>
      <c r="R72" s="191" t="str">
        <f t="shared" si="12"/>
        <v/>
      </c>
      <c r="S72" s="192" t="str">
        <f t="shared" si="14"/>
        <v/>
      </c>
      <c r="T72" s="193" t="str">
        <f t="shared" si="15"/>
        <v/>
      </c>
      <c r="U72" s="194" t="str">
        <f t="shared" si="16"/>
        <v/>
      </c>
      <c r="V72" s="195" t="str">
        <f t="shared" si="13"/>
        <v/>
      </c>
      <c r="W72" s="336" t="str">
        <f t="shared" si="17"/>
        <v/>
      </c>
      <c r="X72" s="338" t="str">
        <f t="shared" si="18"/>
        <v/>
      </c>
      <c r="Y72" s="274"/>
      <c r="AR72" t="str">
        <f t="shared" si="19"/>
        <v/>
      </c>
      <c r="AS72" t="str">
        <f t="shared" si="20"/>
        <v/>
      </c>
    </row>
    <row r="73" spans="1:45">
      <c r="A73" s="291"/>
      <c r="B73" s="292"/>
      <c r="C73" s="293"/>
      <c r="D73" s="293"/>
      <c r="E73" s="293"/>
      <c r="F73" s="293"/>
      <c r="G73" s="294"/>
      <c r="H73" s="300"/>
      <c r="I73" s="295"/>
      <c r="J73" s="295"/>
      <c r="K73" s="296"/>
      <c r="L73" s="301"/>
      <c r="M73" s="297"/>
      <c r="N73" s="298"/>
      <c r="P73" s="190" t="str">
        <f>IF(R73 = "", "", COUNT(R$4:$R73))</f>
        <v/>
      </c>
      <c r="Q73" s="190" t="str">
        <f t="shared" si="11"/>
        <v/>
      </c>
      <c r="R73" s="191" t="str">
        <f t="shared" si="12"/>
        <v/>
      </c>
      <c r="S73" s="192" t="str">
        <f t="shared" si="14"/>
        <v/>
      </c>
      <c r="T73" s="193" t="str">
        <f t="shared" si="15"/>
        <v/>
      </c>
      <c r="U73" s="194" t="str">
        <f t="shared" si="16"/>
        <v/>
      </c>
      <c r="V73" s="195" t="str">
        <f t="shared" si="13"/>
        <v/>
      </c>
      <c r="W73" s="336" t="str">
        <f t="shared" si="17"/>
        <v/>
      </c>
      <c r="X73" s="338" t="str">
        <f t="shared" si="18"/>
        <v/>
      </c>
      <c r="Y73" s="274"/>
      <c r="AR73" t="str">
        <f t="shared" si="19"/>
        <v/>
      </c>
      <c r="AS73" t="str">
        <f t="shared" si="20"/>
        <v/>
      </c>
    </row>
    <row r="74" spans="1:45">
      <c r="A74" s="291"/>
      <c r="B74" s="292"/>
      <c r="C74" s="293"/>
      <c r="D74" s="293"/>
      <c r="E74" s="293"/>
      <c r="F74" s="293"/>
      <c r="G74" s="294"/>
      <c r="H74" s="300"/>
      <c r="I74" s="295"/>
      <c r="J74" s="295"/>
      <c r="K74" s="296"/>
      <c r="L74" s="301"/>
      <c r="M74" s="297"/>
      <c r="N74" s="298"/>
      <c r="P74" s="190" t="str">
        <f>IF(R74 = "", "", COUNT(R$4:$R74))</f>
        <v/>
      </c>
      <c r="Q74" s="190" t="str">
        <f t="shared" si="11"/>
        <v/>
      </c>
      <c r="R74" s="191" t="str">
        <f t="shared" si="12"/>
        <v/>
      </c>
      <c r="S74" s="192" t="str">
        <f t="shared" si="14"/>
        <v/>
      </c>
      <c r="T74" s="193" t="str">
        <f t="shared" si="15"/>
        <v/>
      </c>
      <c r="U74" s="194" t="str">
        <f t="shared" si="16"/>
        <v/>
      </c>
      <c r="V74" s="195" t="str">
        <f t="shared" si="13"/>
        <v/>
      </c>
      <c r="W74" s="336" t="str">
        <f t="shared" si="17"/>
        <v/>
      </c>
      <c r="X74" s="338" t="str">
        <f t="shared" si="18"/>
        <v/>
      </c>
      <c r="Y74" s="274"/>
      <c r="AR74" t="str">
        <f t="shared" si="19"/>
        <v/>
      </c>
      <c r="AS74" t="str">
        <f t="shared" si="20"/>
        <v/>
      </c>
    </row>
    <row r="75" spans="1:45">
      <c r="A75" s="291"/>
      <c r="B75" s="292"/>
      <c r="C75" s="293"/>
      <c r="D75" s="293"/>
      <c r="E75" s="293"/>
      <c r="F75" s="293"/>
      <c r="G75" s="294"/>
      <c r="H75" s="300"/>
      <c r="I75" s="295"/>
      <c r="J75" s="295"/>
      <c r="K75" s="296"/>
      <c r="L75" s="301"/>
      <c r="M75" s="297"/>
      <c r="N75" s="298"/>
      <c r="P75" s="190" t="str">
        <f>IF(R75 = "", "", COUNT(R$4:$R75))</f>
        <v/>
      </c>
      <c r="Q75" s="190" t="str">
        <f t="shared" si="11"/>
        <v/>
      </c>
      <c r="R75" s="191" t="str">
        <f t="shared" si="12"/>
        <v/>
      </c>
      <c r="S75" s="192" t="str">
        <f t="shared" si="14"/>
        <v/>
      </c>
      <c r="T75" s="193" t="str">
        <f t="shared" si="15"/>
        <v/>
      </c>
      <c r="U75" s="194" t="str">
        <f t="shared" si="16"/>
        <v/>
      </c>
      <c r="V75" s="195" t="str">
        <f t="shared" si="13"/>
        <v/>
      </c>
      <c r="W75" s="336" t="str">
        <f t="shared" si="17"/>
        <v/>
      </c>
      <c r="X75" s="338" t="str">
        <f t="shared" si="18"/>
        <v/>
      </c>
      <c r="Y75" s="274"/>
      <c r="AR75" t="str">
        <f t="shared" si="19"/>
        <v/>
      </c>
      <c r="AS75" t="str">
        <f t="shared" si="20"/>
        <v/>
      </c>
    </row>
    <row r="76" spans="1:45">
      <c r="A76" s="291"/>
      <c r="B76" s="292"/>
      <c r="C76" s="293"/>
      <c r="D76" s="293"/>
      <c r="E76" s="293"/>
      <c r="F76" s="293"/>
      <c r="G76" s="294"/>
      <c r="H76" s="300"/>
      <c r="I76" s="295"/>
      <c r="J76" s="295"/>
      <c r="K76" s="296"/>
      <c r="L76" s="301"/>
      <c r="M76" s="297"/>
      <c r="N76" s="298"/>
      <c r="P76" s="190" t="str">
        <f>IF(R76 = "", "", COUNT(R$4:$R76))</f>
        <v/>
      </c>
      <c r="Q76" s="190" t="str">
        <f t="shared" si="11"/>
        <v/>
      </c>
      <c r="R76" s="191" t="str">
        <f t="shared" si="12"/>
        <v/>
      </c>
      <c r="S76" s="192" t="str">
        <f t="shared" si="14"/>
        <v/>
      </c>
      <c r="T76" s="193" t="str">
        <f t="shared" si="15"/>
        <v/>
      </c>
      <c r="U76" s="194" t="str">
        <f t="shared" si="16"/>
        <v/>
      </c>
      <c r="V76" s="195" t="str">
        <f t="shared" si="13"/>
        <v/>
      </c>
      <c r="W76" s="336" t="str">
        <f t="shared" si="17"/>
        <v/>
      </c>
      <c r="X76" s="338" t="str">
        <f t="shared" si="18"/>
        <v/>
      </c>
      <c r="Y76" s="274"/>
      <c r="AR76" t="str">
        <f t="shared" si="19"/>
        <v/>
      </c>
      <c r="AS76" t="str">
        <f t="shared" si="20"/>
        <v/>
      </c>
    </row>
    <row r="77" spans="1:45">
      <c r="A77" s="291"/>
      <c r="B77" s="292"/>
      <c r="C77" s="293"/>
      <c r="D77" s="293"/>
      <c r="E77" s="293"/>
      <c r="F77" s="293"/>
      <c r="G77" s="294"/>
      <c r="H77" s="300"/>
      <c r="I77" s="295"/>
      <c r="J77" s="295"/>
      <c r="K77" s="296"/>
      <c r="L77" s="301"/>
      <c r="M77" s="297"/>
      <c r="N77" s="298"/>
      <c r="P77" s="190" t="str">
        <f>IF(R77 = "", "", COUNT(R$4:$R77))</f>
        <v/>
      </c>
      <c r="Q77" s="190" t="str">
        <f t="shared" si="11"/>
        <v/>
      </c>
      <c r="R77" s="191" t="str">
        <f t="shared" si="12"/>
        <v/>
      </c>
      <c r="S77" s="192" t="str">
        <f t="shared" si="14"/>
        <v/>
      </c>
      <c r="T77" s="193" t="str">
        <f t="shared" si="15"/>
        <v/>
      </c>
      <c r="U77" s="194" t="str">
        <f t="shared" si="16"/>
        <v/>
      </c>
      <c r="V77" s="195" t="str">
        <f t="shared" si="13"/>
        <v/>
      </c>
      <c r="W77" s="336" t="str">
        <f t="shared" si="17"/>
        <v/>
      </c>
      <c r="X77" s="338" t="str">
        <f t="shared" si="18"/>
        <v/>
      </c>
      <c r="Y77" s="274"/>
      <c r="AR77" t="str">
        <f t="shared" si="19"/>
        <v/>
      </c>
      <c r="AS77" t="str">
        <f t="shared" si="20"/>
        <v/>
      </c>
    </row>
    <row r="78" spans="1:45">
      <c r="A78" s="291"/>
      <c r="B78" s="292"/>
      <c r="C78" s="293"/>
      <c r="D78" s="293"/>
      <c r="E78" s="293"/>
      <c r="F78" s="293"/>
      <c r="G78" s="294"/>
      <c r="H78" s="300"/>
      <c r="I78" s="295"/>
      <c r="J78" s="295"/>
      <c r="K78" s="296"/>
      <c r="L78" s="301"/>
      <c r="M78" s="297"/>
      <c r="N78" s="298"/>
      <c r="P78" s="190" t="str">
        <f>IF(R78 = "", "", COUNT(R$4:$R78))</f>
        <v/>
      </c>
      <c r="Q78" s="190" t="str">
        <f t="shared" si="11"/>
        <v/>
      </c>
      <c r="R78" s="191" t="str">
        <f t="shared" si="12"/>
        <v/>
      </c>
      <c r="S78" s="192" t="str">
        <f t="shared" si="14"/>
        <v/>
      </c>
      <c r="T78" s="193" t="str">
        <f t="shared" si="15"/>
        <v/>
      </c>
      <c r="U78" s="194" t="str">
        <f t="shared" si="16"/>
        <v/>
      </c>
      <c r="V78" s="195" t="str">
        <f t="shared" si="13"/>
        <v/>
      </c>
      <c r="W78" s="336" t="str">
        <f t="shared" si="17"/>
        <v/>
      </c>
      <c r="X78" s="338" t="str">
        <f t="shared" si="18"/>
        <v/>
      </c>
      <c r="Y78" s="274"/>
      <c r="AR78" t="str">
        <f t="shared" si="19"/>
        <v/>
      </c>
      <c r="AS78" t="str">
        <f t="shared" si="20"/>
        <v/>
      </c>
    </row>
    <row r="79" spans="1:45">
      <c r="A79" s="291"/>
      <c r="B79" s="292"/>
      <c r="C79" s="293"/>
      <c r="D79" s="293"/>
      <c r="E79" s="293"/>
      <c r="F79" s="293"/>
      <c r="G79" s="294"/>
      <c r="H79" s="300"/>
      <c r="I79" s="295"/>
      <c r="J79" s="295"/>
      <c r="K79" s="296"/>
      <c r="L79" s="301"/>
      <c r="M79" s="297"/>
      <c r="N79" s="298"/>
      <c r="P79" s="190" t="str">
        <f>IF(R79 = "", "", COUNT(R$4:$R79))</f>
        <v/>
      </c>
      <c r="Q79" s="190" t="str">
        <f t="shared" si="11"/>
        <v/>
      </c>
      <c r="R79" s="191" t="str">
        <f t="shared" si="12"/>
        <v/>
      </c>
      <c r="S79" s="192" t="str">
        <f t="shared" si="14"/>
        <v/>
      </c>
      <c r="T79" s="193" t="str">
        <f t="shared" si="15"/>
        <v/>
      </c>
      <c r="U79" s="194" t="str">
        <f t="shared" si="16"/>
        <v/>
      </c>
      <c r="V79" s="195" t="str">
        <f t="shared" si="13"/>
        <v/>
      </c>
      <c r="W79" s="336" t="str">
        <f t="shared" si="17"/>
        <v/>
      </c>
      <c r="X79" s="338" t="str">
        <f t="shared" si="18"/>
        <v/>
      </c>
      <c r="Y79" s="274"/>
      <c r="AR79" t="str">
        <f t="shared" si="19"/>
        <v/>
      </c>
      <c r="AS79" t="str">
        <f t="shared" si="20"/>
        <v/>
      </c>
    </row>
    <row r="80" spans="1:45">
      <c r="A80" s="291"/>
      <c r="B80" s="292"/>
      <c r="C80" s="293"/>
      <c r="D80" s="293"/>
      <c r="E80" s="293"/>
      <c r="F80" s="293"/>
      <c r="G80" s="294"/>
      <c r="H80" s="300"/>
      <c r="I80" s="295"/>
      <c r="J80" s="295"/>
      <c r="K80" s="296"/>
      <c r="L80" s="301"/>
      <c r="M80" s="297"/>
      <c r="N80" s="298"/>
      <c r="P80" s="190" t="str">
        <f>IF(R80 = "", "", COUNT(R$4:$R80))</f>
        <v/>
      </c>
      <c r="Q80" s="190" t="str">
        <f t="shared" si="11"/>
        <v/>
      </c>
      <c r="R80" s="191" t="str">
        <f t="shared" si="12"/>
        <v/>
      </c>
      <c r="S80" s="192" t="str">
        <f t="shared" si="14"/>
        <v/>
      </c>
      <c r="T80" s="193" t="str">
        <f t="shared" si="15"/>
        <v/>
      </c>
      <c r="U80" s="194" t="str">
        <f t="shared" si="16"/>
        <v/>
      </c>
      <c r="V80" s="195" t="str">
        <f t="shared" si="13"/>
        <v/>
      </c>
      <c r="W80" s="336" t="str">
        <f t="shared" si="17"/>
        <v/>
      </c>
      <c r="X80" s="338" t="str">
        <f t="shared" si="18"/>
        <v/>
      </c>
      <c r="Y80" s="274"/>
      <c r="AR80" t="str">
        <f t="shared" si="19"/>
        <v/>
      </c>
      <c r="AS80" t="str">
        <f t="shared" si="20"/>
        <v/>
      </c>
    </row>
    <row r="81" spans="1:45">
      <c r="A81" s="291"/>
      <c r="B81" s="292"/>
      <c r="C81" s="293"/>
      <c r="D81" s="293"/>
      <c r="E81" s="293"/>
      <c r="F81" s="293"/>
      <c r="G81" s="294"/>
      <c r="H81" s="300"/>
      <c r="I81" s="295"/>
      <c r="J81" s="295"/>
      <c r="K81" s="296"/>
      <c r="L81" s="301"/>
      <c r="M81" s="297"/>
      <c r="N81" s="298"/>
      <c r="P81" s="190" t="str">
        <f>IF(R81 = "", "", COUNT(R$4:$R81))</f>
        <v/>
      </c>
      <c r="Q81" s="190" t="str">
        <f t="shared" si="11"/>
        <v/>
      </c>
      <c r="R81" s="191" t="str">
        <f t="shared" si="12"/>
        <v/>
      </c>
      <c r="S81" s="192" t="str">
        <f t="shared" si="14"/>
        <v/>
      </c>
      <c r="T81" s="193" t="str">
        <f t="shared" si="15"/>
        <v/>
      </c>
      <c r="U81" s="194" t="str">
        <f t="shared" si="16"/>
        <v/>
      </c>
      <c r="V81" s="195" t="str">
        <f t="shared" si="13"/>
        <v/>
      </c>
      <c r="W81" s="336" t="str">
        <f t="shared" si="17"/>
        <v/>
      </c>
      <c r="X81" s="338" t="str">
        <f t="shared" si="18"/>
        <v/>
      </c>
      <c r="Y81" s="274"/>
      <c r="AR81" t="str">
        <f t="shared" si="19"/>
        <v/>
      </c>
      <c r="AS81" t="str">
        <f t="shared" si="20"/>
        <v/>
      </c>
    </row>
    <row r="82" spans="1:45">
      <c r="A82" s="291"/>
      <c r="B82" s="292"/>
      <c r="C82" s="293"/>
      <c r="D82" s="293"/>
      <c r="E82" s="293"/>
      <c r="F82" s="293"/>
      <c r="G82" s="294"/>
      <c r="H82" s="300"/>
      <c r="I82" s="295"/>
      <c r="J82" s="295"/>
      <c r="K82" s="296"/>
      <c r="L82" s="301"/>
      <c r="M82" s="297"/>
      <c r="N82" s="298"/>
      <c r="P82" s="190" t="str">
        <f>IF(R82 = "", "", COUNT(R$4:$R82))</f>
        <v/>
      </c>
      <c r="Q82" s="190" t="str">
        <f t="shared" si="11"/>
        <v/>
      </c>
      <c r="R82" s="191" t="str">
        <f t="shared" si="12"/>
        <v/>
      </c>
      <c r="S82" s="192" t="str">
        <f t="shared" si="14"/>
        <v/>
      </c>
      <c r="T82" s="193" t="str">
        <f t="shared" si="15"/>
        <v/>
      </c>
      <c r="U82" s="194" t="str">
        <f t="shared" si="16"/>
        <v/>
      </c>
      <c r="V82" s="195" t="str">
        <f t="shared" si="13"/>
        <v/>
      </c>
      <c r="W82" s="336" t="str">
        <f t="shared" si="17"/>
        <v/>
      </c>
      <c r="X82" s="338" t="str">
        <f t="shared" si="18"/>
        <v/>
      </c>
      <c r="Y82" s="274"/>
      <c r="AR82" t="str">
        <f t="shared" si="19"/>
        <v/>
      </c>
      <c r="AS82" t="str">
        <f t="shared" si="20"/>
        <v/>
      </c>
    </row>
    <row r="83" spans="1:45">
      <c r="A83" s="291"/>
      <c r="B83" s="292"/>
      <c r="C83" s="293"/>
      <c r="D83" s="293"/>
      <c r="E83" s="293"/>
      <c r="F83" s="293"/>
      <c r="G83" s="294"/>
      <c r="H83" s="300"/>
      <c r="I83" s="295"/>
      <c r="J83" s="295"/>
      <c r="K83" s="296"/>
      <c r="L83" s="301"/>
      <c r="M83" s="297"/>
      <c r="N83" s="298"/>
      <c r="P83" s="190" t="str">
        <f>IF(R83 = "", "", COUNT(R$4:$R83))</f>
        <v/>
      </c>
      <c r="Q83" s="190" t="str">
        <f t="shared" si="11"/>
        <v/>
      </c>
      <c r="R83" s="191" t="str">
        <f t="shared" si="12"/>
        <v/>
      </c>
      <c r="S83" s="192" t="str">
        <f t="shared" si="14"/>
        <v/>
      </c>
      <c r="T83" s="193" t="str">
        <f t="shared" si="15"/>
        <v/>
      </c>
      <c r="U83" s="194" t="str">
        <f t="shared" si="16"/>
        <v/>
      </c>
      <c r="V83" s="195" t="str">
        <f t="shared" si="13"/>
        <v/>
      </c>
      <c r="W83" s="336" t="str">
        <f t="shared" si="17"/>
        <v/>
      </c>
      <c r="X83" s="338" t="str">
        <f t="shared" si="18"/>
        <v/>
      </c>
      <c r="Y83" s="274"/>
      <c r="AR83" t="str">
        <f t="shared" si="19"/>
        <v/>
      </c>
      <c r="AS83" t="str">
        <f t="shared" si="20"/>
        <v/>
      </c>
    </row>
    <row r="84" spans="1:45">
      <c r="A84" s="291"/>
      <c r="B84" s="292"/>
      <c r="C84" s="293"/>
      <c r="D84" s="293"/>
      <c r="E84" s="293"/>
      <c r="F84" s="293"/>
      <c r="G84" s="294"/>
      <c r="H84" s="300"/>
      <c r="I84" s="295"/>
      <c r="J84" s="295"/>
      <c r="K84" s="296"/>
      <c r="L84" s="301"/>
      <c r="M84" s="297"/>
      <c r="N84" s="298"/>
      <c r="P84" s="190" t="str">
        <f>IF(R84 = "", "", COUNT(R$4:$R84))</f>
        <v/>
      </c>
      <c r="Q84" s="190" t="str">
        <f t="shared" si="11"/>
        <v/>
      </c>
      <c r="R84" s="191" t="str">
        <f t="shared" si="12"/>
        <v/>
      </c>
      <c r="S84" s="192" t="str">
        <f t="shared" si="14"/>
        <v/>
      </c>
      <c r="T84" s="193" t="str">
        <f t="shared" si="15"/>
        <v/>
      </c>
      <c r="U84" s="194" t="str">
        <f t="shared" si="16"/>
        <v/>
      </c>
      <c r="V84" s="195" t="str">
        <f t="shared" si="13"/>
        <v/>
      </c>
      <c r="W84" s="336" t="str">
        <f t="shared" si="17"/>
        <v/>
      </c>
      <c r="X84" s="338" t="str">
        <f t="shared" si="18"/>
        <v/>
      </c>
      <c r="Y84" s="274"/>
      <c r="AR84" t="str">
        <f t="shared" si="19"/>
        <v/>
      </c>
      <c r="AS84" t="str">
        <f t="shared" si="20"/>
        <v/>
      </c>
    </row>
    <row r="85" spans="1:45">
      <c r="A85" s="291"/>
      <c r="B85" s="292"/>
      <c r="C85" s="293"/>
      <c r="D85" s="293"/>
      <c r="E85" s="293"/>
      <c r="F85" s="293"/>
      <c r="G85" s="294"/>
      <c r="H85" s="300"/>
      <c r="I85" s="295"/>
      <c r="J85" s="295"/>
      <c r="K85" s="296"/>
      <c r="L85" s="301"/>
      <c r="M85" s="297"/>
      <c r="N85" s="298"/>
      <c r="P85" s="190" t="str">
        <f>IF(R85 = "", "", COUNT(R$4:$R85))</f>
        <v/>
      </c>
      <c r="Q85" s="190" t="str">
        <f t="shared" si="11"/>
        <v/>
      </c>
      <c r="R85" s="191" t="str">
        <f t="shared" si="12"/>
        <v/>
      </c>
      <c r="S85" s="192" t="str">
        <f t="shared" si="14"/>
        <v/>
      </c>
      <c r="T85" s="193" t="str">
        <f t="shared" si="15"/>
        <v/>
      </c>
      <c r="U85" s="194" t="str">
        <f t="shared" si="16"/>
        <v/>
      </c>
      <c r="V85" s="195" t="str">
        <f t="shared" si="13"/>
        <v/>
      </c>
      <c r="W85" s="336" t="str">
        <f t="shared" si="17"/>
        <v/>
      </c>
      <c r="X85" s="338" t="str">
        <f t="shared" si="18"/>
        <v/>
      </c>
      <c r="Y85" s="274"/>
      <c r="AR85" t="str">
        <f t="shared" si="19"/>
        <v/>
      </c>
      <c r="AS85" t="str">
        <f t="shared" si="20"/>
        <v/>
      </c>
    </row>
    <row r="86" spans="1:45">
      <c r="A86" s="291"/>
      <c r="B86" s="292"/>
      <c r="C86" s="293"/>
      <c r="D86" s="293"/>
      <c r="E86" s="293"/>
      <c r="F86" s="293"/>
      <c r="G86" s="294"/>
      <c r="H86" s="300"/>
      <c r="I86" s="295"/>
      <c r="J86" s="295"/>
      <c r="K86" s="296"/>
      <c r="L86" s="301"/>
      <c r="M86" s="297"/>
      <c r="N86" s="298"/>
      <c r="P86" s="190" t="str">
        <f>IF(R86 = "", "", COUNT(R$4:$R86))</f>
        <v/>
      </c>
      <c r="Q86" s="190" t="str">
        <f t="shared" si="11"/>
        <v/>
      </c>
      <c r="R86" s="191" t="str">
        <f t="shared" si="12"/>
        <v/>
      </c>
      <c r="S86" s="192" t="str">
        <f t="shared" si="14"/>
        <v/>
      </c>
      <c r="T86" s="193" t="str">
        <f t="shared" si="15"/>
        <v/>
      </c>
      <c r="U86" s="194" t="str">
        <f t="shared" si="16"/>
        <v/>
      </c>
      <c r="V86" s="195" t="str">
        <f t="shared" si="13"/>
        <v/>
      </c>
      <c r="W86" s="336" t="str">
        <f t="shared" si="17"/>
        <v/>
      </c>
      <c r="X86" s="338" t="str">
        <f t="shared" si="18"/>
        <v/>
      </c>
      <c r="Y86" s="274"/>
      <c r="AR86" t="str">
        <f t="shared" si="19"/>
        <v/>
      </c>
      <c r="AS86" t="str">
        <f t="shared" si="20"/>
        <v/>
      </c>
    </row>
    <row r="87" spans="1:45">
      <c r="A87" s="291"/>
      <c r="B87" s="292"/>
      <c r="C87" s="293"/>
      <c r="D87" s="293"/>
      <c r="E87" s="293"/>
      <c r="F87" s="293"/>
      <c r="G87" s="294"/>
      <c r="H87" s="300"/>
      <c r="I87" s="295"/>
      <c r="J87" s="295"/>
      <c r="K87" s="296"/>
      <c r="L87" s="301"/>
      <c r="M87" s="297"/>
      <c r="N87" s="298"/>
      <c r="P87" s="190" t="str">
        <f>IF(R87 = "", "", COUNT(R$4:$R87))</f>
        <v/>
      </c>
      <c r="Q87" s="190" t="str">
        <f t="shared" si="11"/>
        <v/>
      </c>
      <c r="R87" s="191" t="str">
        <f t="shared" si="12"/>
        <v/>
      </c>
      <c r="S87" s="192" t="str">
        <f t="shared" si="14"/>
        <v/>
      </c>
      <c r="T87" s="193" t="str">
        <f t="shared" si="15"/>
        <v/>
      </c>
      <c r="U87" s="194" t="str">
        <f t="shared" si="16"/>
        <v/>
      </c>
      <c r="V87" s="195" t="str">
        <f t="shared" si="13"/>
        <v/>
      </c>
      <c r="W87" s="336" t="str">
        <f t="shared" si="17"/>
        <v/>
      </c>
      <c r="X87" s="338" t="str">
        <f t="shared" si="18"/>
        <v/>
      </c>
      <c r="Y87" s="274"/>
      <c r="AR87" t="str">
        <f t="shared" si="19"/>
        <v/>
      </c>
      <c r="AS87" t="str">
        <f t="shared" si="20"/>
        <v/>
      </c>
    </row>
    <row r="88" spans="1:45">
      <c r="A88" s="291"/>
      <c r="B88" s="292"/>
      <c r="C88" s="293"/>
      <c r="D88" s="293"/>
      <c r="E88" s="293"/>
      <c r="F88" s="293"/>
      <c r="G88" s="294"/>
      <c r="H88" s="300"/>
      <c r="I88" s="295"/>
      <c r="J88" s="295"/>
      <c r="K88" s="296"/>
      <c r="L88" s="301"/>
      <c r="M88" s="297"/>
      <c r="N88" s="298"/>
      <c r="P88" s="190" t="str">
        <f>IF(R88 = "", "", COUNT(R$4:$R88))</f>
        <v/>
      </c>
      <c r="Q88" s="190" t="str">
        <f t="shared" si="11"/>
        <v/>
      </c>
      <c r="R88" s="191" t="str">
        <f t="shared" si="12"/>
        <v/>
      </c>
      <c r="S88" s="192" t="str">
        <f t="shared" si="14"/>
        <v/>
      </c>
      <c r="T88" s="193" t="str">
        <f t="shared" si="15"/>
        <v/>
      </c>
      <c r="U88" s="194" t="str">
        <f t="shared" si="16"/>
        <v/>
      </c>
      <c r="V88" s="195" t="str">
        <f t="shared" si="13"/>
        <v/>
      </c>
      <c r="W88" s="336" t="str">
        <f t="shared" si="17"/>
        <v/>
      </c>
      <c r="X88" s="338" t="str">
        <f t="shared" si="18"/>
        <v/>
      </c>
      <c r="Y88" s="274"/>
      <c r="AR88" t="str">
        <f t="shared" si="19"/>
        <v/>
      </c>
      <c r="AS88" t="str">
        <f t="shared" si="20"/>
        <v/>
      </c>
    </row>
    <row r="89" spans="1:45">
      <c r="A89" s="291"/>
      <c r="B89" s="292"/>
      <c r="C89" s="293"/>
      <c r="D89" s="293"/>
      <c r="E89" s="293"/>
      <c r="F89" s="293"/>
      <c r="G89" s="294"/>
      <c r="H89" s="300"/>
      <c r="I89" s="295"/>
      <c r="J89" s="295"/>
      <c r="K89" s="296"/>
      <c r="L89" s="301"/>
      <c r="M89" s="297"/>
      <c r="N89" s="298"/>
      <c r="P89" s="190" t="str">
        <f>IF(R89 = "", "", COUNT(R$4:$R89))</f>
        <v/>
      </c>
      <c r="Q89" s="190" t="str">
        <f t="shared" si="11"/>
        <v/>
      </c>
      <c r="R89" s="191" t="str">
        <f t="shared" si="12"/>
        <v/>
      </c>
      <c r="S89" s="192" t="str">
        <f t="shared" si="14"/>
        <v/>
      </c>
      <c r="T89" s="193" t="str">
        <f t="shared" si="15"/>
        <v/>
      </c>
      <c r="U89" s="194" t="str">
        <f t="shared" si="16"/>
        <v/>
      </c>
      <c r="V89" s="195" t="str">
        <f t="shared" si="13"/>
        <v/>
      </c>
      <c r="W89" s="336" t="str">
        <f t="shared" si="17"/>
        <v/>
      </c>
      <c r="X89" s="338" t="str">
        <f t="shared" si="18"/>
        <v/>
      </c>
      <c r="Y89" s="274"/>
      <c r="AR89" t="str">
        <f t="shared" si="19"/>
        <v/>
      </c>
      <c r="AS89" t="str">
        <f t="shared" si="20"/>
        <v/>
      </c>
    </row>
    <row r="90" spans="1:45">
      <c r="A90" s="291"/>
      <c r="B90" s="292"/>
      <c r="C90" s="293"/>
      <c r="D90" s="293"/>
      <c r="E90" s="293"/>
      <c r="F90" s="293"/>
      <c r="G90" s="294"/>
      <c r="H90" s="300"/>
      <c r="I90" s="295"/>
      <c r="J90" s="295"/>
      <c r="K90" s="296"/>
      <c r="L90" s="301"/>
      <c r="M90" s="297"/>
      <c r="N90" s="298"/>
      <c r="P90" s="190" t="str">
        <f>IF(R90 = "", "", COUNT(R$4:$R90))</f>
        <v/>
      </c>
      <c r="Q90" s="190" t="str">
        <f t="shared" si="11"/>
        <v/>
      </c>
      <c r="R90" s="191" t="str">
        <f t="shared" si="12"/>
        <v/>
      </c>
      <c r="S90" s="192" t="str">
        <f t="shared" si="14"/>
        <v/>
      </c>
      <c r="T90" s="193" t="str">
        <f t="shared" si="15"/>
        <v/>
      </c>
      <c r="U90" s="194" t="str">
        <f t="shared" si="16"/>
        <v/>
      </c>
      <c r="V90" s="195" t="str">
        <f t="shared" si="13"/>
        <v/>
      </c>
      <c r="W90" s="336" t="str">
        <f t="shared" si="17"/>
        <v/>
      </c>
      <c r="X90" s="338" t="str">
        <f t="shared" si="18"/>
        <v/>
      </c>
      <c r="Y90" s="274"/>
      <c r="AR90" t="str">
        <f t="shared" si="19"/>
        <v/>
      </c>
      <c r="AS90" t="str">
        <f t="shared" si="20"/>
        <v/>
      </c>
    </row>
    <row r="91" spans="1:45">
      <c r="A91" s="291"/>
      <c r="B91" s="292"/>
      <c r="C91" s="293"/>
      <c r="D91" s="293"/>
      <c r="E91" s="293"/>
      <c r="F91" s="293"/>
      <c r="G91" s="294"/>
      <c r="H91" s="300"/>
      <c r="I91" s="295"/>
      <c r="J91" s="295"/>
      <c r="K91" s="296"/>
      <c r="L91" s="301"/>
      <c r="M91" s="297"/>
      <c r="N91" s="298"/>
      <c r="P91" s="190" t="str">
        <f>IF(R91 = "", "", COUNT(R$4:$R91))</f>
        <v/>
      </c>
      <c r="Q91" s="190" t="str">
        <f t="shared" si="11"/>
        <v/>
      </c>
      <c r="R91" s="191" t="str">
        <f t="shared" si="12"/>
        <v/>
      </c>
      <c r="S91" s="192" t="str">
        <f t="shared" si="14"/>
        <v/>
      </c>
      <c r="T91" s="193" t="str">
        <f t="shared" si="15"/>
        <v/>
      </c>
      <c r="U91" s="194" t="str">
        <f t="shared" si="16"/>
        <v/>
      </c>
      <c r="V91" s="195" t="str">
        <f t="shared" si="13"/>
        <v/>
      </c>
      <c r="W91" s="336" t="str">
        <f t="shared" si="17"/>
        <v/>
      </c>
      <c r="X91" s="338" t="str">
        <f t="shared" si="18"/>
        <v/>
      </c>
      <c r="Y91" s="274"/>
      <c r="AR91" t="str">
        <f t="shared" si="19"/>
        <v/>
      </c>
      <c r="AS91" t="str">
        <f t="shared" si="20"/>
        <v/>
      </c>
    </row>
    <row r="92" spans="1:45">
      <c r="A92" s="291"/>
      <c r="B92" s="292"/>
      <c r="C92" s="293"/>
      <c r="D92" s="293"/>
      <c r="E92" s="293"/>
      <c r="F92" s="293"/>
      <c r="G92" s="294"/>
      <c r="H92" s="300"/>
      <c r="I92" s="295"/>
      <c r="J92" s="295"/>
      <c r="K92" s="296"/>
      <c r="L92" s="301"/>
      <c r="M92" s="297"/>
      <c r="N92" s="298"/>
      <c r="P92" s="190" t="str">
        <f>IF(R92 = "", "", COUNT(R$4:$R92))</f>
        <v/>
      </c>
      <c r="Q92" s="190" t="str">
        <f t="shared" si="11"/>
        <v/>
      </c>
      <c r="R92" s="191" t="str">
        <f t="shared" si="12"/>
        <v/>
      </c>
      <c r="S92" s="192" t="str">
        <f t="shared" si="14"/>
        <v/>
      </c>
      <c r="T92" s="193" t="str">
        <f t="shared" si="15"/>
        <v/>
      </c>
      <c r="U92" s="194" t="str">
        <f t="shared" si="16"/>
        <v/>
      </c>
      <c r="V92" s="195" t="str">
        <f t="shared" si="13"/>
        <v/>
      </c>
      <c r="W92" s="336" t="str">
        <f t="shared" si="17"/>
        <v/>
      </c>
      <c r="X92" s="338" t="str">
        <f t="shared" si="18"/>
        <v/>
      </c>
      <c r="Y92" s="274"/>
      <c r="AR92" t="str">
        <f t="shared" si="19"/>
        <v/>
      </c>
      <c r="AS92" t="str">
        <f t="shared" si="20"/>
        <v/>
      </c>
    </row>
    <row r="93" spans="1:45">
      <c r="A93" s="291"/>
      <c r="B93" s="292"/>
      <c r="C93" s="293"/>
      <c r="D93" s="293"/>
      <c r="E93" s="293"/>
      <c r="F93" s="293"/>
      <c r="G93" s="294"/>
      <c r="H93" s="300"/>
      <c r="I93" s="295"/>
      <c r="J93" s="295"/>
      <c r="K93" s="296"/>
      <c r="L93" s="301"/>
      <c r="M93" s="297"/>
      <c r="N93" s="298"/>
      <c r="P93" s="190" t="str">
        <f>IF(R93 = "", "", COUNT(R$4:$R93))</f>
        <v/>
      </c>
      <c r="Q93" s="190" t="str">
        <f t="shared" si="11"/>
        <v/>
      </c>
      <c r="R93" s="191" t="str">
        <f t="shared" si="12"/>
        <v/>
      </c>
      <c r="S93" s="192" t="str">
        <f t="shared" si="14"/>
        <v/>
      </c>
      <c r="T93" s="193" t="str">
        <f t="shared" si="15"/>
        <v/>
      </c>
      <c r="U93" s="194" t="str">
        <f t="shared" si="16"/>
        <v/>
      </c>
      <c r="V93" s="195" t="str">
        <f t="shared" si="13"/>
        <v/>
      </c>
      <c r="W93" s="336" t="str">
        <f t="shared" si="17"/>
        <v/>
      </c>
      <c r="X93" s="338" t="str">
        <f t="shared" si="18"/>
        <v/>
      </c>
      <c r="Y93" s="274"/>
      <c r="AR93" t="str">
        <f t="shared" si="19"/>
        <v/>
      </c>
      <c r="AS93" t="str">
        <f t="shared" si="20"/>
        <v/>
      </c>
    </row>
    <row r="94" spans="1:45">
      <c r="A94" s="291"/>
      <c r="B94" s="292"/>
      <c r="C94" s="293"/>
      <c r="D94" s="293"/>
      <c r="E94" s="293"/>
      <c r="F94" s="293"/>
      <c r="G94" s="294"/>
      <c r="H94" s="300"/>
      <c r="I94" s="295"/>
      <c r="J94" s="295"/>
      <c r="K94" s="296"/>
      <c r="L94" s="301"/>
      <c r="M94" s="297"/>
      <c r="N94" s="298"/>
      <c r="P94" s="190" t="str">
        <f>IF(R94 = "", "", COUNT(R$4:$R94))</f>
        <v/>
      </c>
      <c r="Q94" s="190" t="str">
        <f t="shared" si="11"/>
        <v/>
      </c>
      <c r="R94" s="191" t="str">
        <f t="shared" si="12"/>
        <v/>
      </c>
      <c r="S94" s="192" t="str">
        <f t="shared" si="14"/>
        <v/>
      </c>
      <c r="T94" s="193" t="str">
        <f t="shared" si="15"/>
        <v/>
      </c>
      <c r="U94" s="194" t="str">
        <f t="shared" si="16"/>
        <v/>
      </c>
      <c r="V94" s="195" t="str">
        <f t="shared" si="13"/>
        <v/>
      </c>
      <c r="W94" s="336" t="str">
        <f t="shared" si="17"/>
        <v/>
      </c>
      <c r="X94" s="338" t="str">
        <f t="shared" si="18"/>
        <v/>
      </c>
      <c r="Y94" s="274"/>
      <c r="AR94" t="str">
        <f t="shared" si="19"/>
        <v/>
      </c>
      <c r="AS94" t="str">
        <f t="shared" si="20"/>
        <v/>
      </c>
    </row>
    <row r="95" spans="1:45">
      <c r="A95" s="291"/>
      <c r="B95" s="292"/>
      <c r="C95" s="293"/>
      <c r="D95" s="293"/>
      <c r="E95" s="293"/>
      <c r="F95" s="293"/>
      <c r="G95" s="294"/>
      <c r="H95" s="300"/>
      <c r="I95" s="295"/>
      <c r="J95" s="295"/>
      <c r="K95" s="296"/>
      <c r="L95" s="301"/>
      <c r="M95" s="297"/>
      <c r="N95" s="298"/>
      <c r="P95" s="190" t="str">
        <f>IF(R95 = "", "", COUNT(R$4:$R95))</f>
        <v/>
      </c>
      <c r="Q95" s="190" t="str">
        <f t="shared" si="11"/>
        <v/>
      </c>
      <c r="R95" s="191" t="str">
        <f t="shared" si="12"/>
        <v/>
      </c>
      <c r="S95" s="192" t="str">
        <f t="shared" si="14"/>
        <v/>
      </c>
      <c r="T95" s="193" t="str">
        <f t="shared" si="15"/>
        <v/>
      </c>
      <c r="U95" s="194" t="str">
        <f t="shared" si="16"/>
        <v/>
      </c>
      <c r="V95" s="195" t="str">
        <f t="shared" si="13"/>
        <v/>
      </c>
      <c r="W95" s="336" t="str">
        <f t="shared" si="17"/>
        <v/>
      </c>
      <c r="X95" s="338" t="str">
        <f t="shared" si="18"/>
        <v/>
      </c>
      <c r="Y95" s="274"/>
      <c r="AR95" t="str">
        <f t="shared" si="19"/>
        <v/>
      </c>
      <c r="AS95" t="str">
        <f t="shared" si="20"/>
        <v/>
      </c>
    </row>
    <row r="96" spans="1:45">
      <c r="A96" s="291"/>
      <c r="B96" s="292"/>
      <c r="C96" s="293"/>
      <c r="D96" s="293"/>
      <c r="E96" s="293"/>
      <c r="F96" s="293"/>
      <c r="G96" s="294"/>
      <c r="H96" s="300"/>
      <c r="I96" s="295"/>
      <c r="J96" s="295"/>
      <c r="K96" s="296"/>
      <c r="L96" s="301"/>
      <c r="M96" s="297"/>
      <c r="N96" s="298"/>
      <c r="P96" s="190" t="str">
        <f>IF(R96 = "", "", COUNT(R$4:$R96))</f>
        <v/>
      </c>
      <c r="Q96" s="190" t="str">
        <f t="shared" si="11"/>
        <v/>
      </c>
      <c r="R96" s="191" t="str">
        <f t="shared" si="12"/>
        <v/>
      </c>
      <c r="S96" s="192" t="str">
        <f t="shared" si="14"/>
        <v/>
      </c>
      <c r="T96" s="193" t="str">
        <f t="shared" si="15"/>
        <v/>
      </c>
      <c r="U96" s="194" t="str">
        <f t="shared" si="16"/>
        <v/>
      </c>
      <c r="V96" s="195" t="str">
        <f t="shared" si="13"/>
        <v/>
      </c>
      <c r="W96" s="336" t="str">
        <f t="shared" si="17"/>
        <v/>
      </c>
      <c r="X96" s="338" t="str">
        <f t="shared" si="18"/>
        <v/>
      </c>
      <c r="Y96" s="274"/>
      <c r="AR96" t="str">
        <f t="shared" si="19"/>
        <v/>
      </c>
      <c r="AS96" t="str">
        <f t="shared" si="20"/>
        <v/>
      </c>
    </row>
    <row r="97" spans="1:45">
      <c r="A97" s="291"/>
      <c r="B97" s="292"/>
      <c r="C97" s="293"/>
      <c r="D97" s="293"/>
      <c r="E97" s="293"/>
      <c r="F97" s="293"/>
      <c r="G97" s="294"/>
      <c r="H97" s="300"/>
      <c r="I97" s="295"/>
      <c r="J97" s="295"/>
      <c r="K97" s="296"/>
      <c r="L97" s="301"/>
      <c r="M97" s="297"/>
      <c r="N97" s="298"/>
      <c r="P97" s="190" t="str">
        <f>IF(R97 = "", "", COUNT(R$4:$R97))</f>
        <v/>
      </c>
      <c r="Q97" s="190" t="str">
        <f t="shared" si="11"/>
        <v/>
      </c>
      <c r="R97" s="191" t="str">
        <f t="shared" si="12"/>
        <v/>
      </c>
      <c r="S97" s="192" t="str">
        <f t="shared" si="14"/>
        <v/>
      </c>
      <c r="T97" s="193" t="str">
        <f t="shared" si="15"/>
        <v/>
      </c>
      <c r="U97" s="194" t="str">
        <f t="shared" si="16"/>
        <v/>
      </c>
      <c r="V97" s="195" t="str">
        <f t="shared" si="13"/>
        <v/>
      </c>
      <c r="W97" s="336" t="str">
        <f t="shared" si="17"/>
        <v/>
      </c>
      <c r="X97" s="338" t="str">
        <f t="shared" si="18"/>
        <v/>
      </c>
      <c r="Y97" s="274"/>
      <c r="AR97" t="str">
        <f t="shared" si="19"/>
        <v/>
      </c>
      <c r="AS97" t="str">
        <f t="shared" si="20"/>
        <v/>
      </c>
    </row>
    <row r="98" spans="1:45">
      <c r="A98" s="291"/>
      <c r="B98" s="292"/>
      <c r="C98" s="293"/>
      <c r="D98" s="293"/>
      <c r="E98" s="293"/>
      <c r="F98" s="293"/>
      <c r="G98" s="294"/>
      <c r="H98" s="300"/>
      <c r="I98" s="295"/>
      <c r="J98" s="295"/>
      <c r="K98" s="296"/>
      <c r="L98" s="301"/>
      <c r="M98" s="297"/>
      <c r="N98" s="298"/>
      <c r="P98" s="190" t="str">
        <f>IF(R98 = "", "", COUNT(R$4:$R98))</f>
        <v/>
      </c>
      <c r="Q98" s="190" t="str">
        <f t="shared" si="11"/>
        <v/>
      </c>
      <c r="R98" s="191" t="str">
        <f t="shared" si="12"/>
        <v/>
      </c>
      <c r="S98" s="192" t="str">
        <f t="shared" si="14"/>
        <v/>
      </c>
      <c r="T98" s="193" t="str">
        <f t="shared" si="15"/>
        <v/>
      </c>
      <c r="U98" s="194" t="str">
        <f t="shared" si="16"/>
        <v/>
      </c>
      <c r="V98" s="195" t="str">
        <f t="shared" si="13"/>
        <v/>
      </c>
      <c r="W98" s="336" t="str">
        <f t="shared" si="17"/>
        <v/>
      </c>
      <c r="X98" s="338" t="str">
        <f t="shared" si="18"/>
        <v/>
      </c>
      <c r="Y98" s="274"/>
      <c r="AR98" t="str">
        <f t="shared" si="19"/>
        <v/>
      </c>
      <c r="AS98" t="str">
        <f t="shared" si="20"/>
        <v/>
      </c>
    </row>
    <row r="99" spans="1:45">
      <c r="A99" s="291"/>
      <c r="B99" s="292"/>
      <c r="C99" s="293"/>
      <c r="D99" s="293"/>
      <c r="E99" s="293"/>
      <c r="F99" s="293"/>
      <c r="G99" s="294"/>
      <c r="H99" s="300"/>
      <c r="I99" s="295"/>
      <c r="J99" s="295"/>
      <c r="K99" s="296"/>
      <c r="L99" s="301"/>
      <c r="M99" s="297"/>
      <c r="N99" s="298"/>
      <c r="P99" s="190" t="str">
        <f>IF(R99 = "", "", COUNT(R$4:$R99))</f>
        <v/>
      </c>
      <c r="Q99" s="190" t="str">
        <f t="shared" si="11"/>
        <v/>
      </c>
      <c r="R99" s="191" t="str">
        <f t="shared" si="12"/>
        <v/>
      </c>
      <c r="S99" s="192" t="str">
        <f t="shared" si="14"/>
        <v/>
      </c>
      <c r="T99" s="193" t="str">
        <f t="shared" si="15"/>
        <v/>
      </c>
      <c r="U99" s="194" t="str">
        <f t="shared" si="16"/>
        <v/>
      </c>
      <c r="V99" s="195" t="str">
        <f t="shared" si="13"/>
        <v/>
      </c>
      <c r="W99" s="336" t="str">
        <f t="shared" si="17"/>
        <v/>
      </c>
      <c r="X99" s="338" t="str">
        <f t="shared" si="18"/>
        <v/>
      </c>
      <c r="Y99" s="274"/>
      <c r="AR99" t="str">
        <f t="shared" si="19"/>
        <v/>
      </c>
      <c r="AS99" t="str">
        <f t="shared" si="20"/>
        <v/>
      </c>
    </row>
    <row r="100" spans="1:45">
      <c r="A100" s="291"/>
      <c r="B100" s="292"/>
      <c r="C100" s="293"/>
      <c r="D100" s="293"/>
      <c r="E100" s="293"/>
      <c r="F100" s="293"/>
      <c r="G100" s="294"/>
      <c r="H100" s="300"/>
      <c r="I100" s="295"/>
      <c r="J100" s="295"/>
      <c r="K100" s="296"/>
      <c r="L100" s="301"/>
      <c r="M100" s="297"/>
      <c r="N100" s="298"/>
      <c r="P100" s="190" t="str">
        <f>IF(R100 = "", "", COUNT(R$4:$R100))</f>
        <v/>
      </c>
      <c r="Q100" s="190" t="str">
        <f t="shared" si="11"/>
        <v/>
      </c>
      <c r="R100" s="191" t="str">
        <f t="shared" si="12"/>
        <v/>
      </c>
      <c r="S100" s="192" t="str">
        <f t="shared" si="14"/>
        <v/>
      </c>
      <c r="T100" s="193" t="str">
        <f t="shared" si="15"/>
        <v/>
      </c>
      <c r="U100" s="194" t="str">
        <f t="shared" si="16"/>
        <v/>
      </c>
      <c r="V100" s="195" t="str">
        <f t="shared" si="13"/>
        <v/>
      </c>
      <c r="W100" s="336" t="str">
        <f t="shared" si="17"/>
        <v/>
      </c>
      <c r="X100" s="338" t="str">
        <f t="shared" si="18"/>
        <v/>
      </c>
      <c r="Y100" s="274"/>
      <c r="AR100" t="str">
        <f t="shared" si="19"/>
        <v/>
      </c>
      <c r="AS100" t="str">
        <f t="shared" si="20"/>
        <v/>
      </c>
    </row>
    <row r="101" spans="1:45">
      <c r="A101" s="291"/>
      <c r="B101" s="292"/>
      <c r="C101" s="293"/>
      <c r="D101" s="293"/>
      <c r="E101" s="293"/>
      <c r="F101" s="293"/>
      <c r="G101" s="294"/>
      <c r="H101" s="300"/>
      <c r="I101" s="295"/>
      <c r="J101" s="295"/>
      <c r="K101" s="296"/>
      <c r="L101" s="301"/>
      <c r="M101" s="297"/>
      <c r="N101" s="298"/>
      <c r="P101" s="190" t="str">
        <f>IF(R101 = "", "", COUNT(R$4:$R101))</f>
        <v/>
      </c>
      <c r="Q101" s="190" t="str">
        <f t="shared" si="11"/>
        <v/>
      </c>
      <c r="R101" s="191" t="str">
        <f t="shared" si="12"/>
        <v/>
      </c>
      <c r="S101" s="192" t="str">
        <f t="shared" si="14"/>
        <v/>
      </c>
      <c r="T101" s="193" t="str">
        <f t="shared" si="15"/>
        <v/>
      </c>
      <c r="U101" s="194" t="str">
        <f t="shared" si="16"/>
        <v/>
      </c>
      <c r="V101" s="195" t="str">
        <f t="shared" si="13"/>
        <v/>
      </c>
      <c r="W101" s="336" t="str">
        <f t="shared" si="17"/>
        <v/>
      </c>
      <c r="X101" s="338" t="str">
        <f t="shared" si="18"/>
        <v/>
      </c>
      <c r="Y101" s="274"/>
      <c r="AR101" t="str">
        <f t="shared" si="19"/>
        <v/>
      </c>
      <c r="AS101" t="str">
        <f t="shared" si="20"/>
        <v/>
      </c>
    </row>
    <row r="102" spans="1:45">
      <c r="A102" s="291"/>
      <c r="B102" s="292"/>
      <c r="C102" s="293"/>
      <c r="D102" s="293"/>
      <c r="E102" s="293"/>
      <c r="F102" s="293"/>
      <c r="G102" s="294"/>
      <c r="H102" s="300"/>
      <c r="I102" s="295"/>
      <c r="J102" s="295"/>
      <c r="K102" s="296"/>
      <c r="L102" s="301"/>
      <c r="M102" s="297"/>
      <c r="N102" s="298"/>
      <c r="P102" s="190" t="str">
        <f>IF(R102 = "", "", COUNT(R$4:$R102))</f>
        <v/>
      </c>
      <c r="Q102" s="190" t="str">
        <f t="shared" si="11"/>
        <v/>
      </c>
      <c r="R102" s="191" t="str">
        <f t="shared" si="12"/>
        <v/>
      </c>
      <c r="S102" s="192" t="str">
        <f t="shared" si="14"/>
        <v/>
      </c>
      <c r="T102" s="193" t="str">
        <f t="shared" si="15"/>
        <v/>
      </c>
      <c r="U102" s="194" t="str">
        <f t="shared" si="16"/>
        <v/>
      </c>
      <c r="V102" s="195" t="str">
        <f t="shared" si="13"/>
        <v/>
      </c>
      <c r="W102" s="336" t="str">
        <f t="shared" si="17"/>
        <v/>
      </c>
      <c r="X102" s="338" t="str">
        <f t="shared" si="18"/>
        <v/>
      </c>
      <c r="Y102" s="274"/>
      <c r="AR102" t="str">
        <f t="shared" si="19"/>
        <v/>
      </c>
      <c r="AS102" t="str">
        <f t="shared" si="20"/>
        <v/>
      </c>
    </row>
    <row r="103" spans="1:45">
      <c r="A103" s="291"/>
      <c r="B103" s="292"/>
      <c r="C103" s="293"/>
      <c r="D103" s="293"/>
      <c r="E103" s="293"/>
      <c r="F103" s="293"/>
      <c r="G103" s="294"/>
      <c r="H103" s="300"/>
      <c r="I103" s="295"/>
      <c r="J103" s="295"/>
      <c r="K103" s="296"/>
      <c r="L103" s="301"/>
      <c r="M103" s="297"/>
      <c r="N103" s="298"/>
      <c r="P103" s="190" t="str">
        <f>IF(R103 = "", "", COUNT(R$4:$R103))</f>
        <v/>
      </c>
      <c r="Q103" s="190" t="str">
        <f t="shared" si="11"/>
        <v/>
      </c>
      <c r="R103" s="191" t="str">
        <f t="shared" si="12"/>
        <v/>
      </c>
      <c r="S103" s="192" t="str">
        <f t="shared" si="14"/>
        <v/>
      </c>
      <c r="T103" s="193" t="str">
        <f t="shared" si="15"/>
        <v/>
      </c>
      <c r="U103" s="194" t="str">
        <f t="shared" si="16"/>
        <v/>
      </c>
      <c r="V103" s="195" t="str">
        <f t="shared" si="13"/>
        <v/>
      </c>
      <c r="W103" s="336" t="str">
        <f t="shared" si="17"/>
        <v/>
      </c>
      <c r="X103" s="338" t="str">
        <f t="shared" si="18"/>
        <v/>
      </c>
      <c r="Y103" s="274"/>
      <c r="AR103" t="str">
        <f t="shared" si="19"/>
        <v/>
      </c>
      <c r="AS103" t="str">
        <f t="shared" si="20"/>
        <v/>
      </c>
    </row>
    <row r="104" spans="1:45">
      <c r="A104" s="291"/>
      <c r="B104" s="292"/>
      <c r="C104" s="293"/>
      <c r="D104" s="293"/>
      <c r="E104" s="293"/>
      <c r="F104" s="293"/>
      <c r="G104" s="294"/>
      <c r="H104" s="300"/>
      <c r="I104" s="295"/>
      <c r="J104" s="295"/>
      <c r="K104" s="296"/>
      <c r="L104" s="301"/>
      <c r="M104" s="297"/>
      <c r="N104" s="298"/>
      <c r="P104" s="190" t="str">
        <f>IF(R104 = "", "", COUNT(R$4:$R104))</f>
        <v/>
      </c>
      <c r="Q104" s="190" t="str">
        <f t="shared" si="11"/>
        <v/>
      </c>
      <c r="R104" s="191" t="str">
        <f t="shared" si="12"/>
        <v/>
      </c>
      <c r="S104" s="192" t="str">
        <f t="shared" si="14"/>
        <v/>
      </c>
      <c r="T104" s="193" t="str">
        <f t="shared" si="15"/>
        <v/>
      </c>
      <c r="U104" s="194" t="str">
        <f t="shared" si="16"/>
        <v/>
      </c>
      <c r="V104" s="195" t="str">
        <f t="shared" si="13"/>
        <v/>
      </c>
      <c r="W104" s="336" t="str">
        <f t="shared" si="17"/>
        <v/>
      </c>
      <c r="X104" s="338" t="str">
        <f t="shared" si="18"/>
        <v/>
      </c>
      <c r="Y104" s="274"/>
      <c r="AR104" t="str">
        <f t="shared" si="19"/>
        <v/>
      </c>
      <c r="AS104" t="str">
        <f t="shared" si="20"/>
        <v/>
      </c>
    </row>
    <row r="105" spans="1:45">
      <c r="A105" s="291"/>
      <c r="B105" s="292"/>
      <c r="C105" s="293"/>
      <c r="D105" s="293"/>
      <c r="E105" s="293"/>
      <c r="F105" s="293"/>
      <c r="G105" s="294"/>
      <c r="H105" s="300"/>
      <c r="I105" s="295"/>
      <c r="J105" s="295"/>
      <c r="K105" s="296"/>
      <c r="L105" s="301"/>
      <c r="M105" s="297"/>
      <c r="N105" s="298"/>
      <c r="P105" s="190" t="str">
        <f>IF(R105 = "", "", COUNT(R$4:$R105))</f>
        <v/>
      </c>
      <c r="Q105" s="190" t="str">
        <f t="shared" si="11"/>
        <v/>
      </c>
      <c r="R105" s="191" t="str">
        <f t="shared" si="12"/>
        <v/>
      </c>
      <c r="S105" s="192" t="str">
        <f t="shared" si="14"/>
        <v/>
      </c>
      <c r="T105" s="193" t="str">
        <f t="shared" si="15"/>
        <v/>
      </c>
      <c r="U105" s="194" t="str">
        <f t="shared" si="16"/>
        <v/>
      </c>
      <c r="V105" s="195" t="str">
        <f t="shared" si="13"/>
        <v/>
      </c>
      <c r="W105" s="336" t="str">
        <f t="shared" si="17"/>
        <v/>
      </c>
      <c r="X105" s="338" t="str">
        <f t="shared" si="18"/>
        <v/>
      </c>
      <c r="Y105" s="274"/>
      <c r="AR105" t="str">
        <f t="shared" si="19"/>
        <v/>
      </c>
      <c r="AS105" t="str">
        <f t="shared" si="20"/>
        <v/>
      </c>
    </row>
    <row r="106" spans="1:45">
      <c r="A106" s="291"/>
      <c r="B106" s="292"/>
      <c r="C106" s="293"/>
      <c r="D106" s="293"/>
      <c r="E106" s="293"/>
      <c r="F106" s="293"/>
      <c r="G106" s="294"/>
      <c r="H106" s="300"/>
      <c r="I106" s="295"/>
      <c r="J106" s="295"/>
      <c r="K106" s="296"/>
      <c r="L106" s="301"/>
      <c r="M106" s="297"/>
      <c r="N106" s="298"/>
      <c r="P106" s="190" t="str">
        <f>IF(R106 = "", "", COUNT(R$4:$R106))</f>
        <v/>
      </c>
      <c r="Q106" s="190" t="str">
        <f t="shared" si="11"/>
        <v/>
      </c>
      <c r="R106" s="191" t="str">
        <f t="shared" si="12"/>
        <v/>
      </c>
      <c r="S106" s="192" t="str">
        <f t="shared" si="14"/>
        <v/>
      </c>
      <c r="T106" s="193" t="str">
        <f t="shared" si="15"/>
        <v/>
      </c>
      <c r="U106" s="194" t="str">
        <f t="shared" si="16"/>
        <v/>
      </c>
      <c r="V106" s="195" t="str">
        <f t="shared" si="13"/>
        <v/>
      </c>
      <c r="W106" s="336" t="str">
        <f t="shared" si="17"/>
        <v/>
      </c>
      <c r="X106" s="338" t="str">
        <f t="shared" si="18"/>
        <v/>
      </c>
      <c r="Y106" s="274"/>
      <c r="AR106" t="str">
        <f t="shared" si="19"/>
        <v/>
      </c>
      <c r="AS106" t="str">
        <f t="shared" si="20"/>
        <v/>
      </c>
    </row>
    <row r="107" spans="1:45">
      <c r="A107" s="291"/>
      <c r="B107" s="292"/>
      <c r="C107" s="293"/>
      <c r="D107" s="293"/>
      <c r="E107" s="293"/>
      <c r="F107" s="293"/>
      <c r="G107" s="294"/>
      <c r="H107" s="300"/>
      <c r="I107" s="295"/>
      <c r="J107" s="295"/>
      <c r="K107" s="296"/>
      <c r="L107" s="301"/>
      <c r="M107" s="297"/>
      <c r="N107" s="298"/>
      <c r="P107" s="190" t="str">
        <f>IF(R107 = "", "", COUNT(R$4:$R107))</f>
        <v/>
      </c>
      <c r="Q107" s="190" t="str">
        <f t="shared" si="11"/>
        <v/>
      </c>
      <c r="R107" s="191" t="str">
        <f t="shared" si="12"/>
        <v/>
      </c>
      <c r="S107" s="192" t="str">
        <f t="shared" si="14"/>
        <v/>
      </c>
      <c r="T107" s="193" t="str">
        <f t="shared" si="15"/>
        <v/>
      </c>
      <c r="U107" s="194" t="str">
        <f t="shared" si="16"/>
        <v/>
      </c>
      <c r="V107" s="195" t="str">
        <f t="shared" si="13"/>
        <v/>
      </c>
      <c r="W107" s="336" t="str">
        <f t="shared" si="17"/>
        <v/>
      </c>
      <c r="X107" s="338" t="str">
        <f t="shared" si="18"/>
        <v/>
      </c>
      <c r="Y107" s="274"/>
      <c r="AR107" t="str">
        <f t="shared" si="19"/>
        <v/>
      </c>
      <c r="AS107" t="str">
        <f t="shared" si="20"/>
        <v/>
      </c>
    </row>
    <row r="108" spans="1:45">
      <c r="A108" s="291"/>
      <c r="B108" s="292"/>
      <c r="C108" s="293"/>
      <c r="D108" s="293"/>
      <c r="E108" s="293"/>
      <c r="F108" s="293"/>
      <c r="G108" s="294"/>
      <c r="H108" s="300"/>
      <c r="I108" s="295"/>
      <c r="J108" s="295"/>
      <c r="K108" s="296"/>
      <c r="L108" s="301"/>
      <c r="M108" s="297"/>
      <c r="N108" s="298"/>
      <c r="P108" s="190" t="str">
        <f>IF(R108 = "", "", COUNT(R$4:$R108))</f>
        <v/>
      </c>
      <c r="Q108" s="190" t="str">
        <f t="shared" si="11"/>
        <v/>
      </c>
      <c r="R108" s="191" t="str">
        <f t="shared" si="12"/>
        <v/>
      </c>
      <c r="S108" s="192" t="str">
        <f t="shared" si="14"/>
        <v/>
      </c>
      <c r="T108" s="193" t="str">
        <f t="shared" si="15"/>
        <v/>
      </c>
      <c r="U108" s="194" t="str">
        <f t="shared" si="16"/>
        <v/>
      </c>
      <c r="V108" s="195" t="str">
        <f t="shared" si="13"/>
        <v/>
      </c>
      <c r="W108" s="336" t="str">
        <f t="shared" si="17"/>
        <v/>
      </c>
      <c r="X108" s="338" t="str">
        <f t="shared" si="18"/>
        <v/>
      </c>
      <c r="Y108" s="274"/>
      <c r="AR108" t="str">
        <f t="shared" si="19"/>
        <v/>
      </c>
      <c r="AS108" t="str">
        <f t="shared" si="20"/>
        <v/>
      </c>
    </row>
    <row r="109" spans="1:45">
      <c r="A109" s="291"/>
      <c r="B109" s="292"/>
      <c r="C109" s="293"/>
      <c r="D109" s="293"/>
      <c r="E109" s="293"/>
      <c r="F109" s="293"/>
      <c r="G109" s="294"/>
      <c r="H109" s="300"/>
      <c r="I109" s="295"/>
      <c r="J109" s="295"/>
      <c r="K109" s="296"/>
      <c r="L109" s="301"/>
      <c r="M109" s="297"/>
      <c r="N109" s="298"/>
      <c r="P109" s="190" t="str">
        <f>IF(R109 = "", "", COUNT(R$4:$R109))</f>
        <v/>
      </c>
      <c r="Q109" s="190" t="str">
        <f t="shared" si="11"/>
        <v/>
      </c>
      <c r="R109" s="191" t="str">
        <f t="shared" si="12"/>
        <v/>
      </c>
      <c r="S109" s="192" t="str">
        <f t="shared" si="14"/>
        <v/>
      </c>
      <c r="T109" s="193" t="str">
        <f t="shared" si="15"/>
        <v/>
      </c>
      <c r="U109" s="194" t="str">
        <f t="shared" si="16"/>
        <v/>
      </c>
      <c r="V109" s="195" t="str">
        <f t="shared" si="13"/>
        <v/>
      </c>
      <c r="W109" s="336" t="str">
        <f t="shared" si="17"/>
        <v/>
      </c>
      <c r="X109" s="338" t="str">
        <f t="shared" si="18"/>
        <v/>
      </c>
      <c r="Y109" s="274"/>
      <c r="AR109" t="str">
        <f t="shared" si="19"/>
        <v/>
      </c>
      <c r="AS109" t="str">
        <f t="shared" si="20"/>
        <v/>
      </c>
    </row>
    <row r="110" spans="1:45">
      <c r="A110" s="291"/>
      <c r="B110" s="292"/>
      <c r="C110" s="293"/>
      <c r="D110" s="293"/>
      <c r="E110" s="293"/>
      <c r="F110" s="293"/>
      <c r="G110" s="294"/>
      <c r="H110" s="300"/>
      <c r="I110" s="295"/>
      <c r="J110" s="295"/>
      <c r="K110" s="296"/>
      <c r="L110" s="301"/>
      <c r="M110" s="297"/>
      <c r="N110" s="298"/>
      <c r="P110" s="190" t="str">
        <f>IF(R110 = "", "", COUNT(R$4:$R110))</f>
        <v/>
      </c>
      <c r="Q110" s="190" t="str">
        <f t="shared" si="11"/>
        <v/>
      </c>
      <c r="R110" s="191" t="str">
        <f t="shared" si="12"/>
        <v/>
      </c>
      <c r="S110" s="192" t="str">
        <f t="shared" si="14"/>
        <v/>
      </c>
      <c r="T110" s="193" t="str">
        <f t="shared" si="15"/>
        <v/>
      </c>
      <c r="U110" s="194" t="str">
        <f t="shared" si="16"/>
        <v/>
      </c>
      <c r="V110" s="195" t="str">
        <f t="shared" si="13"/>
        <v/>
      </c>
      <c r="W110" s="336" t="str">
        <f t="shared" si="17"/>
        <v/>
      </c>
      <c r="X110" s="338" t="str">
        <f t="shared" si="18"/>
        <v/>
      </c>
      <c r="Y110" s="274"/>
      <c r="AR110" t="str">
        <f t="shared" si="19"/>
        <v/>
      </c>
      <c r="AS110" t="str">
        <f t="shared" si="20"/>
        <v/>
      </c>
    </row>
    <row r="111" spans="1:45">
      <c r="A111" s="291"/>
      <c r="B111" s="292"/>
      <c r="C111" s="293"/>
      <c r="D111" s="293"/>
      <c r="E111" s="293"/>
      <c r="F111" s="293"/>
      <c r="G111" s="294"/>
      <c r="H111" s="300"/>
      <c r="I111" s="295"/>
      <c r="J111" s="295"/>
      <c r="K111" s="296"/>
      <c r="L111" s="301"/>
      <c r="M111" s="297"/>
      <c r="N111" s="298"/>
      <c r="P111" s="190" t="str">
        <f>IF(R111 = "", "", COUNT(R$4:$R111))</f>
        <v/>
      </c>
      <c r="Q111" s="190" t="str">
        <f t="shared" si="11"/>
        <v/>
      </c>
      <c r="R111" s="191" t="str">
        <f t="shared" si="12"/>
        <v/>
      </c>
      <c r="S111" s="192" t="str">
        <f t="shared" si="14"/>
        <v/>
      </c>
      <c r="T111" s="193" t="str">
        <f t="shared" si="15"/>
        <v/>
      </c>
      <c r="U111" s="194" t="str">
        <f t="shared" si="16"/>
        <v/>
      </c>
      <c r="V111" s="195" t="str">
        <f t="shared" si="13"/>
        <v/>
      </c>
      <c r="W111" s="336" t="str">
        <f t="shared" si="17"/>
        <v/>
      </c>
      <c r="X111" s="338" t="str">
        <f t="shared" si="18"/>
        <v/>
      </c>
      <c r="Y111" s="274"/>
      <c r="AR111" t="str">
        <f t="shared" si="19"/>
        <v/>
      </c>
      <c r="AS111" t="str">
        <f t="shared" si="20"/>
        <v/>
      </c>
    </row>
    <row r="112" spans="1:45">
      <c r="A112" s="291"/>
      <c r="B112" s="292"/>
      <c r="C112" s="293"/>
      <c r="D112" s="293"/>
      <c r="E112" s="293"/>
      <c r="F112" s="293"/>
      <c r="G112" s="294"/>
      <c r="H112" s="300"/>
      <c r="I112" s="295"/>
      <c r="J112" s="295"/>
      <c r="K112" s="296"/>
      <c r="L112" s="301"/>
      <c r="M112" s="297"/>
      <c r="N112" s="298"/>
      <c r="P112" s="190" t="str">
        <f>IF(R112 = "", "", COUNT(R$4:$R112))</f>
        <v/>
      </c>
      <c r="Q112" s="190" t="str">
        <f t="shared" si="11"/>
        <v/>
      </c>
      <c r="R112" s="191" t="str">
        <f t="shared" si="12"/>
        <v/>
      </c>
      <c r="S112" s="192" t="str">
        <f t="shared" si="14"/>
        <v/>
      </c>
      <c r="T112" s="193" t="str">
        <f t="shared" si="15"/>
        <v/>
      </c>
      <c r="U112" s="194" t="str">
        <f t="shared" si="16"/>
        <v/>
      </c>
      <c r="V112" s="195" t="str">
        <f t="shared" si="13"/>
        <v/>
      </c>
      <c r="W112" s="336" t="str">
        <f t="shared" si="17"/>
        <v/>
      </c>
      <c r="X112" s="338" t="str">
        <f t="shared" si="18"/>
        <v/>
      </c>
      <c r="Y112" s="274"/>
      <c r="AR112" t="str">
        <f t="shared" si="19"/>
        <v/>
      </c>
      <c r="AS112" t="str">
        <f t="shared" si="20"/>
        <v/>
      </c>
    </row>
    <row r="113" spans="1:45">
      <c r="A113" s="291"/>
      <c r="B113" s="292"/>
      <c r="C113" s="293"/>
      <c r="D113" s="293"/>
      <c r="E113" s="293"/>
      <c r="F113" s="293"/>
      <c r="G113" s="294"/>
      <c r="H113" s="300"/>
      <c r="I113" s="295"/>
      <c r="J113" s="295"/>
      <c r="K113" s="296"/>
      <c r="L113" s="301"/>
      <c r="M113" s="297"/>
      <c r="N113" s="298"/>
      <c r="P113" s="190" t="str">
        <f>IF(R113 = "", "", COUNT(R$4:$R113))</f>
        <v/>
      </c>
      <c r="Q113" s="190" t="str">
        <f t="shared" si="11"/>
        <v/>
      </c>
      <c r="R113" s="191" t="str">
        <f t="shared" si="12"/>
        <v/>
      </c>
      <c r="S113" s="192" t="str">
        <f t="shared" si="14"/>
        <v/>
      </c>
      <c r="T113" s="193" t="str">
        <f t="shared" si="15"/>
        <v/>
      </c>
      <c r="U113" s="194" t="str">
        <f t="shared" si="16"/>
        <v/>
      </c>
      <c r="V113" s="195" t="str">
        <f t="shared" si="13"/>
        <v/>
      </c>
      <c r="W113" s="336" t="str">
        <f t="shared" si="17"/>
        <v/>
      </c>
      <c r="X113" s="338" t="str">
        <f t="shared" si="18"/>
        <v/>
      </c>
      <c r="Y113" s="274"/>
      <c r="AR113" t="str">
        <f t="shared" si="19"/>
        <v/>
      </c>
      <c r="AS113" t="str">
        <f t="shared" si="20"/>
        <v/>
      </c>
    </row>
    <row r="114" spans="1:45">
      <c r="A114" s="291"/>
      <c r="B114" s="292"/>
      <c r="C114" s="293"/>
      <c r="D114" s="293"/>
      <c r="E114" s="293"/>
      <c r="F114" s="293"/>
      <c r="G114" s="294"/>
      <c r="H114" s="300"/>
      <c r="I114" s="295"/>
      <c r="J114" s="295"/>
      <c r="K114" s="296"/>
      <c r="L114" s="301"/>
      <c r="M114" s="297"/>
      <c r="N114" s="298"/>
      <c r="P114" s="190" t="str">
        <f>IF(R114 = "", "", COUNT(R$4:$R114))</f>
        <v/>
      </c>
      <c r="Q114" s="190" t="str">
        <f t="shared" si="11"/>
        <v/>
      </c>
      <c r="R114" s="191" t="str">
        <f t="shared" si="12"/>
        <v/>
      </c>
      <c r="S114" s="192" t="str">
        <f t="shared" si="14"/>
        <v/>
      </c>
      <c r="T114" s="193" t="str">
        <f t="shared" si="15"/>
        <v/>
      </c>
      <c r="U114" s="194" t="str">
        <f t="shared" si="16"/>
        <v/>
      </c>
      <c r="V114" s="195" t="str">
        <f t="shared" si="13"/>
        <v/>
      </c>
      <c r="W114" s="336" t="str">
        <f t="shared" si="17"/>
        <v/>
      </c>
      <c r="X114" s="338" t="str">
        <f t="shared" si="18"/>
        <v/>
      </c>
      <c r="Y114" s="274"/>
      <c r="AR114" t="str">
        <f t="shared" si="19"/>
        <v/>
      </c>
      <c r="AS114" t="str">
        <f t="shared" si="20"/>
        <v/>
      </c>
    </row>
    <row r="115" spans="1:45">
      <c r="A115" s="291"/>
      <c r="B115" s="292"/>
      <c r="C115" s="293"/>
      <c r="D115" s="293"/>
      <c r="E115" s="293"/>
      <c r="F115" s="293"/>
      <c r="G115" s="294"/>
      <c r="H115" s="300"/>
      <c r="I115" s="295"/>
      <c r="J115" s="295"/>
      <c r="K115" s="296"/>
      <c r="L115" s="301"/>
      <c r="M115" s="297"/>
      <c r="N115" s="298"/>
      <c r="P115" s="190" t="str">
        <f>IF(R115 = "", "", COUNT(R$4:$R115))</f>
        <v/>
      </c>
      <c r="Q115" s="190" t="str">
        <f t="shared" si="11"/>
        <v/>
      </c>
      <c r="R115" s="191" t="str">
        <f t="shared" si="12"/>
        <v/>
      </c>
      <c r="S115" s="192" t="str">
        <f t="shared" si="14"/>
        <v/>
      </c>
      <c r="T115" s="193" t="str">
        <f t="shared" si="15"/>
        <v/>
      </c>
      <c r="U115" s="194" t="str">
        <f t="shared" si="16"/>
        <v/>
      </c>
      <c r="V115" s="195" t="str">
        <f t="shared" si="13"/>
        <v/>
      </c>
      <c r="W115" s="336" t="str">
        <f t="shared" si="17"/>
        <v/>
      </c>
      <c r="X115" s="338" t="str">
        <f t="shared" si="18"/>
        <v/>
      </c>
      <c r="Y115" s="274"/>
      <c r="AR115" t="str">
        <f t="shared" si="19"/>
        <v/>
      </c>
      <c r="AS115" t="str">
        <f t="shared" si="20"/>
        <v/>
      </c>
    </row>
    <row r="116" spans="1:45">
      <c r="A116" s="291"/>
      <c r="B116" s="292"/>
      <c r="C116" s="293"/>
      <c r="D116" s="293"/>
      <c r="E116" s="293"/>
      <c r="F116" s="293"/>
      <c r="G116" s="294"/>
      <c r="H116" s="300"/>
      <c r="I116" s="295"/>
      <c r="J116" s="295"/>
      <c r="K116" s="296"/>
      <c r="L116" s="301"/>
      <c r="M116" s="297"/>
      <c r="N116" s="298"/>
      <c r="P116" s="190" t="str">
        <f>IF(R116 = "", "", COUNT(R$4:$R116))</f>
        <v/>
      </c>
      <c r="Q116" s="190" t="str">
        <f t="shared" si="11"/>
        <v/>
      </c>
      <c r="R116" s="191" t="str">
        <f t="shared" si="12"/>
        <v/>
      </c>
      <c r="S116" s="192" t="str">
        <f t="shared" si="14"/>
        <v/>
      </c>
      <c r="T116" s="193" t="str">
        <f t="shared" si="15"/>
        <v/>
      </c>
      <c r="U116" s="194" t="str">
        <f t="shared" si="16"/>
        <v/>
      </c>
      <c r="V116" s="195" t="str">
        <f t="shared" si="13"/>
        <v/>
      </c>
      <c r="W116" s="336" t="str">
        <f t="shared" si="17"/>
        <v/>
      </c>
      <c r="X116" s="338" t="str">
        <f t="shared" si="18"/>
        <v/>
      </c>
      <c r="Y116" s="274"/>
      <c r="AR116" t="str">
        <f t="shared" si="19"/>
        <v/>
      </c>
      <c r="AS116" t="str">
        <f t="shared" si="20"/>
        <v/>
      </c>
    </row>
    <row r="117" spans="1:45">
      <c r="A117" s="291"/>
      <c r="B117" s="292"/>
      <c r="C117" s="293"/>
      <c r="D117" s="293"/>
      <c r="E117" s="293"/>
      <c r="F117" s="293"/>
      <c r="G117" s="294"/>
      <c r="H117" s="300"/>
      <c r="I117" s="295"/>
      <c r="J117" s="295"/>
      <c r="K117" s="296"/>
      <c r="L117" s="301"/>
      <c r="M117" s="297"/>
      <c r="N117" s="298"/>
      <c r="P117" s="190" t="str">
        <f>IF(R117 = "", "", COUNT(R$4:$R117))</f>
        <v/>
      </c>
      <c r="Q117" s="190" t="str">
        <f t="shared" si="11"/>
        <v/>
      </c>
      <c r="R117" s="191" t="str">
        <f t="shared" si="12"/>
        <v/>
      </c>
      <c r="S117" s="192" t="str">
        <f t="shared" si="14"/>
        <v/>
      </c>
      <c r="T117" s="193" t="str">
        <f t="shared" si="15"/>
        <v/>
      </c>
      <c r="U117" s="194" t="str">
        <f t="shared" si="16"/>
        <v/>
      </c>
      <c r="V117" s="195" t="str">
        <f t="shared" si="13"/>
        <v/>
      </c>
      <c r="W117" s="336" t="str">
        <f t="shared" si="17"/>
        <v/>
      </c>
      <c r="X117" s="338" t="str">
        <f t="shared" si="18"/>
        <v/>
      </c>
      <c r="Y117" s="274"/>
      <c r="AR117" t="str">
        <f t="shared" si="19"/>
        <v/>
      </c>
      <c r="AS117" t="str">
        <f t="shared" si="20"/>
        <v/>
      </c>
    </row>
    <row r="118" spans="1:45">
      <c r="A118" s="291"/>
      <c r="B118" s="292"/>
      <c r="C118" s="293"/>
      <c r="D118" s="293"/>
      <c r="E118" s="293"/>
      <c r="F118" s="293"/>
      <c r="G118" s="294"/>
      <c r="H118" s="300"/>
      <c r="I118" s="295"/>
      <c r="J118" s="295"/>
      <c r="K118" s="296"/>
      <c r="L118" s="301"/>
      <c r="M118" s="297"/>
      <c r="N118" s="298"/>
      <c r="P118" s="190" t="str">
        <f>IF(R118 = "", "", COUNT(R$4:$R118))</f>
        <v/>
      </c>
      <c r="Q118" s="190" t="str">
        <f t="shared" si="11"/>
        <v/>
      </c>
      <c r="R118" s="191" t="str">
        <f t="shared" si="12"/>
        <v/>
      </c>
      <c r="S118" s="192" t="str">
        <f t="shared" si="14"/>
        <v/>
      </c>
      <c r="T118" s="193" t="str">
        <f t="shared" si="15"/>
        <v/>
      </c>
      <c r="U118" s="194" t="str">
        <f t="shared" si="16"/>
        <v/>
      </c>
      <c r="V118" s="195" t="str">
        <f t="shared" si="13"/>
        <v/>
      </c>
      <c r="W118" s="336" t="str">
        <f t="shared" si="17"/>
        <v/>
      </c>
      <c r="X118" s="338" t="str">
        <f t="shared" si="18"/>
        <v/>
      </c>
      <c r="Y118" s="274"/>
      <c r="AR118" t="str">
        <f t="shared" si="19"/>
        <v/>
      </c>
      <c r="AS118" t="str">
        <f t="shared" si="20"/>
        <v/>
      </c>
    </row>
    <row r="119" spans="1:45">
      <c r="A119" s="291"/>
      <c r="B119" s="292"/>
      <c r="C119" s="293"/>
      <c r="D119" s="293"/>
      <c r="E119" s="293"/>
      <c r="F119" s="293"/>
      <c r="G119" s="294"/>
      <c r="H119" s="300"/>
      <c r="I119" s="295"/>
      <c r="J119" s="295"/>
      <c r="K119" s="296"/>
      <c r="L119" s="301"/>
      <c r="M119" s="297"/>
      <c r="N119" s="298"/>
      <c r="P119" s="190" t="str">
        <f>IF(R119 = "", "", COUNT(R$4:$R119))</f>
        <v/>
      </c>
      <c r="Q119" s="190" t="str">
        <f t="shared" si="11"/>
        <v/>
      </c>
      <c r="R119" s="191" t="str">
        <f t="shared" si="12"/>
        <v/>
      </c>
      <c r="S119" s="192" t="str">
        <f t="shared" si="14"/>
        <v/>
      </c>
      <c r="T119" s="193" t="str">
        <f t="shared" si="15"/>
        <v/>
      </c>
      <c r="U119" s="194" t="str">
        <f t="shared" si="16"/>
        <v/>
      </c>
      <c r="V119" s="195" t="str">
        <f t="shared" si="13"/>
        <v/>
      </c>
      <c r="W119" s="336" t="str">
        <f t="shared" si="17"/>
        <v/>
      </c>
      <c r="X119" s="338" t="str">
        <f t="shared" si="18"/>
        <v/>
      </c>
      <c r="Y119" s="274"/>
      <c r="AR119" t="str">
        <f t="shared" si="19"/>
        <v/>
      </c>
      <c r="AS119" t="str">
        <f t="shared" si="20"/>
        <v/>
      </c>
    </row>
    <row r="120" spans="1:45">
      <c r="A120" s="291"/>
      <c r="B120" s="292"/>
      <c r="C120" s="293"/>
      <c r="D120" s="293"/>
      <c r="E120" s="293"/>
      <c r="F120" s="293"/>
      <c r="G120" s="294"/>
      <c r="H120" s="300"/>
      <c r="I120" s="295"/>
      <c r="J120" s="295"/>
      <c r="K120" s="296"/>
      <c r="L120" s="301"/>
      <c r="M120" s="297"/>
      <c r="N120" s="298"/>
      <c r="P120" s="190" t="str">
        <f>IF(R120 = "", "", COUNT(R$4:$R120))</f>
        <v/>
      </c>
      <c r="Q120" s="190" t="str">
        <f t="shared" si="11"/>
        <v/>
      </c>
      <c r="R120" s="191" t="str">
        <f t="shared" si="12"/>
        <v/>
      </c>
      <c r="S120" s="192" t="str">
        <f t="shared" si="14"/>
        <v/>
      </c>
      <c r="T120" s="193" t="str">
        <f t="shared" si="15"/>
        <v/>
      </c>
      <c r="U120" s="194" t="str">
        <f t="shared" si="16"/>
        <v/>
      </c>
      <c r="V120" s="195" t="str">
        <f t="shared" si="13"/>
        <v/>
      </c>
      <c r="W120" s="336" t="str">
        <f t="shared" si="17"/>
        <v/>
      </c>
      <c r="X120" s="338" t="str">
        <f t="shared" si="18"/>
        <v/>
      </c>
      <c r="Y120" s="274"/>
      <c r="AR120" t="str">
        <f t="shared" si="19"/>
        <v/>
      </c>
      <c r="AS120" t="str">
        <f t="shared" si="20"/>
        <v/>
      </c>
    </row>
    <row r="121" spans="1:45">
      <c r="A121" s="291"/>
      <c r="B121" s="292"/>
      <c r="C121" s="293"/>
      <c r="D121" s="293"/>
      <c r="E121" s="293"/>
      <c r="F121" s="293"/>
      <c r="G121" s="294"/>
      <c r="H121" s="300"/>
      <c r="I121" s="295"/>
      <c r="J121" s="295"/>
      <c r="K121" s="296"/>
      <c r="L121" s="301"/>
      <c r="M121" s="297"/>
      <c r="N121" s="298"/>
      <c r="P121" s="190" t="str">
        <f>IF(R121 = "", "", COUNT(R$4:$R121))</f>
        <v/>
      </c>
      <c r="Q121" s="190" t="str">
        <f t="shared" si="11"/>
        <v/>
      </c>
      <c r="R121" s="191" t="str">
        <f t="shared" si="12"/>
        <v/>
      </c>
      <c r="S121" s="192" t="str">
        <f t="shared" si="14"/>
        <v/>
      </c>
      <c r="T121" s="193" t="str">
        <f t="shared" si="15"/>
        <v/>
      </c>
      <c r="U121" s="194" t="str">
        <f t="shared" si="16"/>
        <v/>
      </c>
      <c r="V121" s="195" t="str">
        <f t="shared" si="13"/>
        <v/>
      </c>
      <c r="W121" s="336" t="str">
        <f t="shared" si="17"/>
        <v/>
      </c>
      <c r="X121" s="338" t="str">
        <f t="shared" si="18"/>
        <v/>
      </c>
      <c r="Y121" s="274"/>
      <c r="AR121" t="str">
        <f t="shared" si="19"/>
        <v/>
      </c>
      <c r="AS121" t="str">
        <f t="shared" si="20"/>
        <v/>
      </c>
    </row>
    <row r="122" spans="1:45">
      <c r="A122" s="291"/>
      <c r="B122" s="292"/>
      <c r="C122" s="293"/>
      <c r="D122" s="293"/>
      <c r="E122" s="293"/>
      <c r="F122" s="293"/>
      <c r="G122" s="294"/>
      <c r="H122" s="300"/>
      <c r="I122" s="295"/>
      <c r="J122" s="295"/>
      <c r="K122" s="296"/>
      <c r="L122" s="301"/>
      <c r="M122" s="297"/>
      <c r="N122" s="298"/>
      <c r="P122" s="190" t="str">
        <f>IF(R122 = "", "", COUNT(R$4:$R122))</f>
        <v/>
      </c>
      <c r="Q122" s="190" t="str">
        <f t="shared" si="11"/>
        <v/>
      </c>
      <c r="R122" s="191" t="str">
        <f t="shared" si="12"/>
        <v/>
      </c>
      <c r="S122" s="192" t="str">
        <f t="shared" si="14"/>
        <v/>
      </c>
      <c r="T122" s="193" t="str">
        <f t="shared" si="15"/>
        <v/>
      </c>
      <c r="U122" s="194" t="str">
        <f t="shared" si="16"/>
        <v/>
      </c>
      <c r="V122" s="195" t="str">
        <f t="shared" si="13"/>
        <v/>
      </c>
      <c r="W122" s="336" t="str">
        <f t="shared" si="17"/>
        <v/>
      </c>
      <c r="X122" s="338" t="str">
        <f t="shared" si="18"/>
        <v/>
      </c>
      <c r="Y122" s="274"/>
      <c r="AR122" t="str">
        <f t="shared" si="19"/>
        <v/>
      </c>
      <c r="AS122" t="str">
        <f t="shared" si="20"/>
        <v/>
      </c>
    </row>
    <row r="123" spans="1:45">
      <c r="A123" s="291"/>
      <c r="B123" s="292"/>
      <c r="C123" s="293"/>
      <c r="D123" s="293"/>
      <c r="E123" s="293"/>
      <c r="F123" s="293"/>
      <c r="G123" s="294"/>
      <c r="H123" s="300"/>
      <c r="I123" s="295"/>
      <c r="J123" s="295"/>
      <c r="K123" s="296"/>
      <c r="L123" s="301"/>
      <c r="M123" s="297"/>
      <c r="N123" s="298"/>
      <c r="P123" s="190" t="str">
        <f>IF(R123 = "", "", COUNT(R$4:$R123))</f>
        <v/>
      </c>
      <c r="Q123" s="190" t="str">
        <f t="shared" si="11"/>
        <v/>
      </c>
      <c r="R123" s="191" t="str">
        <f t="shared" si="12"/>
        <v/>
      </c>
      <c r="S123" s="192" t="str">
        <f t="shared" si="14"/>
        <v/>
      </c>
      <c r="T123" s="193" t="str">
        <f t="shared" si="15"/>
        <v/>
      </c>
      <c r="U123" s="194" t="str">
        <f t="shared" si="16"/>
        <v/>
      </c>
      <c r="V123" s="195" t="str">
        <f t="shared" si="13"/>
        <v/>
      </c>
      <c r="W123" s="336" t="str">
        <f t="shared" si="17"/>
        <v/>
      </c>
      <c r="X123" s="338" t="str">
        <f t="shared" si="18"/>
        <v/>
      </c>
      <c r="Y123" s="274"/>
      <c r="AR123" t="str">
        <f t="shared" si="19"/>
        <v/>
      </c>
      <c r="AS123" t="str">
        <f t="shared" si="20"/>
        <v/>
      </c>
    </row>
    <row r="124" spans="1:45">
      <c r="A124" s="291"/>
      <c r="B124" s="292"/>
      <c r="C124" s="293"/>
      <c r="D124" s="293"/>
      <c r="E124" s="293"/>
      <c r="F124" s="293"/>
      <c r="G124" s="294"/>
      <c r="H124" s="300"/>
      <c r="I124" s="295"/>
      <c r="J124" s="295"/>
      <c r="K124" s="296"/>
      <c r="L124" s="301"/>
      <c r="M124" s="297"/>
      <c r="N124" s="298"/>
      <c r="P124" s="190" t="str">
        <f>IF(R124 = "", "", COUNT(R$4:$R124))</f>
        <v/>
      </c>
      <c r="Q124" s="190" t="str">
        <f t="shared" si="11"/>
        <v/>
      </c>
      <c r="R124" s="191" t="str">
        <f t="shared" si="12"/>
        <v/>
      </c>
      <c r="S124" s="192" t="str">
        <f t="shared" si="14"/>
        <v/>
      </c>
      <c r="T124" s="193" t="str">
        <f t="shared" si="15"/>
        <v/>
      </c>
      <c r="U124" s="194" t="str">
        <f t="shared" si="16"/>
        <v/>
      </c>
      <c r="V124" s="195" t="str">
        <f t="shared" si="13"/>
        <v/>
      </c>
      <c r="W124" s="336" t="str">
        <f t="shared" si="17"/>
        <v/>
      </c>
      <c r="X124" s="338" t="str">
        <f t="shared" si="18"/>
        <v/>
      </c>
      <c r="Y124" s="274"/>
      <c r="AR124" t="str">
        <f t="shared" si="19"/>
        <v/>
      </c>
      <c r="AS124" t="str">
        <f t="shared" si="20"/>
        <v/>
      </c>
    </row>
    <row r="125" spans="1:45">
      <c r="A125" s="291"/>
      <c r="B125" s="292"/>
      <c r="C125" s="293"/>
      <c r="D125" s="293"/>
      <c r="E125" s="293"/>
      <c r="F125" s="293"/>
      <c r="G125" s="294"/>
      <c r="H125" s="300"/>
      <c r="I125" s="295"/>
      <c r="J125" s="295"/>
      <c r="K125" s="296"/>
      <c r="L125" s="301"/>
      <c r="M125" s="297"/>
      <c r="N125" s="298"/>
      <c r="P125" s="190" t="str">
        <f>IF(R125 = "", "", COUNT(R$4:$R125))</f>
        <v/>
      </c>
      <c r="Q125" s="190" t="str">
        <f t="shared" si="11"/>
        <v/>
      </c>
      <c r="R125" s="191" t="str">
        <f t="shared" si="12"/>
        <v/>
      </c>
      <c r="S125" s="192" t="str">
        <f t="shared" si="14"/>
        <v/>
      </c>
      <c r="T125" s="193" t="str">
        <f t="shared" si="15"/>
        <v/>
      </c>
      <c r="U125" s="194" t="str">
        <f t="shared" si="16"/>
        <v/>
      </c>
      <c r="V125" s="195" t="str">
        <f t="shared" si="13"/>
        <v/>
      </c>
      <c r="W125" s="336" t="str">
        <f t="shared" si="17"/>
        <v/>
      </c>
      <c r="X125" s="338" t="str">
        <f t="shared" si="18"/>
        <v/>
      </c>
      <c r="Y125" s="274"/>
      <c r="AR125" t="str">
        <f t="shared" si="19"/>
        <v/>
      </c>
      <c r="AS125" t="str">
        <f t="shared" si="20"/>
        <v/>
      </c>
    </row>
    <row r="126" spans="1:45">
      <c r="A126" s="291"/>
      <c r="B126" s="292"/>
      <c r="C126" s="293"/>
      <c r="D126" s="293"/>
      <c r="E126" s="293"/>
      <c r="F126" s="293"/>
      <c r="G126" s="294"/>
      <c r="H126" s="300"/>
      <c r="I126" s="295"/>
      <c r="J126" s="295"/>
      <c r="K126" s="296"/>
      <c r="L126" s="301"/>
      <c r="M126" s="297"/>
      <c r="N126" s="298"/>
      <c r="P126" s="190" t="str">
        <f>IF(R126 = "", "", COUNT(R$4:$R126))</f>
        <v/>
      </c>
      <c r="Q126" s="190" t="str">
        <f t="shared" si="11"/>
        <v/>
      </c>
      <c r="R126" s="191" t="str">
        <f t="shared" si="12"/>
        <v/>
      </c>
      <c r="S126" s="192" t="str">
        <f t="shared" si="14"/>
        <v/>
      </c>
      <c r="T126" s="193" t="str">
        <f t="shared" si="15"/>
        <v/>
      </c>
      <c r="U126" s="194" t="str">
        <f t="shared" si="16"/>
        <v/>
      </c>
      <c r="V126" s="195" t="str">
        <f t="shared" si="13"/>
        <v/>
      </c>
      <c r="W126" s="336" t="str">
        <f t="shared" si="17"/>
        <v/>
      </c>
      <c r="X126" s="338" t="str">
        <f t="shared" si="18"/>
        <v/>
      </c>
      <c r="Y126" s="274"/>
      <c r="AR126" t="str">
        <f t="shared" si="19"/>
        <v/>
      </c>
      <c r="AS126" t="str">
        <f t="shared" si="20"/>
        <v/>
      </c>
    </row>
    <row r="127" spans="1:45">
      <c r="A127" s="291"/>
      <c r="B127" s="292"/>
      <c r="C127" s="293"/>
      <c r="D127" s="293"/>
      <c r="E127" s="293"/>
      <c r="F127" s="293"/>
      <c r="G127" s="294"/>
      <c r="H127" s="300"/>
      <c r="I127" s="295"/>
      <c r="J127" s="295"/>
      <c r="K127" s="296"/>
      <c r="L127" s="301"/>
      <c r="M127" s="297"/>
      <c r="N127" s="298"/>
      <c r="P127" s="190" t="str">
        <f>IF(R127 = "", "", COUNT(R$4:$R127))</f>
        <v/>
      </c>
      <c r="Q127" s="190" t="str">
        <f t="shared" si="11"/>
        <v/>
      </c>
      <c r="R127" s="191" t="str">
        <f t="shared" si="12"/>
        <v/>
      </c>
      <c r="S127" s="192" t="str">
        <f t="shared" si="14"/>
        <v/>
      </c>
      <c r="T127" s="193" t="str">
        <f t="shared" si="15"/>
        <v/>
      </c>
      <c r="U127" s="194" t="str">
        <f t="shared" si="16"/>
        <v/>
      </c>
      <c r="V127" s="195" t="str">
        <f t="shared" si="13"/>
        <v/>
      </c>
      <c r="W127" s="336" t="str">
        <f t="shared" si="17"/>
        <v/>
      </c>
      <c r="X127" s="338" t="str">
        <f t="shared" si="18"/>
        <v/>
      </c>
      <c r="Y127" s="274"/>
      <c r="AR127" t="str">
        <f t="shared" si="19"/>
        <v/>
      </c>
      <c r="AS127" t="str">
        <f t="shared" si="20"/>
        <v/>
      </c>
    </row>
    <row r="128" spans="1:45">
      <c r="A128" s="291"/>
      <c r="B128" s="292"/>
      <c r="C128" s="293"/>
      <c r="D128" s="293"/>
      <c r="E128" s="293"/>
      <c r="F128" s="293"/>
      <c r="G128" s="294"/>
      <c r="H128" s="300"/>
      <c r="I128" s="295"/>
      <c r="J128" s="295"/>
      <c r="K128" s="296"/>
      <c r="L128" s="301"/>
      <c r="M128" s="297"/>
      <c r="N128" s="298"/>
      <c r="P128" s="190" t="str">
        <f>IF(R128 = "", "", COUNT(R$4:$R128))</f>
        <v/>
      </c>
      <c r="Q128" s="190" t="str">
        <f t="shared" si="11"/>
        <v/>
      </c>
      <c r="R128" s="191" t="str">
        <f t="shared" si="12"/>
        <v/>
      </c>
      <c r="S128" s="192" t="str">
        <f t="shared" si="14"/>
        <v/>
      </c>
      <c r="T128" s="193" t="str">
        <f t="shared" si="15"/>
        <v/>
      </c>
      <c r="U128" s="194" t="str">
        <f t="shared" si="16"/>
        <v/>
      </c>
      <c r="V128" s="195" t="str">
        <f t="shared" si="13"/>
        <v/>
      </c>
      <c r="W128" s="336" t="str">
        <f t="shared" si="17"/>
        <v/>
      </c>
      <c r="X128" s="338" t="str">
        <f t="shared" si="18"/>
        <v/>
      </c>
      <c r="Y128" s="274"/>
      <c r="AR128" t="str">
        <f t="shared" si="19"/>
        <v/>
      </c>
      <c r="AS128" t="str">
        <f t="shared" si="20"/>
        <v/>
      </c>
    </row>
    <row r="129" spans="1:45">
      <c r="A129" s="291"/>
      <c r="B129" s="292"/>
      <c r="C129" s="293"/>
      <c r="D129" s="293"/>
      <c r="E129" s="293"/>
      <c r="F129" s="293"/>
      <c r="G129" s="294"/>
      <c r="H129" s="300"/>
      <c r="I129" s="295"/>
      <c r="J129" s="295"/>
      <c r="K129" s="296"/>
      <c r="L129" s="301"/>
      <c r="M129" s="297"/>
      <c r="N129" s="298"/>
      <c r="P129" s="190" t="str">
        <f>IF(R129 = "", "", COUNT(R$4:$R129))</f>
        <v/>
      </c>
      <c r="Q129" s="190" t="str">
        <f t="shared" si="11"/>
        <v/>
      </c>
      <c r="R129" s="191" t="str">
        <f t="shared" si="12"/>
        <v/>
      </c>
      <c r="S129" s="192" t="str">
        <f t="shared" si="14"/>
        <v/>
      </c>
      <c r="T129" s="193" t="str">
        <f t="shared" si="15"/>
        <v/>
      </c>
      <c r="U129" s="194" t="str">
        <f t="shared" si="16"/>
        <v/>
      </c>
      <c r="V129" s="195" t="str">
        <f t="shared" si="13"/>
        <v/>
      </c>
      <c r="W129" s="336" t="str">
        <f t="shared" si="17"/>
        <v/>
      </c>
      <c r="X129" s="338" t="str">
        <f t="shared" si="18"/>
        <v/>
      </c>
      <c r="Y129" s="274"/>
      <c r="AR129" t="str">
        <f t="shared" si="19"/>
        <v/>
      </c>
      <c r="AS129" t="str">
        <f t="shared" si="20"/>
        <v/>
      </c>
    </row>
    <row r="130" spans="1:45">
      <c r="A130" s="291"/>
      <c r="B130" s="292"/>
      <c r="C130" s="293"/>
      <c r="D130" s="293"/>
      <c r="E130" s="293"/>
      <c r="F130" s="293"/>
      <c r="G130" s="294"/>
      <c r="H130" s="300"/>
      <c r="I130" s="295"/>
      <c r="J130" s="295"/>
      <c r="K130" s="296"/>
      <c r="L130" s="301"/>
      <c r="M130" s="297"/>
      <c r="N130" s="298"/>
      <c r="P130" s="190" t="str">
        <f>IF(R130 = "", "", COUNT(R$4:$R130))</f>
        <v/>
      </c>
      <c r="Q130" s="190" t="str">
        <f t="shared" si="11"/>
        <v/>
      </c>
      <c r="R130" s="191" t="str">
        <f t="shared" si="12"/>
        <v/>
      </c>
      <c r="S130" s="192" t="str">
        <f t="shared" si="14"/>
        <v/>
      </c>
      <c r="T130" s="193" t="str">
        <f t="shared" si="15"/>
        <v/>
      </c>
      <c r="U130" s="194" t="str">
        <f t="shared" si="16"/>
        <v/>
      </c>
      <c r="V130" s="195" t="str">
        <f t="shared" si="13"/>
        <v/>
      </c>
      <c r="W130" s="336" t="str">
        <f t="shared" si="17"/>
        <v/>
      </c>
      <c r="X130" s="338" t="str">
        <f t="shared" si="18"/>
        <v/>
      </c>
      <c r="Y130" s="274"/>
      <c r="AR130" t="str">
        <f t="shared" si="19"/>
        <v/>
      </c>
      <c r="AS130" t="str">
        <f t="shared" si="20"/>
        <v/>
      </c>
    </row>
    <row r="131" spans="1:45">
      <c r="A131" s="291"/>
      <c r="B131" s="292"/>
      <c r="C131" s="293"/>
      <c r="D131" s="293"/>
      <c r="E131" s="293"/>
      <c r="F131" s="293"/>
      <c r="G131" s="294"/>
      <c r="H131" s="300"/>
      <c r="I131" s="295"/>
      <c r="J131" s="295"/>
      <c r="K131" s="296"/>
      <c r="L131" s="301"/>
      <c r="M131" s="297"/>
      <c r="N131" s="298"/>
      <c r="P131" s="190" t="str">
        <f>IF(R131 = "", "", COUNT(R$4:$R131))</f>
        <v/>
      </c>
      <c r="Q131" s="190" t="str">
        <f t="shared" si="11"/>
        <v/>
      </c>
      <c r="R131" s="191" t="str">
        <f t="shared" si="12"/>
        <v/>
      </c>
      <c r="S131" s="192" t="str">
        <f t="shared" si="14"/>
        <v/>
      </c>
      <c r="T131" s="193" t="str">
        <f t="shared" si="15"/>
        <v/>
      </c>
      <c r="U131" s="194" t="str">
        <f t="shared" si="16"/>
        <v/>
      </c>
      <c r="V131" s="195" t="str">
        <f t="shared" si="13"/>
        <v/>
      </c>
      <c r="W131" s="336" t="str">
        <f t="shared" si="17"/>
        <v/>
      </c>
      <c r="X131" s="338" t="str">
        <f t="shared" si="18"/>
        <v/>
      </c>
      <c r="Y131" s="274"/>
      <c r="AR131" t="str">
        <f t="shared" si="19"/>
        <v/>
      </c>
      <c r="AS131" t="str">
        <f t="shared" si="20"/>
        <v/>
      </c>
    </row>
    <row r="132" spans="1:45">
      <c r="A132" s="291"/>
      <c r="B132" s="292"/>
      <c r="C132" s="293"/>
      <c r="D132" s="293"/>
      <c r="E132" s="293"/>
      <c r="F132" s="293"/>
      <c r="G132" s="294"/>
      <c r="H132" s="300"/>
      <c r="I132" s="295"/>
      <c r="J132" s="295"/>
      <c r="K132" s="296"/>
      <c r="L132" s="301"/>
      <c r="M132" s="297"/>
      <c r="N132" s="298"/>
      <c r="P132" s="190" t="str">
        <f>IF(R132 = "", "", COUNT(R$4:$R132))</f>
        <v/>
      </c>
      <c r="Q132" s="190" t="str">
        <f t="shared" ref="Q132:Q195" si="21">IF(C132 &gt; 0, YEAR(B132), "")</f>
        <v/>
      </c>
      <c r="R132" s="191" t="str">
        <f t="shared" ref="R132:R195" si="22">IF(A132="", "", IF(G132="",1,IF(G132="O",1,IF(G132="C",8.4,IF(G132="B",8.4,IF(G132="A",76.8,IF(G132="K",76.8,"ERR")))))))</f>
        <v/>
      </c>
      <c r="S132" s="192" t="str">
        <f t="shared" si="14"/>
        <v/>
      </c>
      <c r="T132" s="193" t="str">
        <f t="shared" si="15"/>
        <v/>
      </c>
      <c r="U132" s="194" t="str">
        <f t="shared" si="16"/>
        <v/>
      </c>
      <c r="V132" s="195" t="str">
        <f t="shared" ref="V132:V195" si="23">IF(IF(M132&lt;&gt;"",G132,"")=0, "O", IF(M132&lt;&gt;"",G132,""))</f>
        <v/>
      </c>
      <c r="W132" s="336" t="str">
        <f t="shared" si="17"/>
        <v/>
      </c>
      <c r="X132" s="338" t="str">
        <f t="shared" si="18"/>
        <v/>
      </c>
      <c r="Y132" s="274"/>
      <c r="AR132" t="str">
        <f t="shared" si="19"/>
        <v/>
      </c>
      <c r="AS132" t="str">
        <f t="shared" si="20"/>
        <v/>
      </c>
    </row>
    <row r="133" spans="1:45">
      <c r="A133" s="291"/>
      <c r="B133" s="292"/>
      <c r="C133" s="293"/>
      <c r="D133" s="293"/>
      <c r="E133" s="293"/>
      <c r="F133" s="293"/>
      <c r="G133" s="294"/>
      <c r="H133" s="300"/>
      <c r="I133" s="295"/>
      <c r="J133" s="295"/>
      <c r="K133" s="296"/>
      <c r="L133" s="301"/>
      <c r="M133" s="297"/>
      <c r="N133" s="298"/>
      <c r="P133" s="190" t="str">
        <f>IF(R133 = "", "", COUNT(R$4:$R133))</f>
        <v/>
      </c>
      <c r="Q133" s="190" t="str">
        <f t="shared" si="21"/>
        <v/>
      </c>
      <c r="R133" s="191" t="str">
        <f t="shared" si="22"/>
        <v/>
      </c>
      <c r="S133" s="192" t="str">
        <f t="shared" ref="S133:S196" si="24">IF(L133&lt;&gt;"",R133,"")</f>
        <v/>
      </c>
      <c r="T133" s="193" t="str">
        <f t="shared" ref="T133:T196" si="25">IF(IF(L133&lt;&gt;"",G133,"")=0, "O", IF(L133&lt;&gt;"",G133,""))</f>
        <v/>
      </c>
      <c r="U133" s="194" t="str">
        <f t="shared" ref="U133:U196" si="26">IF(M133&lt;&gt;"",R133,"")</f>
        <v/>
      </c>
      <c r="V133" s="195" t="str">
        <f t="shared" si="23"/>
        <v/>
      </c>
      <c r="W133" s="336" t="str">
        <f t="shared" ref="W133:W196" si="27">IF(N133&lt;&gt;"",R133,"")</f>
        <v/>
      </c>
      <c r="X133" s="338" t="str">
        <f t="shared" ref="X133:X196" si="28">IF(IF(N133&lt;&gt;"",G133,"")=0, "O", IF(N133&lt;&gt;"",G133,""))</f>
        <v/>
      </c>
      <c r="Y133" s="274"/>
      <c r="AR133" t="str">
        <f t="shared" ref="AR133:AR196" si="29">IF(P133&gt;0, P133, "")</f>
        <v/>
      </c>
      <c r="AS133" t="str">
        <f t="shared" ref="AS133:AS196" si="30">IF(OR(L133="Y",M133="Y",N133="Y"),"Y","")</f>
        <v/>
      </c>
    </row>
    <row r="134" spans="1:45">
      <c r="A134" s="291"/>
      <c r="B134" s="292"/>
      <c r="C134" s="293"/>
      <c r="D134" s="293"/>
      <c r="E134" s="293"/>
      <c r="F134" s="293"/>
      <c r="G134" s="294"/>
      <c r="H134" s="300"/>
      <c r="I134" s="295"/>
      <c r="J134" s="295"/>
      <c r="K134" s="296"/>
      <c r="L134" s="301"/>
      <c r="M134" s="297"/>
      <c r="N134" s="298"/>
      <c r="P134" s="190" t="str">
        <f>IF(R134 = "", "", COUNT(R$4:$R134))</f>
        <v/>
      </c>
      <c r="Q134" s="190" t="str">
        <f t="shared" si="21"/>
        <v/>
      </c>
      <c r="R134" s="191" t="str">
        <f t="shared" si="22"/>
        <v/>
      </c>
      <c r="S134" s="192" t="str">
        <f t="shared" si="24"/>
        <v/>
      </c>
      <c r="T134" s="193" t="str">
        <f t="shared" si="25"/>
        <v/>
      </c>
      <c r="U134" s="194" t="str">
        <f t="shared" si="26"/>
        <v/>
      </c>
      <c r="V134" s="195" t="str">
        <f t="shared" si="23"/>
        <v/>
      </c>
      <c r="W134" s="336" t="str">
        <f t="shared" si="27"/>
        <v/>
      </c>
      <c r="X134" s="338" t="str">
        <f t="shared" si="28"/>
        <v/>
      </c>
      <c r="Y134" s="274"/>
      <c r="AR134" t="str">
        <f t="shared" si="29"/>
        <v/>
      </c>
      <c r="AS134" t="str">
        <f t="shared" si="30"/>
        <v/>
      </c>
    </row>
    <row r="135" spans="1:45">
      <c r="A135" s="291"/>
      <c r="B135" s="292"/>
      <c r="C135" s="293"/>
      <c r="D135" s="293"/>
      <c r="E135" s="293"/>
      <c r="F135" s="293"/>
      <c r="G135" s="294"/>
      <c r="H135" s="300"/>
      <c r="I135" s="295"/>
      <c r="J135" s="295"/>
      <c r="K135" s="296"/>
      <c r="L135" s="301"/>
      <c r="M135" s="297"/>
      <c r="N135" s="298"/>
      <c r="P135" s="190" t="str">
        <f>IF(R135 = "", "", COUNT(R$4:$R135))</f>
        <v/>
      </c>
      <c r="Q135" s="190" t="str">
        <f t="shared" si="21"/>
        <v/>
      </c>
      <c r="R135" s="191" t="str">
        <f t="shared" si="22"/>
        <v/>
      </c>
      <c r="S135" s="192" t="str">
        <f t="shared" si="24"/>
        <v/>
      </c>
      <c r="T135" s="193" t="str">
        <f t="shared" si="25"/>
        <v/>
      </c>
      <c r="U135" s="194" t="str">
        <f t="shared" si="26"/>
        <v/>
      </c>
      <c r="V135" s="195" t="str">
        <f t="shared" si="23"/>
        <v/>
      </c>
      <c r="W135" s="336" t="str">
        <f t="shared" si="27"/>
        <v/>
      </c>
      <c r="X135" s="338" t="str">
        <f t="shared" si="28"/>
        <v/>
      </c>
      <c r="Y135" s="274"/>
      <c r="AR135" t="str">
        <f t="shared" si="29"/>
        <v/>
      </c>
      <c r="AS135" t="str">
        <f t="shared" si="30"/>
        <v/>
      </c>
    </row>
    <row r="136" spans="1:45">
      <c r="A136" s="291"/>
      <c r="B136" s="292"/>
      <c r="C136" s="293"/>
      <c r="D136" s="293"/>
      <c r="E136" s="293"/>
      <c r="F136" s="293"/>
      <c r="G136" s="294"/>
      <c r="H136" s="300"/>
      <c r="I136" s="295"/>
      <c r="J136" s="295"/>
      <c r="K136" s="296"/>
      <c r="L136" s="301"/>
      <c r="M136" s="297"/>
      <c r="N136" s="298"/>
      <c r="P136" s="190" t="str">
        <f>IF(R136 = "", "", COUNT(R$4:$R136))</f>
        <v/>
      </c>
      <c r="Q136" s="190" t="str">
        <f t="shared" si="21"/>
        <v/>
      </c>
      <c r="R136" s="191" t="str">
        <f t="shared" si="22"/>
        <v/>
      </c>
      <c r="S136" s="192" t="str">
        <f t="shared" si="24"/>
        <v/>
      </c>
      <c r="T136" s="193" t="str">
        <f t="shared" si="25"/>
        <v/>
      </c>
      <c r="U136" s="194" t="str">
        <f t="shared" si="26"/>
        <v/>
      </c>
      <c r="V136" s="195" t="str">
        <f t="shared" si="23"/>
        <v/>
      </c>
      <c r="W136" s="336" t="str">
        <f t="shared" si="27"/>
        <v/>
      </c>
      <c r="X136" s="338" t="str">
        <f t="shared" si="28"/>
        <v/>
      </c>
      <c r="Y136" s="274"/>
      <c r="AR136" t="str">
        <f t="shared" si="29"/>
        <v/>
      </c>
      <c r="AS136" t="str">
        <f t="shared" si="30"/>
        <v/>
      </c>
    </row>
    <row r="137" spans="1:45">
      <c r="A137" s="291"/>
      <c r="B137" s="292"/>
      <c r="C137" s="293"/>
      <c r="D137" s="293"/>
      <c r="E137" s="293"/>
      <c r="F137" s="293"/>
      <c r="G137" s="294"/>
      <c r="H137" s="300"/>
      <c r="I137" s="295"/>
      <c r="J137" s="295"/>
      <c r="K137" s="296"/>
      <c r="L137" s="301"/>
      <c r="M137" s="297"/>
      <c r="N137" s="298"/>
      <c r="P137" s="190" t="str">
        <f>IF(R137 = "", "", COUNT(R$4:$R137))</f>
        <v/>
      </c>
      <c r="Q137" s="190" t="str">
        <f t="shared" si="21"/>
        <v/>
      </c>
      <c r="R137" s="191" t="str">
        <f t="shared" si="22"/>
        <v/>
      </c>
      <c r="S137" s="192" t="str">
        <f t="shared" si="24"/>
        <v/>
      </c>
      <c r="T137" s="193" t="str">
        <f t="shared" si="25"/>
        <v/>
      </c>
      <c r="U137" s="194" t="str">
        <f t="shared" si="26"/>
        <v/>
      </c>
      <c r="V137" s="195" t="str">
        <f t="shared" si="23"/>
        <v/>
      </c>
      <c r="W137" s="336" t="str">
        <f t="shared" si="27"/>
        <v/>
      </c>
      <c r="X137" s="338" t="str">
        <f t="shared" si="28"/>
        <v/>
      </c>
      <c r="Y137" s="274"/>
      <c r="AR137" t="str">
        <f t="shared" si="29"/>
        <v/>
      </c>
      <c r="AS137" t="str">
        <f t="shared" si="30"/>
        <v/>
      </c>
    </row>
    <row r="138" spans="1:45">
      <c r="A138" s="291"/>
      <c r="B138" s="292"/>
      <c r="C138" s="293"/>
      <c r="D138" s="293"/>
      <c r="E138" s="293"/>
      <c r="F138" s="293"/>
      <c r="G138" s="294"/>
      <c r="H138" s="300"/>
      <c r="I138" s="295"/>
      <c r="J138" s="295"/>
      <c r="K138" s="296"/>
      <c r="L138" s="301"/>
      <c r="M138" s="297"/>
      <c r="N138" s="298"/>
      <c r="P138" s="190" t="str">
        <f>IF(R138 = "", "", COUNT(R$4:$R138))</f>
        <v/>
      </c>
      <c r="Q138" s="190" t="str">
        <f t="shared" si="21"/>
        <v/>
      </c>
      <c r="R138" s="191" t="str">
        <f t="shared" si="22"/>
        <v/>
      </c>
      <c r="S138" s="192" t="str">
        <f t="shared" si="24"/>
        <v/>
      </c>
      <c r="T138" s="193" t="str">
        <f t="shared" si="25"/>
        <v/>
      </c>
      <c r="U138" s="194" t="str">
        <f t="shared" si="26"/>
        <v/>
      </c>
      <c r="V138" s="195" t="str">
        <f t="shared" si="23"/>
        <v/>
      </c>
      <c r="W138" s="336" t="str">
        <f t="shared" si="27"/>
        <v/>
      </c>
      <c r="X138" s="338" t="str">
        <f t="shared" si="28"/>
        <v/>
      </c>
      <c r="Y138" s="274"/>
      <c r="AR138" t="str">
        <f t="shared" si="29"/>
        <v/>
      </c>
      <c r="AS138" t="str">
        <f t="shared" si="30"/>
        <v/>
      </c>
    </row>
    <row r="139" spans="1:45">
      <c r="A139" s="291"/>
      <c r="B139" s="292"/>
      <c r="C139" s="293"/>
      <c r="D139" s="293"/>
      <c r="E139" s="293"/>
      <c r="F139" s="293"/>
      <c r="G139" s="294"/>
      <c r="H139" s="300"/>
      <c r="I139" s="295"/>
      <c r="J139" s="295"/>
      <c r="K139" s="296"/>
      <c r="L139" s="301"/>
      <c r="M139" s="297"/>
      <c r="N139" s="298"/>
      <c r="P139" s="190" t="str">
        <f>IF(R139 = "", "", COUNT(R$4:$R139))</f>
        <v/>
      </c>
      <c r="Q139" s="190" t="str">
        <f t="shared" si="21"/>
        <v/>
      </c>
      <c r="R139" s="191" t="str">
        <f t="shared" si="22"/>
        <v/>
      </c>
      <c r="S139" s="192" t="str">
        <f t="shared" si="24"/>
        <v/>
      </c>
      <c r="T139" s="193" t="str">
        <f t="shared" si="25"/>
        <v/>
      </c>
      <c r="U139" s="194" t="str">
        <f t="shared" si="26"/>
        <v/>
      </c>
      <c r="V139" s="195" t="str">
        <f t="shared" si="23"/>
        <v/>
      </c>
      <c r="W139" s="336" t="str">
        <f t="shared" si="27"/>
        <v/>
      </c>
      <c r="X139" s="338" t="str">
        <f t="shared" si="28"/>
        <v/>
      </c>
      <c r="Y139" s="274"/>
      <c r="AR139" t="str">
        <f t="shared" si="29"/>
        <v/>
      </c>
      <c r="AS139" t="str">
        <f t="shared" si="30"/>
        <v/>
      </c>
    </row>
    <row r="140" spans="1:45">
      <c r="A140" s="291"/>
      <c r="B140" s="292"/>
      <c r="C140" s="293"/>
      <c r="D140" s="293"/>
      <c r="E140" s="293"/>
      <c r="F140" s="293"/>
      <c r="G140" s="294"/>
      <c r="H140" s="300"/>
      <c r="I140" s="295"/>
      <c r="J140" s="295"/>
      <c r="K140" s="296"/>
      <c r="L140" s="301"/>
      <c r="M140" s="297"/>
      <c r="N140" s="298"/>
      <c r="P140" s="190" t="str">
        <f>IF(R140 = "", "", COUNT(R$4:$R140))</f>
        <v/>
      </c>
      <c r="Q140" s="190" t="str">
        <f t="shared" si="21"/>
        <v/>
      </c>
      <c r="R140" s="191" t="str">
        <f t="shared" si="22"/>
        <v/>
      </c>
      <c r="S140" s="192" t="str">
        <f t="shared" si="24"/>
        <v/>
      </c>
      <c r="T140" s="193" t="str">
        <f t="shared" si="25"/>
        <v/>
      </c>
      <c r="U140" s="194" t="str">
        <f t="shared" si="26"/>
        <v/>
      </c>
      <c r="V140" s="195" t="str">
        <f t="shared" si="23"/>
        <v/>
      </c>
      <c r="W140" s="336" t="str">
        <f t="shared" si="27"/>
        <v/>
      </c>
      <c r="X140" s="338" t="str">
        <f t="shared" si="28"/>
        <v/>
      </c>
      <c r="Y140" s="274"/>
      <c r="AR140" t="str">
        <f t="shared" si="29"/>
        <v/>
      </c>
      <c r="AS140" t="str">
        <f t="shared" si="30"/>
        <v/>
      </c>
    </row>
    <row r="141" spans="1:45">
      <c r="A141" s="291"/>
      <c r="B141" s="292"/>
      <c r="C141" s="293"/>
      <c r="D141" s="293"/>
      <c r="E141" s="293"/>
      <c r="F141" s="293"/>
      <c r="G141" s="294"/>
      <c r="H141" s="300"/>
      <c r="I141" s="295"/>
      <c r="J141" s="295"/>
      <c r="K141" s="296"/>
      <c r="L141" s="301"/>
      <c r="M141" s="297"/>
      <c r="N141" s="298"/>
      <c r="P141" s="190" t="str">
        <f>IF(R141 = "", "", COUNT(R$4:$R141))</f>
        <v/>
      </c>
      <c r="Q141" s="190" t="str">
        <f t="shared" si="21"/>
        <v/>
      </c>
      <c r="R141" s="191" t="str">
        <f t="shared" si="22"/>
        <v/>
      </c>
      <c r="S141" s="192" t="str">
        <f t="shared" si="24"/>
        <v/>
      </c>
      <c r="T141" s="193" t="str">
        <f t="shared" si="25"/>
        <v/>
      </c>
      <c r="U141" s="194" t="str">
        <f t="shared" si="26"/>
        <v/>
      </c>
      <c r="V141" s="195" t="str">
        <f t="shared" si="23"/>
        <v/>
      </c>
      <c r="W141" s="336" t="str">
        <f t="shared" si="27"/>
        <v/>
      </c>
      <c r="X141" s="338" t="str">
        <f t="shared" si="28"/>
        <v/>
      </c>
      <c r="Y141" s="274"/>
      <c r="AR141" t="str">
        <f t="shared" si="29"/>
        <v/>
      </c>
      <c r="AS141" t="str">
        <f t="shared" si="30"/>
        <v/>
      </c>
    </row>
    <row r="142" spans="1:45">
      <c r="A142" s="291"/>
      <c r="B142" s="292"/>
      <c r="C142" s="293"/>
      <c r="D142" s="293"/>
      <c r="E142" s="293"/>
      <c r="F142" s="293"/>
      <c r="G142" s="294"/>
      <c r="H142" s="300"/>
      <c r="I142" s="295"/>
      <c r="J142" s="295"/>
      <c r="K142" s="296"/>
      <c r="L142" s="301"/>
      <c r="M142" s="297"/>
      <c r="N142" s="298"/>
      <c r="P142" s="190" t="str">
        <f>IF(R142 = "", "", COUNT(R$4:$R142))</f>
        <v/>
      </c>
      <c r="Q142" s="190" t="str">
        <f t="shared" si="21"/>
        <v/>
      </c>
      <c r="R142" s="191" t="str">
        <f t="shared" si="22"/>
        <v/>
      </c>
      <c r="S142" s="192" t="str">
        <f t="shared" si="24"/>
        <v/>
      </c>
      <c r="T142" s="193" t="str">
        <f t="shared" si="25"/>
        <v/>
      </c>
      <c r="U142" s="194" t="str">
        <f t="shared" si="26"/>
        <v/>
      </c>
      <c r="V142" s="195" t="str">
        <f t="shared" si="23"/>
        <v/>
      </c>
      <c r="W142" s="336" t="str">
        <f t="shared" si="27"/>
        <v/>
      </c>
      <c r="X142" s="338" t="str">
        <f t="shared" si="28"/>
        <v/>
      </c>
      <c r="Y142" s="274"/>
      <c r="AR142" t="str">
        <f t="shared" si="29"/>
        <v/>
      </c>
      <c r="AS142" t="str">
        <f t="shared" si="30"/>
        <v/>
      </c>
    </row>
    <row r="143" spans="1:45">
      <c r="A143" s="291"/>
      <c r="B143" s="292"/>
      <c r="C143" s="293"/>
      <c r="D143" s="293"/>
      <c r="E143" s="293"/>
      <c r="F143" s="293"/>
      <c r="G143" s="294"/>
      <c r="H143" s="300"/>
      <c r="I143" s="295"/>
      <c r="J143" s="295"/>
      <c r="K143" s="296"/>
      <c r="L143" s="301"/>
      <c r="M143" s="297"/>
      <c r="N143" s="298"/>
      <c r="P143" s="190" t="str">
        <f>IF(R143 = "", "", COUNT(R$4:$R143))</f>
        <v/>
      </c>
      <c r="Q143" s="190" t="str">
        <f t="shared" si="21"/>
        <v/>
      </c>
      <c r="R143" s="191" t="str">
        <f t="shared" si="22"/>
        <v/>
      </c>
      <c r="S143" s="192" t="str">
        <f t="shared" si="24"/>
        <v/>
      </c>
      <c r="T143" s="193" t="str">
        <f t="shared" si="25"/>
        <v/>
      </c>
      <c r="U143" s="194" t="str">
        <f t="shared" si="26"/>
        <v/>
      </c>
      <c r="V143" s="195" t="str">
        <f t="shared" si="23"/>
        <v/>
      </c>
      <c r="W143" s="336" t="str">
        <f t="shared" si="27"/>
        <v/>
      </c>
      <c r="X143" s="338" t="str">
        <f t="shared" si="28"/>
        <v/>
      </c>
      <c r="Y143" s="274"/>
      <c r="AR143" t="str">
        <f t="shared" si="29"/>
        <v/>
      </c>
      <c r="AS143" t="str">
        <f t="shared" si="30"/>
        <v/>
      </c>
    </row>
    <row r="144" spans="1:45">
      <c r="A144" s="291"/>
      <c r="B144" s="292"/>
      <c r="C144" s="293"/>
      <c r="D144" s="293"/>
      <c r="E144" s="293"/>
      <c r="F144" s="293"/>
      <c r="G144" s="294"/>
      <c r="H144" s="300"/>
      <c r="I144" s="295"/>
      <c r="J144" s="295"/>
      <c r="K144" s="296"/>
      <c r="L144" s="301"/>
      <c r="M144" s="297"/>
      <c r="N144" s="298"/>
      <c r="P144" s="190" t="str">
        <f>IF(R144 = "", "", COUNT(R$4:$R144))</f>
        <v/>
      </c>
      <c r="Q144" s="190" t="str">
        <f t="shared" si="21"/>
        <v/>
      </c>
      <c r="R144" s="191" t="str">
        <f t="shared" si="22"/>
        <v/>
      </c>
      <c r="S144" s="192" t="str">
        <f t="shared" si="24"/>
        <v/>
      </c>
      <c r="T144" s="193" t="str">
        <f t="shared" si="25"/>
        <v/>
      </c>
      <c r="U144" s="194" t="str">
        <f t="shared" si="26"/>
        <v/>
      </c>
      <c r="V144" s="195" t="str">
        <f t="shared" si="23"/>
        <v/>
      </c>
      <c r="W144" s="336" t="str">
        <f t="shared" si="27"/>
        <v/>
      </c>
      <c r="X144" s="338" t="str">
        <f t="shared" si="28"/>
        <v/>
      </c>
      <c r="Y144" s="274"/>
      <c r="AR144" t="str">
        <f t="shared" si="29"/>
        <v/>
      </c>
      <c r="AS144" t="str">
        <f t="shared" si="30"/>
        <v/>
      </c>
    </row>
    <row r="145" spans="1:45">
      <c r="A145" s="291"/>
      <c r="B145" s="292"/>
      <c r="C145" s="293"/>
      <c r="D145" s="293"/>
      <c r="E145" s="293"/>
      <c r="F145" s="293"/>
      <c r="G145" s="294"/>
      <c r="H145" s="300"/>
      <c r="I145" s="295"/>
      <c r="J145" s="295"/>
      <c r="K145" s="296"/>
      <c r="L145" s="301"/>
      <c r="M145" s="297"/>
      <c r="N145" s="298"/>
      <c r="P145" s="190" t="str">
        <f>IF(R145 = "", "", COUNT(R$4:$R145))</f>
        <v/>
      </c>
      <c r="Q145" s="190" t="str">
        <f t="shared" si="21"/>
        <v/>
      </c>
      <c r="R145" s="191" t="str">
        <f t="shared" si="22"/>
        <v/>
      </c>
      <c r="S145" s="192" t="str">
        <f t="shared" si="24"/>
        <v/>
      </c>
      <c r="T145" s="193" t="str">
        <f t="shared" si="25"/>
        <v/>
      </c>
      <c r="U145" s="194" t="str">
        <f t="shared" si="26"/>
        <v/>
      </c>
      <c r="V145" s="195" t="str">
        <f t="shared" si="23"/>
        <v/>
      </c>
      <c r="W145" s="336" t="str">
        <f t="shared" si="27"/>
        <v/>
      </c>
      <c r="X145" s="338" t="str">
        <f t="shared" si="28"/>
        <v/>
      </c>
      <c r="Y145" s="274"/>
      <c r="AR145" t="str">
        <f t="shared" si="29"/>
        <v/>
      </c>
      <c r="AS145" t="str">
        <f t="shared" si="30"/>
        <v/>
      </c>
    </row>
    <row r="146" spans="1:45">
      <c r="A146" s="291"/>
      <c r="B146" s="292"/>
      <c r="C146" s="293"/>
      <c r="D146" s="293"/>
      <c r="E146" s="293"/>
      <c r="F146" s="293"/>
      <c r="G146" s="294"/>
      <c r="H146" s="300"/>
      <c r="I146" s="295"/>
      <c r="J146" s="295"/>
      <c r="K146" s="296"/>
      <c r="L146" s="301"/>
      <c r="M146" s="297"/>
      <c r="N146" s="298"/>
      <c r="P146" s="190" t="str">
        <f>IF(R146 = "", "", COUNT(R$4:$R146))</f>
        <v/>
      </c>
      <c r="Q146" s="190" t="str">
        <f t="shared" si="21"/>
        <v/>
      </c>
      <c r="R146" s="191" t="str">
        <f t="shared" si="22"/>
        <v/>
      </c>
      <c r="S146" s="192" t="str">
        <f t="shared" si="24"/>
        <v/>
      </c>
      <c r="T146" s="193" t="str">
        <f t="shared" si="25"/>
        <v/>
      </c>
      <c r="U146" s="194" t="str">
        <f t="shared" si="26"/>
        <v/>
      </c>
      <c r="V146" s="195" t="str">
        <f t="shared" si="23"/>
        <v/>
      </c>
      <c r="W146" s="336" t="str">
        <f t="shared" si="27"/>
        <v/>
      </c>
      <c r="X146" s="338" t="str">
        <f t="shared" si="28"/>
        <v/>
      </c>
      <c r="Y146" s="274"/>
      <c r="AR146" t="str">
        <f t="shared" si="29"/>
        <v/>
      </c>
      <c r="AS146" t="str">
        <f t="shared" si="30"/>
        <v/>
      </c>
    </row>
    <row r="147" spans="1:45">
      <c r="A147" s="291"/>
      <c r="B147" s="292"/>
      <c r="C147" s="293"/>
      <c r="D147" s="293"/>
      <c r="E147" s="293"/>
      <c r="F147" s="293"/>
      <c r="G147" s="294"/>
      <c r="H147" s="300"/>
      <c r="I147" s="295"/>
      <c r="J147" s="295"/>
      <c r="K147" s="296"/>
      <c r="L147" s="301"/>
      <c r="M147" s="297"/>
      <c r="N147" s="298"/>
      <c r="P147" s="190" t="str">
        <f>IF(R147 = "", "", COUNT(R$4:$R147))</f>
        <v/>
      </c>
      <c r="Q147" s="190" t="str">
        <f t="shared" si="21"/>
        <v/>
      </c>
      <c r="R147" s="191" t="str">
        <f t="shared" si="22"/>
        <v/>
      </c>
      <c r="S147" s="192" t="str">
        <f t="shared" si="24"/>
        <v/>
      </c>
      <c r="T147" s="193" t="str">
        <f t="shared" si="25"/>
        <v/>
      </c>
      <c r="U147" s="194" t="str">
        <f t="shared" si="26"/>
        <v/>
      </c>
      <c r="V147" s="195" t="str">
        <f t="shared" si="23"/>
        <v/>
      </c>
      <c r="W147" s="336" t="str">
        <f t="shared" si="27"/>
        <v/>
      </c>
      <c r="X147" s="338" t="str">
        <f t="shared" si="28"/>
        <v/>
      </c>
      <c r="Y147" s="274"/>
      <c r="AR147" t="str">
        <f t="shared" si="29"/>
        <v/>
      </c>
      <c r="AS147" t="str">
        <f t="shared" si="30"/>
        <v/>
      </c>
    </row>
    <row r="148" spans="1:45">
      <c r="A148" s="291"/>
      <c r="B148" s="292"/>
      <c r="C148" s="293"/>
      <c r="D148" s="293"/>
      <c r="E148" s="293"/>
      <c r="F148" s="293"/>
      <c r="G148" s="294"/>
      <c r="H148" s="300"/>
      <c r="I148" s="295"/>
      <c r="J148" s="295"/>
      <c r="K148" s="296"/>
      <c r="L148" s="301"/>
      <c r="M148" s="297"/>
      <c r="N148" s="298"/>
      <c r="P148" s="190" t="str">
        <f>IF(R148 = "", "", COUNT(R$4:$R148))</f>
        <v/>
      </c>
      <c r="Q148" s="190" t="str">
        <f t="shared" si="21"/>
        <v/>
      </c>
      <c r="R148" s="191" t="str">
        <f t="shared" si="22"/>
        <v/>
      </c>
      <c r="S148" s="192" t="str">
        <f t="shared" si="24"/>
        <v/>
      </c>
      <c r="T148" s="193" t="str">
        <f t="shared" si="25"/>
        <v/>
      </c>
      <c r="U148" s="194" t="str">
        <f t="shared" si="26"/>
        <v/>
      </c>
      <c r="V148" s="195" t="str">
        <f t="shared" si="23"/>
        <v/>
      </c>
      <c r="W148" s="336" t="str">
        <f t="shared" si="27"/>
        <v/>
      </c>
      <c r="X148" s="338" t="str">
        <f t="shared" si="28"/>
        <v/>
      </c>
      <c r="Y148" s="274"/>
      <c r="AR148" t="str">
        <f t="shared" si="29"/>
        <v/>
      </c>
      <c r="AS148" t="str">
        <f t="shared" si="30"/>
        <v/>
      </c>
    </row>
    <row r="149" spans="1:45">
      <c r="A149" s="291"/>
      <c r="B149" s="292"/>
      <c r="C149" s="293"/>
      <c r="D149" s="293"/>
      <c r="E149" s="293"/>
      <c r="F149" s="293"/>
      <c r="G149" s="294"/>
      <c r="H149" s="300"/>
      <c r="I149" s="295"/>
      <c r="J149" s="295"/>
      <c r="K149" s="296"/>
      <c r="L149" s="301"/>
      <c r="M149" s="297"/>
      <c r="N149" s="298"/>
      <c r="P149" s="190" t="str">
        <f>IF(R149 = "", "", COUNT(R$4:$R149))</f>
        <v/>
      </c>
      <c r="Q149" s="190" t="str">
        <f t="shared" si="21"/>
        <v/>
      </c>
      <c r="R149" s="191" t="str">
        <f t="shared" si="22"/>
        <v/>
      </c>
      <c r="S149" s="192" t="str">
        <f t="shared" si="24"/>
        <v/>
      </c>
      <c r="T149" s="193" t="str">
        <f t="shared" si="25"/>
        <v/>
      </c>
      <c r="U149" s="194" t="str">
        <f t="shared" si="26"/>
        <v/>
      </c>
      <c r="V149" s="195" t="str">
        <f t="shared" si="23"/>
        <v/>
      </c>
      <c r="W149" s="336" t="str">
        <f t="shared" si="27"/>
        <v/>
      </c>
      <c r="X149" s="338" t="str">
        <f t="shared" si="28"/>
        <v/>
      </c>
      <c r="Y149" s="274"/>
      <c r="AR149" t="str">
        <f t="shared" si="29"/>
        <v/>
      </c>
      <c r="AS149" t="str">
        <f t="shared" si="30"/>
        <v/>
      </c>
    </row>
    <row r="150" spans="1:45">
      <c r="A150" s="291"/>
      <c r="B150" s="292"/>
      <c r="C150" s="293"/>
      <c r="D150" s="293"/>
      <c r="E150" s="293"/>
      <c r="F150" s="293"/>
      <c r="G150" s="294"/>
      <c r="H150" s="300"/>
      <c r="I150" s="295"/>
      <c r="J150" s="295"/>
      <c r="K150" s="296"/>
      <c r="L150" s="301"/>
      <c r="M150" s="297"/>
      <c r="N150" s="298"/>
      <c r="P150" s="190" t="str">
        <f>IF(R150 = "", "", COUNT(R$4:$R150))</f>
        <v/>
      </c>
      <c r="Q150" s="190" t="str">
        <f t="shared" si="21"/>
        <v/>
      </c>
      <c r="R150" s="191" t="str">
        <f t="shared" si="22"/>
        <v/>
      </c>
      <c r="S150" s="192" t="str">
        <f t="shared" si="24"/>
        <v/>
      </c>
      <c r="T150" s="193" t="str">
        <f t="shared" si="25"/>
        <v/>
      </c>
      <c r="U150" s="194" t="str">
        <f t="shared" si="26"/>
        <v/>
      </c>
      <c r="V150" s="195" t="str">
        <f t="shared" si="23"/>
        <v/>
      </c>
      <c r="W150" s="336" t="str">
        <f t="shared" si="27"/>
        <v/>
      </c>
      <c r="X150" s="338" t="str">
        <f t="shared" si="28"/>
        <v/>
      </c>
      <c r="Y150" s="274"/>
      <c r="AR150" t="str">
        <f t="shared" si="29"/>
        <v/>
      </c>
      <c r="AS150" t="str">
        <f t="shared" si="30"/>
        <v/>
      </c>
    </row>
    <row r="151" spans="1:45">
      <c r="A151" s="291"/>
      <c r="B151" s="292"/>
      <c r="C151" s="293"/>
      <c r="D151" s="293"/>
      <c r="E151" s="293"/>
      <c r="F151" s="293"/>
      <c r="G151" s="294"/>
      <c r="H151" s="300"/>
      <c r="I151" s="295"/>
      <c r="J151" s="295"/>
      <c r="K151" s="296"/>
      <c r="L151" s="301"/>
      <c r="M151" s="297"/>
      <c r="N151" s="298"/>
      <c r="P151" s="190" t="str">
        <f>IF(R151 = "", "", COUNT(R$4:$R151))</f>
        <v/>
      </c>
      <c r="Q151" s="190" t="str">
        <f t="shared" si="21"/>
        <v/>
      </c>
      <c r="R151" s="191" t="str">
        <f t="shared" si="22"/>
        <v/>
      </c>
      <c r="S151" s="192" t="str">
        <f t="shared" si="24"/>
        <v/>
      </c>
      <c r="T151" s="193" t="str">
        <f t="shared" si="25"/>
        <v/>
      </c>
      <c r="U151" s="194" t="str">
        <f t="shared" si="26"/>
        <v/>
      </c>
      <c r="V151" s="195" t="str">
        <f t="shared" si="23"/>
        <v/>
      </c>
      <c r="W151" s="336" t="str">
        <f t="shared" si="27"/>
        <v/>
      </c>
      <c r="X151" s="338" t="str">
        <f t="shared" si="28"/>
        <v/>
      </c>
      <c r="Y151" s="274"/>
      <c r="AR151" t="str">
        <f t="shared" si="29"/>
        <v/>
      </c>
      <c r="AS151" t="str">
        <f t="shared" si="30"/>
        <v/>
      </c>
    </row>
    <row r="152" spans="1:45">
      <c r="A152" s="291"/>
      <c r="B152" s="292"/>
      <c r="C152" s="293"/>
      <c r="D152" s="293"/>
      <c r="E152" s="293"/>
      <c r="F152" s="293"/>
      <c r="G152" s="294"/>
      <c r="H152" s="300"/>
      <c r="I152" s="295"/>
      <c r="J152" s="295"/>
      <c r="K152" s="296"/>
      <c r="L152" s="301"/>
      <c r="M152" s="297"/>
      <c r="N152" s="298"/>
      <c r="P152" s="190" t="str">
        <f>IF(R152 = "", "", COUNT(R$4:$R152))</f>
        <v/>
      </c>
      <c r="Q152" s="190" t="str">
        <f t="shared" si="21"/>
        <v/>
      </c>
      <c r="R152" s="191" t="str">
        <f t="shared" si="22"/>
        <v/>
      </c>
      <c r="S152" s="192" t="str">
        <f t="shared" si="24"/>
        <v/>
      </c>
      <c r="T152" s="193" t="str">
        <f t="shared" si="25"/>
        <v/>
      </c>
      <c r="U152" s="194" t="str">
        <f t="shared" si="26"/>
        <v/>
      </c>
      <c r="V152" s="195" t="str">
        <f t="shared" si="23"/>
        <v/>
      </c>
      <c r="W152" s="336" t="str">
        <f t="shared" si="27"/>
        <v/>
      </c>
      <c r="X152" s="338" t="str">
        <f t="shared" si="28"/>
        <v/>
      </c>
      <c r="Y152" s="274"/>
      <c r="AR152" t="str">
        <f t="shared" si="29"/>
        <v/>
      </c>
      <c r="AS152" t="str">
        <f t="shared" si="30"/>
        <v/>
      </c>
    </row>
    <row r="153" spans="1:45">
      <c r="A153" s="291"/>
      <c r="B153" s="292"/>
      <c r="C153" s="293"/>
      <c r="D153" s="293"/>
      <c r="E153" s="293"/>
      <c r="F153" s="293"/>
      <c r="G153" s="294"/>
      <c r="H153" s="300"/>
      <c r="I153" s="295"/>
      <c r="J153" s="295"/>
      <c r="K153" s="296"/>
      <c r="L153" s="301"/>
      <c r="M153" s="297"/>
      <c r="N153" s="298"/>
      <c r="P153" s="190" t="str">
        <f>IF(R153 = "", "", COUNT(R$4:$R153))</f>
        <v/>
      </c>
      <c r="Q153" s="190" t="str">
        <f t="shared" si="21"/>
        <v/>
      </c>
      <c r="R153" s="191" t="str">
        <f t="shared" si="22"/>
        <v/>
      </c>
      <c r="S153" s="192" t="str">
        <f t="shared" si="24"/>
        <v/>
      </c>
      <c r="T153" s="193" t="str">
        <f t="shared" si="25"/>
        <v/>
      </c>
      <c r="U153" s="194" t="str">
        <f t="shared" si="26"/>
        <v/>
      </c>
      <c r="V153" s="195" t="str">
        <f t="shared" si="23"/>
        <v/>
      </c>
      <c r="W153" s="336" t="str">
        <f t="shared" si="27"/>
        <v/>
      </c>
      <c r="X153" s="338" t="str">
        <f t="shared" si="28"/>
        <v/>
      </c>
      <c r="Y153" s="274"/>
      <c r="AR153" t="str">
        <f t="shared" si="29"/>
        <v/>
      </c>
      <c r="AS153" t="str">
        <f t="shared" si="30"/>
        <v/>
      </c>
    </row>
    <row r="154" spans="1:45">
      <c r="A154" s="291"/>
      <c r="B154" s="292"/>
      <c r="C154" s="293"/>
      <c r="D154" s="293"/>
      <c r="E154" s="293"/>
      <c r="F154" s="293"/>
      <c r="G154" s="294"/>
      <c r="H154" s="300"/>
      <c r="I154" s="295"/>
      <c r="J154" s="295"/>
      <c r="K154" s="296"/>
      <c r="L154" s="301"/>
      <c r="M154" s="297"/>
      <c r="N154" s="298"/>
      <c r="P154" s="190" t="str">
        <f>IF(R154 = "", "", COUNT(R$4:$R154))</f>
        <v/>
      </c>
      <c r="Q154" s="190" t="str">
        <f t="shared" si="21"/>
        <v/>
      </c>
      <c r="R154" s="191" t="str">
        <f t="shared" si="22"/>
        <v/>
      </c>
      <c r="S154" s="192" t="str">
        <f t="shared" si="24"/>
        <v/>
      </c>
      <c r="T154" s="193" t="str">
        <f t="shared" si="25"/>
        <v/>
      </c>
      <c r="U154" s="194" t="str">
        <f t="shared" si="26"/>
        <v/>
      </c>
      <c r="V154" s="195" t="str">
        <f t="shared" si="23"/>
        <v/>
      </c>
      <c r="W154" s="336" t="str">
        <f t="shared" si="27"/>
        <v/>
      </c>
      <c r="X154" s="338" t="str">
        <f t="shared" si="28"/>
        <v/>
      </c>
      <c r="Y154" s="274"/>
      <c r="AR154" t="str">
        <f t="shared" si="29"/>
        <v/>
      </c>
      <c r="AS154" t="str">
        <f t="shared" si="30"/>
        <v/>
      </c>
    </row>
    <row r="155" spans="1:45">
      <c r="A155" s="291"/>
      <c r="B155" s="292"/>
      <c r="C155" s="293"/>
      <c r="D155" s="293"/>
      <c r="E155" s="293"/>
      <c r="F155" s="293"/>
      <c r="G155" s="294"/>
      <c r="H155" s="300"/>
      <c r="I155" s="295"/>
      <c r="J155" s="295"/>
      <c r="K155" s="296"/>
      <c r="L155" s="301"/>
      <c r="M155" s="297"/>
      <c r="N155" s="298"/>
      <c r="P155" s="190" t="str">
        <f>IF(R155 = "", "", COUNT(R$4:$R155))</f>
        <v/>
      </c>
      <c r="Q155" s="190" t="str">
        <f t="shared" si="21"/>
        <v/>
      </c>
      <c r="R155" s="191" t="str">
        <f t="shared" si="22"/>
        <v/>
      </c>
      <c r="S155" s="192" t="str">
        <f t="shared" si="24"/>
        <v/>
      </c>
      <c r="T155" s="193" t="str">
        <f t="shared" si="25"/>
        <v/>
      </c>
      <c r="U155" s="194" t="str">
        <f t="shared" si="26"/>
        <v/>
      </c>
      <c r="V155" s="195" t="str">
        <f t="shared" si="23"/>
        <v/>
      </c>
      <c r="W155" s="336" t="str">
        <f t="shared" si="27"/>
        <v/>
      </c>
      <c r="X155" s="338" t="str">
        <f t="shared" si="28"/>
        <v/>
      </c>
      <c r="Y155" s="274"/>
      <c r="AR155" t="str">
        <f t="shared" si="29"/>
        <v/>
      </c>
      <c r="AS155" t="str">
        <f t="shared" si="30"/>
        <v/>
      </c>
    </row>
    <row r="156" spans="1:45">
      <c r="A156" s="291"/>
      <c r="B156" s="292"/>
      <c r="C156" s="293"/>
      <c r="D156" s="293"/>
      <c r="E156" s="293"/>
      <c r="F156" s="293"/>
      <c r="G156" s="294"/>
      <c r="H156" s="300"/>
      <c r="I156" s="295"/>
      <c r="J156" s="295"/>
      <c r="K156" s="296"/>
      <c r="L156" s="301"/>
      <c r="M156" s="297"/>
      <c r="N156" s="298"/>
      <c r="P156" s="190" t="str">
        <f>IF(R156 = "", "", COUNT(R$4:$R156))</f>
        <v/>
      </c>
      <c r="Q156" s="190" t="str">
        <f t="shared" si="21"/>
        <v/>
      </c>
      <c r="R156" s="191" t="str">
        <f t="shared" si="22"/>
        <v/>
      </c>
      <c r="S156" s="192" t="str">
        <f t="shared" si="24"/>
        <v/>
      </c>
      <c r="T156" s="193" t="str">
        <f t="shared" si="25"/>
        <v/>
      </c>
      <c r="U156" s="194" t="str">
        <f t="shared" si="26"/>
        <v/>
      </c>
      <c r="V156" s="195" t="str">
        <f t="shared" si="23"/>
        <v/>
      </c>
      <c r="W156" s="336" t="str">
        <f t="shared" si="27"/>
        <v/>
      </c>
      <c r="X156" s="338" t="str">
        <f t="shared" si="28"/>
        <v/>
      </c>
      <c r="Y156" s="274"/>
      <c r="AR156" t="str">
        <f t="shared" si="29"/>
        <v/>
      </c>
      <c r="AS156" t="str">
        <f t="shared" si="30"/>
        <v/>
      </c>
    </row>
    <row r="157" spans="1:45">
      <c r="A157" s="291"/>
      <c r="B157" s="292"/>
      <c r="C157" s="293"/>
      <c r="D157" s="293"/>
      <c r="E157" s="293"/>
      <c r="F157" s="293"/>
      <c r="G157" s="294"/>
      <c r="H157" s="300"/>
      <c r="I157" s="295"/>
      <c r="J157" s="295"/>
      <c r="K157" s="296"/>
      <c r="L157" s="301"/>
      <c r="M157" s="297"/>
      <c r="N157" s="298"/>
      <c r="P157" s="190" t="str">
        <f>IF(R157 = "", "", COUNT(R$4:$R157))</f>
        <v/>
      </c>
      <c r="Q157" s="190" t="str">
        <f t="shared" si="21"/>
        <v/>
      </c>
      <c r="R157" s="191" t="str">
        <f t="shared" si="22"/>
        <v/>
      </c>
      <c r="S157" s="192" t="str">
        <f t="shared" si="24"/>
        <v/>
      </c>
      <c r="T157" s="193" t="str">
        <f t="shared" si="25"/>
        <v/>
      </c>
      <c r="U157" s="194" t="str">
        <f t="shared" si="26"/>
        <v/>
      </c>
      <c r="V157" s="195" t="str">
        <f t="shared" si="23"/>
        <v/>
      </c>
      <c r="W157" s="336" t="str">
        <f t="shared" si="27"/>
        <v/>
      </c>
      <c r="X157" s="338" t="str">
        <f t="shared" si="28"/>
        <v/>
      </c>
      <c r="Y157" s="274"/>
      <c r="AR157" t="str">
        <f t="shared" si="29"/>
        <v/>
      </c>
      <c r="AS157" t="str">
        <f t="shared" si="30"/>
        <v/>
      </c>
    </row>
    <row r="158" spans="1:45">
      <c r="A158" s="291"/>
      <c r="B158" s="292"/>
      <c r="C158" s="293"/>
      <c r="D158" s="293"/>
      <c r="E158" s="293"/>
      <c r="F158" s="293"/>
      <c r="G158" s="294"/>
      <c r="H158" s="300"/>
      <c r="I158" s="295"/>
      <c r="J158" s="295"/>
      <c r="K158" s="296"/>
      <c r="L158" s="301"/>
      <c r="M158" s="297"/>
      <c r="N158" s="298"/>
      <c r="P158" s="190" t="str">
        <f>IF(R158 = "", "", COUNT(R$4:$R158))</f>
        <v/>
      </c>
      <c r="Q158" s="190" t="str">
        <f t="shared" si="21"/>
        <v/>
      </c>
      <c r="R158" s="191" t="str">
        <f t="shared" si="22"/>
        <v/>
      </c>
      <c r="S158" s="192" t="str">
        <f t="shared" si="24"/>
        <v/>
      </c>
      <c r="T158" s="193" t="str">
        <f t="shared" si="25"/>
        <v/>
      </c>
      <c r="U158" s="194" t="str">
        <f t="shared" si="26"/>
        <v/>
      </c>
      <c r="V158" s="195" t="str">
        <f t="shared" si="23"/>
        <v/>
      </c>
      <c r="W158" s="336" t="str">
        <f t="shared" si="27"/>
        <v/>
      </c>
      <c r="X158" s="338" t="str">
        <f t="shared" si="28"/>
        <v/>
      </c>
      <c r="Y158" s="274"/>
      <c r="AR158" t="str">
        <f t="shared" si="29"/>
        <v/>
      </c>
      <c r="AS158" t="str">
        <f t="shared" si="30"/>
        <v/>
      </c>
    </row>
    <row r="159" spans="1:45">
      <c r="A159" s="291"/>
      <c r="B159" s="292"/>
      <c r="C159" s="293"/>
      <c r="D159" s="293"/>
      <c r="E159" s="293"/>
      <c r="F159" s="293"/>
      <c r="G159" s="294"/>
      <c r="H159" s="300"/>
      <c r="I159" s="295"/>
      <c r="J159" s="295"/>
      <c r="K159" s="296"/>
      <c r="L159" s="301"/>
      <c r="M159" s="297"/>
      <c r="N159" s="298"/>
      <c r="P159" s="190" t="str">
        <f>IF(R159 = "", "", COUNT(R$4:$R159))</f>
        <v/>
      </c>
      <c r="Q159" s="190" t="str">
        <f t="shared" si="21"/>
        <v/>
      </c>
      <c r="R159" s="191" t="str">
        <f t="shared" si="22"/>
        <v/>
      </c>
      <c r="S159" s="192" t="str">
        <f t="shared" si="24"/>
        <v/>
      </c>
      <c r="T159" s="193" t="str">
        <f t="shared" si="25"/>
        <v/>
      </c>
      <c r="U159" s="194" t="str">
        <f t="shared" si="26"/>
        <v/>
      </c>
      <c r="V159" s="195" t="str">
        <f t="shared" si="23"/>
        <v/>
      </c>
      <c r="W159" s="336" t="str">
        <f t="shared" si="27"/>
        <v/>
      </c>
      <c r="X159" s="338" t="str">
        <f t="shared" si="28"/>
        <v/>
      </c>
      <c r="Y159" s="274"/>
      <c r="AR159" t="str">
        <f t="shared" si="29"/>
        <v/>
      </c>
      <c r="AS159" t="str">
        <f t="shared" si="30"/>
        <v/>
      </c>
    </row>
    <row r="160" spans="1:45">
      <c r="A160" s="291"/>
      <c r="B160" s="292"/>
      <c r="C160" s="293"/>
      <c r="D160" s="293"/>
      <c r="E160" s="293"/>
      <c r="F160" s="293"/>
      <c r="G160" s="294"/>
      <c r="H160" s="300"/>
      <c r="I160" s="295"/>
      <c r="J160" s="295"/>
      <c r="K160" s="296"/>
      <c r="L160" s="301"/>
      <c r="M160" s="297"/>
      <c r="N160" s="298"/>
      <c r="P160" s="190" t="str">
        <f>IF(R160 = "", "", COUNT(R$4:$R160))</f>
        <v/>
      </c>
      <c r="Q160" s="190" t="str">
        <f t="shared" si="21"/>
        <v/>
      </c>
      <c r="R160" s="191" t="str">
        <f t="shared" si="22"/>
        <v/>
      </c>
      <c r="S160" s="192" t="str">
        <f t="shared" si="24"/>
        <v/>
      </c>
      <c r="T160" s="193" t="str">
        <f t="shared" si="25"/>
        <v/>
      </c>
      <c r="U160" s="194" t="str">
        <f t="shared" si="26"/>
        <v/>
      </c>
      <c r="V160" s="195" t="str">
        <f t="shared" si="23"/>
        <v/>
      </c>
      <c r="W160" s="336" t="str">
        <f t="shared" si="27"/>
        <v/>
      </c>
      <c r="X160" s="338" t="str">
        <f t="shared" si="28"/>
        <v/>
      </c>
      <c r="Y160" s="274"/>
      <c r="AR160" t="str">
        <f t="shared" si="29"/>
        <v/>
      </c>
      <c r="AS160" t="str">
        <f t="shared" si="30"/>
        <v/>
      </c>
    </row>
    <row r="161" spans="1:45">
      <c r="A161" s="291"/>
      <c r="B161" s="292"/>
      <c r="C161" s="293"/>
      <c r="D161" s="293"/>
      <c r="E161" s="293"/>
      <c r="F161" s="293"/>
      <c r="G161" s="294"/>
      <c r="H161" s="300"/>
      <c r="I161" s="295"/>
      <c r="J161" s="295"/>
      <c r="K161" s="296"/>
      <c r="L161" s="301"/>
      <c r="M161" s="297"/>
      <c r="N161" s="298"/>
      <c r="P161" s="190" t="str">
        <f>IF(R161 = "", "", COUNT(R$4:$R161))</f>
        <v/>
      </c>
      <c r="Q161" s="190" t="str">
        <f t="shared" si="21"/>
        <v/>
      </c>
      <c r="R161" s="191" t="str">
        <f t="shared" si="22"/>
        <v/>
      </c>
      <c r="S161" s="192" t="str">
        <f t="shared" si="24"/>
        <v/>
      </c>
      <c r="T161" s="193" t="str">
        <f t="shared" si="25"/>
        <v/>
      </c>
      <c r="U161" s="194" t="str">
        <f t="shared" si="26"/>
        <v/>
      </c>
      <c r="V161" s="195" t="str">
        <f t="shared" si="23"/>
        <v/>
      </c>
      <c r="W161" s="336" t="str">
        <f t="shared" si="27"/>
        <v/>
      </c>
      <c r="X161" s="338" t="str">
        <f t="shared" si="28"/>
        <v/>
      </c>
      <c r="Y161" s="274"/>
      <c r="AR161" t="str">
        <f t="shared" si="29"/>
        <v/>
      </c>
      <c r="AS161" t="str">
        <f t="shared" si="30"/>
        <v/>
      </c>
    </row>
    <row r="162" spans="1:45">
      <c r="A162" s="291"/>
      <c r="B162" s="292"/>
      <c r="C162" s="293"/>
      <c r="D162" s="293"/>
      <c r="E162" s="293"/>
      <c r="F162" s="293"/>
      <c r="G162" s="294"/>
      <c r="H162" s="300"/>
      <c r="I162" s="295"/>
      <c r="J162" s="295"/>
      <c r="K162" s="296"/>
      <c r="L162" s="301"/>
      <c r="M162" s="297"/>
      <c r="N162" s="298"/>
      <c r="P162" s="190" t="str">
        <f>IF(R162 = "", "", COUNT(R$4:$R162))</f>
        <v/>
      </c>
      <c r="Q162" s="190" t="str">
        <f t="shared" si="21"/>
        <v/>
      </c>
      <c r="R162" s="191" t="str">
        <f t="shared" si="22"/>
        <v/>
      </c>
      <c r="S162" s="192" t="str">
        <f t="shared" si="24"/>
        <v/>
      </c>
      <c r="T162" s="193" t="str">
        <f t="shared" si="25"/>
        <v/>
      </c>
      <c r="U162" s="194" t="str">
        <f t="shared" si="26"/>
        <v/>
      </c>
      <c r="V162" s="195" t="str">
        <f t="shared" si="23"/>
        <v/>
      </c>
      <c r="W162" s="336" t="str">
        <f t="shared" si="27"/>
        <v/>
      </c>
      <c r="X162" s="338" t="str">
        <f t="shared" si="28"/>
        <v/>
      </c>
      <c r="Y162" s="274"/>
      <c r="AR162" t="str">
        <f t="shared" si="29"/>
        <v/>
      </c>
      <c r="AS162" t="str">
        <f t="shared" si="30"/>
        <v/>
      </c>
    </row>
    <row r="163" spans="1:45">
      <c r="A163" s="291"/>
      <c r="B163" s="292"/>
      <c r="C163" s="293"/>
      <c r="D163" s="293"/>
      <c r="E163" s="293"/>
      <c r="F163" s="293"/>
      <c r="G163" s="294"/>
      <c r="H163" s="300"/>
      <c r="I163" s="295"/>
      <c r="J163" s="295"/>
      <c r="K163" s="296"/>
      <c r="L163" s="301"/>
      <c r="M163" s="297"/>
      <c r="N163" s="298"/>
      <c r="P163" s="190" t="str">
        <f>IF(R163 = "", "", COUNT(R$4:$R163))</f>
        <v/>
      </c>
      <c r="Q163" s="190" t="str">
        <f t="shared" si="21"/>
        <v/>
      </c>
      <c r="R163" s="191" t="str">
        <f t="shared" si="22"/>
        <v/>
      </c>
      <c r="S163" s="192" t="str">
        <f t="shared" si="24"/>
        <v/>
      </c>
      <c r="T163" s="193" t="str">
        <f t="shared" si="25"/>
        <v/>
      </c>
      <c r="U163" s="194" t="str">
        <f t="shared" si="26"/>
        <v/>
      </c>
      <c r="V163" s="195" t="str">
        <f t="shared" si="23"/>
        <v/>
      </c>
      <c r="W163" s="336" t="str">
        <f t="shared" si="27"/>
        <v/>
      </c>
      <c r="X163" s="338" t="str">
        <f t="shared" si="28"/>
        <v/>
      </c>
      <c r="Y163" s="274"/>
      <c r="AR163" t="str">
        <f t="shared" si="29"/>
        <v/>
      </c>
      <c r="AS163" t="str">
        <f t="shared" si="30"/>
        <v/>
      </c>
    </row>
    <row r="164" spans="1:45">
      <c r="A164" s="291"/>
      <c r="B164" s="292"/>
      <c r="C164" s="293"/>
      <c r="D164" s="293"/>
      <c r="E164" s="293"/>
      <c r="F164" s="293"/>
      <c r="G164" s="294"/>
      <c r="H164" s="300"/>
      <c r="I164" s="295"/>
      <c r="J164" s="295"/>
      <c r="K164" s="296"/>
      <c r="L164" s="301"/>
      <c r="M164" s="297"/>
      <c r="N164" s="298"/>
      <c r="P164" s="190" t="str">
        <f>IF(R164 = "", "", COUNT(R$4:$R164))</f>
        <v/>
      </c>
      <c r="Q164" s="190" t="str">
        <f t="shared" si="21"/>
        <v/>
      </c>
      <c r="R164" s="191" t="str">
        <f t="shared" si="22"/>
        <v/>
      </c>
      <c r="S164" s="192" t="str">
        <f t="shared" si="24"/>
        <v/>
      </c>
      <c r="T164" s="193" t="str">
        <f t="shared" si="25"/>
        <v/>
      </c>
      <c r="U164" s="194" t="str">
        <f t="shared" si="26"/>
        <v/>
      </c>
      <c r="V164" s="195" t="str">
        <f t="shared" si="23"/>
        <v/>
      </c>
      <c r="W164" s="336" t="str">
        <f t="shared" si="27"/>
        <v/>
      </c>
      <c r="X164" s="338" t="str">
        <f t="shared" si="28"/>
        <v/>
      </c>
      <c r="Y164" s="274"/>
      <c r="AR164" t="str">
        <f t="shared" si="29"/>
        <v/>
      </c>
      <c r="AS164" t="str">
        <f t="shared" si="30"/>
        <v/>
      </c>
    </row>
    <row r="165" spans="1:45">
      <c r="A165" s="291"/>
      <c r="B165" s="292"/>
      <c r="C165" s="293"/>
      <c r="D165" s="293"/>
      <c r="E165" s="293"/>
      <c r="F165" s="293"/>
      <c r="G165" s="294"/>
      <c r="H165" s="300"/>
      <c r="I165" s="295"/>
      <c r="J165" s="295"/>
      <c r="K165" s="296"/>
      <c r="L165" s="301"/>
      <c r="M165" s="297"/>
      <c r="N165" s="298"/>
      <c r="P165" s="190" t="str">
        <f>IF(R165 = "", "", COUNT(R$4:$R165))</f>
        <v/>
      </c>
      <c r="Q165" s="190" t="str">
        <f t="shared" si="21"/>
        <v/>
      </c>
      <c r="R165" s="191" t="str">
        <f t="shared" si="22"/>
        <v/>
      </c>
      <c r="S165" s="192" t="str">
        <f t="shared" si="24"/>
        <v/>
      </c>
      <c r="T165" s="193" t="str">
        <f t="shared" si="25"/>
        <v/>
      </c>
      <c r="U165" s="194" t="str">
        <f t="shared" si="26"/>
        <v/>
      </c>
      <c r="V165" s="195" t="str">
        <f t="shared" si="23"/>
        <v/>
      </c>
      <c r="W165" s="336" t="str">
        <f t="shared" si="27"/>
        <v/>
      </c>
      <c r="X165" s="338" t="str">
        <f t="shared" si="28"/>
        <v/>
      </c>
      <c r="Y165" s="274"/>
      <c r="AR165" t="str">
        <f t="shared" si="29"/>
        <v/>
      </c>
      <c r="AS165" t="str">
        <f t="shared" si="30"/>
        <v/>
      </c>
    </row>
    <row r="166" spans="1:45">
      <c r="A166" s="291"/>
      <c r="B166" s="292"/>
      <c r="C166" s="293"/>
      <c r="D166" s="293"/>
      <c r="E166" s="293"/>
      <c r="F166" s="293"/>
      <c r="G166" s="294"/>
      <c r="H166" s="300"/>
      <c r="I166" s="295"/>
      <c r="J166" s="295"/>
      <c r="K166" s="296"/>
      <c r="L166" s="301"/>
      <c r="M166" s="297"/>
      <c r="N166" s="298"/>
      <c r="P166" s="190" t="str">
        <f>IF(R166 = "", "", COUNT(R$4:$R166))</f>
        <v/>
      </c>
      <c r="Q166" s="190" t="str">
        <f t="shared" si="21"/>
        <v/>
      </c>
      <c r="R166" s="191" t="str">
        <f t="shared" si="22"/>
        <v/>
      </c>
      <c r="S166" s="192" t="str">
        <f t="shared" si="24"/>
        <v/>
      </c>
      <c r="T166" s="193" t="str">
        <f t="shared" si="25"/>
        <v/>
      </c>
      <c r="U166" s="194" t="str">
        <f t="shared" si="26"/>
        <v/>
      </c>
      <c r="V166" s="195" t="str">
        <f t="shared" si="23"/>
        <v/>
      </c>
      <c r="W166" s="336" t="str">
        <f t="shared" si="27"/>
        <v/>
      </c>
      <c r="X166" s="338" t="str">
        <f t="shared" si="28"/>
        <v/>
      </c>
      <c r="Y166" s="274"/>
      <c r="AR166" t="str">
        <f t="shared" si="29"/>
        <v/>
      </c>
      <c r="AS166" t="str">
        <f t="shared" si="30"/>
        <v/>
      </c>
    </row>
    <row r="167" spans="1:45">
      <c r="A167" s="291"/>
      <c r="B167" s="292"/>
      <c r="C167" s="293"/>
      <c r="D167" s="293"/>
      <c r="E167" s="293"/>
      <c r="F167" s="293"/>
      <c r="G167" s="294"/>
      <c r="H167" s="300"/>
      <c r="I167" s="295"/>
      <c r="J167" s="295"/>
      <c r="K167" s="296"/>
      <c r="L167" s="301"/>
      <c r="M167" s="297"/>
      <c r="N167" s="298"/>
      <c r="P167" s="190" t="str">
        <f>IF(R167 = "", "", COUNT(R$4:$R167))</f>
        <v/>
      </c>
      <c r="Q167" s="190" t="str">
        <f t="shared" si="21"/>
        <v/>
      </c>
      <c r="R167" s="191" t="str">
        <f t="shared" si="22"/>
        <v/>
      </c>
      <c r="S167" s="192" t="str">
        <f t="shared" si="24"/>
        <v/>
      </c>
      <c r="T167" s="193" t="str">
        <f t="shared" si="25"/>
        <v/>
      </c>
      <c r="U167" s="194" t="str">
        <f t="shared" si="26"/>
        <v/>
      </c>
      <c r="V167" s="195" t="str">
        <f t="shared" si="23"/>
        <v/>
      </c>
      <c r="W167" s="336" t="str">
        <f t="shared" si="27"/>
        <v/>
      </c>
      <c r="X167" s="338" t="str">
        <f t="shared" si="28"/>
        <v/>
      </c>
      <c r="Y167" s="274"/>
      <c r="AR167" t="str">
        <f t="shared" si="29"/>
        <v/>
      </c>
      <c r="AS167" t="str">
        <f t="shared" si="30"/>
        <v/>
      </c>
    </row>
    <row r="168" spans="1:45">
      <c r="A168" s="291"/>
      <c r="B168" s="292"/>
      <c r="C168" s="293"/>
      <c r="D168" s="293"/>
      <c r="E168" s="293"/>
      <c r="F168" s="293"/>
      <c r="G168" s="294"/>
      <c r="H168" s="300"/>
      <c r="I168" s="295"/>
      <c r="J168" s="295"/>
      <c r="K168" s="296"/>
      <c r="L168" s="301"/>
      <c r="M168" s="297"/>
      <c r="N168" s="298"/>
      <c r="P168" s="190" t="str">
        <f>IF(R168 = "", "", COUNT(R$4:$R168))</f>
        <v/>
      </c>
      <c r="Q168" s="190" t="str">
        <f t="shared" si="21"/>
        <v/>
      </c>
      <c r="R168" s="191" t="str">
        <f t="shared" si="22"/>
        <v/>
      </c>
      <c r="S168" s="192" t="str">
        <f t="shared" si="24"/>
        <v/>
      </c>
      <c r="T168" s="193" t="str">
        <f t="shared" si="25"/>
        <v/>
      </c>
      <c r="U168" s="194" t="str">
        <f t="shared" si="26"/>
        <v/>
      </c>
      <c r="V168" s="195" t="str">
        <f t="shared" si="23"/>
        <v/>
      </c>
      <c r="W168" s="336" t="str">
        <f t="shared" si="27"/>
        <v/>
      </c>
      <c r="X168" s="338" t="str">
        <f t="shared" si="28"/>
        <v/>
      </c>
      <c r="Y168" s="274"/>
      <c r="AR168" t="str">
        <f t="shared" si="29"/>
        <v/>
      </c>
      <c r="AS168" t="str">
        <f t="shared" si="30"/>
        <v/>
      </c>
    </row>
    <row r="169" spans="1:45">
      <c r="A169" s="291"/>
      <c r="B169" s="292"/>
      <c r="C169" s="293"/>
      <c r="D169" s="293"/>
      <c r="E169" s="293"/>
      <c r="F169" s="293"/>
      <c r="G169" s="294"/>
      <c r="H169" s="300"/>
      <c r="I169" s="295"/>
      <c r="J169" s="295"/>
      <c r="K169" s="296"/>
      <c r="L169" s="301"/>
      <c r="M169" s="297"/>
      <c r="N169" s="298"/>
      <c r="P169" s="190" t="str">
        <f>IF(R169 = "", "", COUNT(R$4:$R169))</f>
        <v/>
      </c>
      <c r="Q169" s="190" t="str">
        <f t="shared" si="21"/>
        <v/>
      </c>
      <c r="R169" s="191" t="str">
        <f t="shared" si="22"/>
        <v/>
      </c>
      <c r="S169" s="192" t="str">
        <f t="shared" si="24"/>
        <v/>
      </c>
      <c r="T169" s="193" t="str">
        <f t="shared" si="25"/>
        <v/>
      </c>
      <c r="U169" s="194" t="str">
        <f t="shared" si="26"/>
        <v/>
      </c>
      <c r="V169" s="195" t="str">
        <f t="shared" si="23"/>
        <v/>
      </c>
      <c r="W169" s="336" t="str">
        <f t="shared" si="27"/>
        <v/>
      </c>
      <c r="X169" s="338" t="str">
        <f t="shared" si="28"/>
        <v/>
      </c>
      <c r="Y169" s="274"/>
      <c r="AR169" t="str">
        <f t="shared" si="29"/>
        <v/>
      </c>
      <c r="AS169" t="str">
        <f t="shared" si="30"/>
        <v/>
      </c>
    </row>
    <row r="170" spans="1:45">
      <c r="A170" s="291"/>
      <c r="B170" s="292"/>
      <c r="C170" s="293"/>
      <c r="D170" s="293"/>
      <c r="E170" s="293"/>
      <c r="F170" s="293"/>
      <c r="G170" s="294"/>
      <c r="H170" s="300"/>
      <c r="I170" s="295"/>
      <c r="J170" s="295"/>
      <c r="K170" s="296"/>
      <c r="L170" s="301"/>
      <c r="M170" s="297"/>
      <c r="N170" s="298"/>
      <c r="P170" s="190" t="str">
        <f>IF(R170 = "", "", COUNT(R$4:$R170))</f>
        <v/>
      </c>
      <c r="Q170" s="190" t="str">
        <f t="shared" si="21"/>
        <v/>
      </c>
      <c r="R170" s="191" t="str">
        <f t="shared" si="22"/>
        <v/>
      </c>
      <c r="S170" s="192" t="str">
        <f t="shared" si="24"/>
        <v/>
      </c>
      <c r="T170" s="193" t="str">
        <f t="shared" si="25"/>
        <v/>
      </c>
      <c r="U170" s="194" t="str">
        <f t="shared" si="26"/>
        <v/>
      </c>
      <c r="V170" s="195" t="str">
        <f t="shared" si="23"/>
        <v/>
      </c>
      <c r="W170" s="336" t="str">
        <f t="shared" si="27"/>
        <v/>
      </c>
      <c r="X170" s="338" t="str">
        <f t="shared" si="28"/>
        <v/>
      </c>
      <c r="Y170" s="274"/>
      <c r="AR170" t="str">
        <f t="shared" si="29"/>
        <v/>
      </c>
      <c r="AS170" t="str">
        <f t="shared" si="30"/>
        <v/>
      </c>
    </row>
    <row r="171" spans="1:45">
      <c r="A171" s="291"/>
      <c r="B171" s="292"/>
      <c r="C171" s="293"/>
      <c r="D171" s="293"/>
      <c r="E171" s="293"/>
      <c r="F171" s="293"/>
      <c r="G171" s="294"/>
      <c r="H171" s="300"/>
      <c r="I171" s="295"/>
      <c r="J171" s="295"/>
      <c r="K171" s="296"/>
      <c r="L171" s="301"/>
      <c r="M171" s="297"/>
      <c r="N171" s="298"/>
      <c r="P171" s="190" t="str">
        <f>IF(R171 = "", "", COUNT(R$4:$R171))</f>
        <v/>
      </c>
      <c r="Q171" s="190" t="str">
        <f t="shared" si="21"/>
        <v/>
      </c>
      <c r="R171" s="191" t="str">
        <f t="shared" si="22"/>
        <v/>
      </c>
      <c r="S171" s="192" t="str">
        <f t="shared" si="24"/>
        <v/>
      </c>
      <c r="T171" s="193" t="str">
        <f t="shared" si="25"/>
        <v/>
      </c>
      <c r="U171" s="194" t="str">
        <f t="shared" si="26"/>
        <v/>
      </c>
      <c r="V171" s="195" t="str">
        <f t="shared" si="23"/>
        <v/>
      </c>
      <c r="W171" s="336" t="str">
        <f t="shared" si="27"/>
        <v/>
      </c>
      <c r="X171" s="338" t="str">
        <f t="shared" si="28"/>
        <v/>
      </c>
      <c r="Y171" s="274"/>
      <c r="AR171" t="str">
        <f t="shared" si="29"/>
        <v/>
      </c>
      <c r="AS171" t="str">
        <f t="shared" si="30"/>
        <v/>
      </c>
    </row>
    <row r="172" spans="1:45">
      <c r="A172" s="291"/>
      <c r="B172" s="292"/>
      <c r="C172" s="293"/>
      <c r="D172" s="293"/>
      <c r="E172" s="293"/>
      <c r="F172" s="293"/>
      <c r="G172" s="294"/>
      <c r="H172" s="300"/>
      <c r="I172" s="295"/>
      <c r="J172" s="295"/>
      <c r="K172" s="296"/>
      <c r="L172" s="301"/>
      <c r="M172" s="297"/>
      <c r="N172" s="298"/>
      <c r="P172" s="190" t="str">
        <f>IF(R172 = "", "", COUNT(R$4:$R172))</f>
        <v/>
      </c>
      <c r="Q172" s="190" t="str">
        <f t="shared" si="21"/>
        <v/>
      </c>
      <c r="R172" s="191" t="str">
        <f t="shared" si="22"/>
        <v/>
      </c>
      <c r="S172" s="192" t="str">
        <f t="shared" si="24"/>
        <v/>
      </c>
      <c r="T172" s="193" t="str">
        <f t="shared" si="25"/>
        <v/>
      </c>
      <c r="U172" s="194" t="str">
        <f t="shared" si="26"/>
        <v/>
      </c>
      <c r="V172" s="195" t="str">
        <f t="shared" si="23"/>
        <v/>
      </c>
      <c r="W172" s="336" t="str">
        <f t="shared" si="27"/>
        <v/>
      </c>
      <c r="X172" s="338" t="str">
        <f t="shared" si="28"/>
        <v/>
      </c>
      <c r="Y172" s="274"/>
      <c r="AR172" t="str">
        <f t="shared" si="29"/>
        <v/>
      </c>
      <c r="AS172" t="str">
        <f t="shared" si="30"/>
        <v/>
      </c>
    </row>
    <row r="173" spans="1:45">
      <c r="A173" s="291"/>
      <c r="B173" s="292"/>
      <c r="C173" s="293"/>
      <c r="D173" s="293"/>
      <c r="E173" s="293"/>
      <c r="F173" s="293"/>
      <c r="G173" s="294"/>
      <c r="H173" s="300"/>
      <c r="I173" s="295"/>
      <c r="J173" s="295"/>
      <c r="K173" s="296"/>
      <c r="L173" s="301"/>
      <c r="M173" s="297"/>
      <c r="N173" s="298"/>
      <c r="P173" s="190" t="str">
        <f>IF(R173 = "", "", COUNT(R$4:$R173))</f>
        <v/>
      </c>
      <c r="Q173" s="190" t="str">
        <f t="shared" si="21"/>
        <v/>
      </c>
      <c r="R173" s="191" t="str">
        <f t="shared" si="22"/>
        <v/>
      </c>
      <c r="S173" s="192" t="str">
        <f t="shared" si="24"/>
        <v/>
      </c>
      <c r="T173" s="193" t="str">
        <f t="shared" si="25"/>
        <v/>
      </c>
      <c r="U173" s="194" t="str">
        <f t="shared" si="26"/>
        <v/>
      </c>
      <c r="V173" s="195" t="str">
        <f t="shared" si="23"/>
        <v/>
      </c>
      <c r="W173" s="336" t="str">
        <f t="shared" si="27"/>
        <v/>
      </c>
      <c r="X173" s="338" t="str">
        <f t="shared" si="28"/>
        <v/>
      </c>
      <c r="Y173" s="274"/>
      <c r="AR173" t="str">
        <f t="shared" si="29"/>
        <v/>
      </c>
      <c r="AS173" t="str">
        <f t="shared" si="30"/>
        <v/>
      </c>
    </row>
    <row r="174" spans="1:45">
      <c r="A174" s="291"/>
      <c r="B174" s="292"/>
      <c r="C174" s="293"/>
      <c r="D174" s="293"/>
      <c r="E174" s="293"/>
      <c r="F174" s="293"/>
      <c r="G174" s="294"/>
      <c r="H174" s="300"/>
      <c r="I174" s="295"/>
      <c r="J174" s="295"/>
      <c r="K174" s="296"/>
      <c r="L174" s="301"/>
      <c r="M174" s="297"/>
      <c r="N174" s="298"/>
      <c r="P174" s="190" t="str">
        <f>IF(R174 = "", "", COUNT(R$4:$R174))</f>
        <v/>
      </c>
      <c r="Q174" s="190" t="str">
        <f t="shared" si="21"/>
        <v/>
      </c>
      <c r="R174" s="191" t="str">
        <f t="shared" si="22"/>
        <v/>
      </c>
      <c r="S174" s="192" t="str">
        <f t="shared" si="24"/>
        <v/>
      </c>
      <c r="T174" s="193" t="str">
        <f t="shared" si="25"/>
        <v/>
      </c>
      <c r="U174" s="194" t="str">
        <f t="shared" si="26"/>
        <v/>
      </c>
      <c r="V174" s="195" t="str">
        <f t="shared" si="23"/>
        <v/>
      </c>
      <c r="W174" s="336" t="str">
        <f t="shared" si="27"/>
        <v/>
      </c>
      <c r="X174" s="338" t="str">
        <f t="shared" si="28"/>
        <v/>
      </c>
      <c r="Y174" s="274"/>
      <c r="AR174" t="str">
        <f t="shared" si="29"/>
        <v/>
      </c>
      <c r="AS174" t="str">
        <f t="shared" si="30"/>
        <v/>
      </c>
    </row>
    <row r="175" spans="1:45">
      <c r="A175" s="291"/>
      <c r="B175" s="292"/>
      <c r="C175" s="293"/>
      <c r="D175" s="293"/>
      <c r="E175" s="293"/>
      <c r="F175" s="293"/>
      <c r="G175" s="294"/>
      <c r="H175" s="300"/>
      <c r="I175" s="295"/>
      <c r="J175" s="295"/>
      <c r="K175" s="296"/>
      <c r="L175" s="301"/>
      <c r="M175" s="297"/>
      <c r="N175" s="298"/>
      <c r="P175" s="190" t="str">
        <f>IF(R175 = "", "", COUNT(R$4:$R175))</f>
        <v/>
      </c>
      <c r="Q175" s="190" t="str">
        <f t="shared" si="21"/>
        <v/>
      </c>
      <c r="R175" s="191" t="str">
        <f t="shared" si="22"/>
        <v/>
      </c>
      <c r="S175" s="192" t="str">
        <f t="shared" si="24"/>
        <v/>
      </c>
      <c r="T175" s="193" t="str">
        <f t="shared" si="25"/>
        <v/>
      </c>
      <c r="U175" s="194" t="str">
        <f t="shared" si="26"/>
        <v/>
      </c>
      <c r="V175" s="195" t="str">
        <f t="shared" si="23"/>
        <v/>
      </c>
      <c r="W175" s="336" t="str">
        <f t="shared" si="27"/>
        <v/>
      </c>
      <c r="X175" s="338" t="str">
        <f t="shared" si="28"/>
        <v/>
      </c>
      <c r="Y175" s="274"/>
      <c r="AR175" t="str">
        <f t="shared" si="29"/>
        <v/>
      </c>
      <c r="AS175" t="str">
        <f t="shared" si="30"/>
        <v/>
      </c>
    </row>
    <row r="176" spans="1:45">
      <c r="A176" s="291"/>
      <c r="B176" s="292"/>
      <c r="C176" s="293"/>
      <c r="D176" s="293"/>
      <c r="E176" s="293"/>
      <c r="F176" s="293"/>
      <c r="G176" s="294"/>
      <c r="H176" s="300"/>
      <c r="I176" s="295"/>
      <c r="J176" s="295"/>
      <c r="K176" s="296"/>
      <c r="L176" s="301"/>
      <c r="M176" s="297"/>
      <c r="N176" s="298"/>
      <c r="P176" s="190" t="str">
        <f>IF(R176 = "", "", COUNT(R$4:$R176))</f>
        <v/>
      </c>
      <c r="Q176" s="190" t="str">
        <f t="shared" si="21"/>
        <v/>
      </c>
      <c r="R176" s="191" t="str">
        <f t="shared" si="22"/>
        <v/>
      </c>
      <c r="S176" s="192" t="str">
        <f t="shared" si="24"/>
        <v/>
      </c>
      <c r="T176" s="193" t="str">
        <f t="shared" si="25"/>
        <v/>
      </c>
      <c r="U176" s="194" t="str">
        <f t="shared" si="26"/>
        <v/>
      </c>
      <c r="V176" s="195" t="str">
        <f t="shared" si="23"/>
        <v/>
      </c>
      <c r="W176" s="336" t="str">
        <f t="shared" si="27"/>
        <v/>
      </c>
      <c r="X176" s="338" t="str">
        <f t="shared" si="28"/>
        <v/>
      </c>
      <c r="Y176" s="274"/>
      <c r="AR176" t="str">
        <f t="shared" si="29"/>
        <v/>
      </c>
      <c r="AS176" t="str">
        <f t="shared" si="30"/>
        <v/>
      </c>
    </row>
    <row r="177" spans="1:45">
      <c r="A177" s="291"/>
      <c r="B177" s="292"/>
      <c r="C177" s="293"/>
      <c r="D177" s="293"/>
      <c r="E177" s="293"/>
      <c r="F177" s="293"/>
      <c r="G177" s="294"/>
      <c r="H177" s="300"/>
      <c r="I177" s="295"/>
      <c r="J177" s="295"/>
      <c r="K177" s="296"/>
      <c r="L177" s="301"/>
      <c r="M177" s="297"/>
      <c r="N177" s="298"/>
      <c r="P177" s="190" t="str">
        <f>IF(R177 = "", "", COUNT(R$4:$R177))</f>
        <v/>
      </c>
      <c r="Q177" s="190" t="str">
        <f t="shared" si="21"/>
        <v/>
      </c>
      <c r="R177" s="191" t="str">
        <f t="shared" si="22"/>
        <v/>
      </c>
      <c r="S177" s="192" t="str">
        <f t="shared" si="24"/>
        <v/>
      </c>
      <c r="T177" s="193" t="str">
        <f t="shared" si="25"/>
        <v/>
      </c>
      <c r="U177" s="194" t="str">
        <f t="shared" si="26"/>
        <v/>
      </c>
      <c r="V177" s="195" t="str">
        <f t="shared" si="23"/>
        <v/>
      </c>
      <c r="W177" s="336" t="str">
        <f t="shared" si="27"/>
        <v/>
      </c>
      <c r="X177" s="338" t="str">
        <f t="shared" si="28"/>
        <v/>
      </c>
      <c r="Y177" s="274"/>
      <c r="AR177" t="str">
        <f t="shared" si="29"/>
        <v/>
      </c>
      <c r="AS177" t="str">
        <f t="shared" si="30"/>
        <v/>
      </c>
    </row>
    <row r="178" spans="1:45">
      <c r="A178" s="291"/>
      <c r="B178" s="292"/>
      <c r="C178" s="293"/>
      <c r="D178" s="293"/>
      <c r="E178" s="293"/>
      <c r="F178" s="293"/>
      <c r="G178" s="294"/>
      <c r="H178" s="300"/>
      <c r="I178" s="295"/>
      <c r="J178" s="295"/>
      <c r="K178" s="296"/>
      <c r="L178" s="301"/>
      <c r="M178" s="297"/>
      <c r="N178" s="298"/>
      <c r="P178" s="190" t="str">
        <f>IF(R178 = "", "", COUNT(R$4:$R178))</f>
        <v/>
      </c>
      <c r="Q178" s="190" t="str">
        <f t="shared" si="21"/>
        <v/>
      </c>
      <c r="R178" s="191" t="str">
        <f t="shared" si="22"/>
        <v/>
      </c>
      <c r="S178" s="192" t="str">
        <f t="shared" si="24"/>
        <v/>
      </c>
      <c r="T178" s="193" t="str">
        <f t="shared" si="25"/>
        <v/>
      </c>
      <c r="U178" s="194" t="str">
        <f t="shared" si="26"/>
        <v/>
      </c>
      <c r="V178" s="195" t="str">
        <f t="shared" si="23"/>
        <v/>
      </c>
      <c r="W178" s="336" t="str">
        <f t="shared" si="27"/>
        <v/>
      </c>
      <c r="X178" s="338" t="str">
        <f t="shared" si="28"/>
        <v/>
      </c>
      <c r="Y178" s="274"/>
      <c r="AR178" t="str">
        <f t="shared" si="29"/>
        <v/>
      </c>
      <c r="AS178" t="str">
        <f t="shared" si="30"/>
        <v/>
      </c>
    </row>
    <row r="179" spans="1:45">
      <c r="A179" s="291"/>
      <c r="B179" s="292"/>
      <c r="C179" s="293"/>
      <c r="D179" s="293"/>
      <c r="E179" s="293"/>
      <c r="F179" s="293"/>
      <c r="G179" s="294"/>
      <c r="H179" s="300"/>
      <c r="I179" s="295"/>
      <c r="J179" s="295"/>
      <c r="K179" s="296"/>
      <c r="L179" s="301"/>
      <c r="M179" s="297"/>
      <c r="N179" s="298"/>
      <c r="P179" s="190" t="str">
        <f>IF(R179 = "", "", COUNT(R$4:$R179))</f>
        <v/>
      </c>
      <c r="Q179" s="190" t="str">
        <f t="shared" si="21"/>
        <v/>
      </c>
      <c r="R179" s="191" t="str">
        <f t="shared" si="22"/>
        <v/>
      </c>
      <c r="S179" s="192" t="str">
        <f t="shared" si="24"/>
        <v/>
      </c>
      <c r="T179" s="193" t="str">
        <f t="shared" si="25"/>
        <v/>
      </c>
      <c r="U179" s="194" t="str">
        <f t="shared" si="26"/>
        <v/>
      </c>
      <c r="V179" s="195" t="str">
        <f t="shared" si="23"/>
        <v/>
      </c>
      <c r="W179" s="336" t="str">
        <f t="shared" si="27"/>
        <v/>
      </c>
      <c r="X179" s="338" t="str">
        <f t="shared" si="28"/>
        <v/>
      </c>
      <c r="Y179" s="274"/>
      <c r="AR179" t="str">
        <f t="shared" si="29"/>
        <v/>
      </c>
      <c r="AS179" t="str">
        <f t="shared" si="30"/>
        <v/>
      </c>
    </row>
    <row r="180" spans="1:45">
      <c r="A180" s="291"/>
      <c r="B180" s="292"/>
      <c r="C180" s="293"/>
      <c r="D180" s="293"/>
      <c r="E180" s="293"/>
      <c r="F180" s="293"/>
      <c r="G180" s="294"/>
      <c r="H180" s="300"/>
      <c r="I180" s="295"/>
      <c r="J180" s="295"/>
      <c r="K180" s="296"/>
      <c r="L180" s="301"/>
      <c r="M180" s="297"/>
      <c r="N180" s="298"/>
      <c r="P180" s="190" t="str">
        <f>IF(R180 = "", "", COUNT(R$4:$R180))</f>
        <v/>
      </c>
      <c r="Q180" s="190" t="str">
        <f t="shared" si="21"/>
        <v/>
      </c>
      <c r="R180" s="191" t="str">
        <f t="shared" si="22"/>
        <v/>
      </c>
      <c r="S180" s="192" t="str">
        <f t="shared" si="24"/>
        <v/>
      </c>
      <c r="T180" s="193" t="str">
        <f t="shared" si="25"/>
        <v/>
      </c>
      <c r="U180" s="194" t="str">
        <f t="shared" si="26"/>
        <v/>
      </c>
      <c r="V180" s="195" t="str">
        <f t="shared" si="23"/>
        <v/>
      </c>
      <c r="W180" s="336" t="str">
        <f t="shared" si="27"/>
        <v/>
      </c>
      <c r="X180" s="338" t="str">
        <f t="shared" si="28"/>
        <v/>
      </c>
      <c r="Y180" s="274"/>
      <c r="AR180" t="str">
        <f t="shared" si="29"/>
        <v/>
      </c>
      <c r="AS180" t="str">
        <f t="shared" si="30"/>
        <v/>
      </c>
    </row>
    <row r="181" spans="1:45">
      <c r="A181" s="291"/>
      <c r="B181" s="292"/>
      <c r="C181" s="293"/>
      <c r="D181" s="293"/>
      <c r="E181" s="293"/>
      <c r="F181" s="293"/>
      <c r="G181" s="294"/>
      <c r="H181" s="300"/>
      <c r="I181" s="295"/>
      <c r="J181" s="295"/>
      <c r="K181" s="296"/>
      <c r="L181" s="301"/>
      <c r="M181" s="297"/>
      <c r="N181" s="298"/>
      <c r="P181" s="190" t="str">
        <f>IF(R181 = "", "", COUNT(R$4:$R181))</f>
        <v/>
      </c>
      <c r="Q181" s="190" t="str">
        <f t="shared" si="21"/>
        <v/>
      </c>
      <c r="R181" s="191" t="str">
        <f t="shared" si="22"/>
        <v/>
      </c>
      <c r="S181" s="192" t="str">
        <f t="shared" si="24"/>
        <v/>
      </c>
      <c r="T181" s="193" t="str">
        <f t="shared" si="25"/>
        <v/>
      </c>
      <c r="U181" s="194" t="str">
        <f t="shared" si="26"/>
        <v/>
      </c>
      <c r="V181" s="195" t="str">
        <f t="shared" si="23"/>
        <v/>
      </c>
      <c r="W181" s="336" t="str">
        <f t="shared" si="27"/>
        <v/>
      </c>
      <c r="X181" s="338" t="str">
        <f t="shared" si="28"/>
        <v/>
      </c>
      <c r="Y181" s="274"/>
      <c r="AR181" t="str">
        <f t="shared" si="29"/>
        <v/>
      </c>
      <c r="AS181" t="str">
        <f t="shared" si="30"/>
        <v/>
      </c>
    </row>
    <row r="182" spans="1:45">
      <c r="A182" s="291"/>
      <c r="B182" s="292"/>
      <c r="C182" s="293"/>
      <c r="D182" s="293"/>
      <c r="E182" s="293"/>
      <c r="F182" s="293"/>
      <c r="G182" s="294"/>
      <c r="H182" s="300"/>
      <c r="I182" s="295"/>
      <c r="J182" s="295"/>
      <c r="K182" s="296"/>
      <c r="L182" s="301"/>
      <c r="M182" s="297"/>
      <c r="N182" s="298"/>
      <c r="P182" s="190" t="str">
        <f>IF(R182 = "", "", COUNT(R$4:$R182))</f>
        <v/>
      </c>
      <c r="Q182" s="190" t="str">
        <f t="shared" si="21"/>
        <v/>
      </c>
      <c r="R182" s="191" t="str">
        <f t="shared" si="22"/>
        <v/>
      </c>
      <c r="S182" s="192" t="str">
        <f t="shared" si="24"/>
        <v/>
      </c>
      <c r="T182" s="193" t="str">
        <f t="shared" si="25"/>
        <v/>
      </c>
      <c r="U182" s="194" t="str">
        <f t="shared" si="26"/>
        <v/>
      </c>
      <c r="V182" s="195" t="str">
        <f t="shared" si="23"/>
        <v/>
      </c>
      <c r="W182" s="336" t="str">
        <f t="shared" si="27"/>
        <v/>
      </c>
      <c r="X182" s="338" t="str">
        <f t="shared" si="28"/>
        <v/>
      </c>
      <c r="Y182" s="274"/>
      <c r="AR182" t="str">
        <f t="shared" si="29"/>
        <v/>
      </c>
      <c r="AS182" t="str">
        <f t="shared" si="30"/>
        <v/>
      </c>
    </row>
    <row r="183" spans="1:45">
      <c r="A183" s="291"/>
      <c r="B183" s="292"/>
      <c r="C183" s="293"/>
      <c r="D183" s="293"/>
      <c r="E183" s="293"/>
      <c r="F183" s="293"/>
      <c r="G183" s="294"/>
      <c r="H183" s="300"/>
      <c r="I183" s="295"/>
      <c r="J183" s="295"/>
      <c r="K183" s="296"/>
      <c r="L183" s="301"/>
      <c r="M183" s="297"/>
      <c r="N183" s="298"/>
      <c r="P183" s="190" t="str">
        <f>IF(R183 = "", "", COUNT(R$4:$R183))</f>
        <v/>
      </c>
      <c r="Q183" s="190" t="str">
        <f t="shared" si="21"/>
        <v/>
      </c>
      <c r="R183" s="191" t="str">
        <f t="shared" si="22"/>
        <v/>
      </c>
      <c r="S183" s="192" t="str">
        <f t="shared" si="24"/>
        <v/>
      </c>
      <c r="T183" s="193" t="str">
        <f t="shared" si="25"/>
        <v/>
      </c>
      <c r="U183" s="194" t="str">
        <f t="shared" si="26"/>
        <v/>
      </c>
      <c r="V183" s="195" t="str">
        <f t="shared" si="23"/>
        <v/>
      </c>
      <c r="W183" s="336" t="str">
        <f t="shared" si="27"/>
        <v/>
      </c>
      <c r="X183" s="338" t="str">
        <f t="shared" si="28"/>
        <v/>
      </c>
      <c r="Y183" s="274"/>
      <c r="AR183" t="str">
        <f t="shared" si="29"/>
        <v/>
      </c>
      <c r="AS183" t="str">
        <f t="shared" si="30"/>
        <v/>
      </c>
    </row>
    <row r="184" spans="1:45">
      <c r="A184" s="291"/>
      <c r="B184" s="292"/>
      <c r="C184" s="293"/>
      <c r="D184" s="293"/>
      <c r="E184" s="293"/>
      <c r="F184" s="293"/>
      <c r="G184" s="294"/>
      <c r="H184" s="300"/>
      <c r="I184" s="295"/>
      <c r="J184" s="295"/>
      <c r="K184" s="296"/>
      <c r="L184" s="301"/>
      <c r="M184" s="297"/>
      <c r="N184" s="298"/>
      <c r="P184" s="190" t="str">
        <f>IF(R184 = "", "", COUNT(R$4:$R184))</f>
        <v/>
      </c>
      <c r="Q184" s="190" t="str">
        <f t="shared" si="21"/>
        <v/>
      </c>
      <c r="R184" s="191" t="str">
        <f t="shared" si="22"/>
        <v/>
      </c>
      <c r="S184" s="192" t="str">
        <f t="shared" si="24"/>
        <v/>
      </c>
      <c r="T184" s="193" t="str">
        <f t="shared" si="25"/>
        <v/>
      </c>
      <c r="U184" s="194" t="str">
        <f t="shared" si="26"/>
        <v/>
      </c>
      <c r="V184" s="195" t="str">
        <f t="shared" si="23"/>
        <v/>
      </c>
      <c r="W184" s="336" t="str">
        <f t="shared" si="27"/>
        <v/>
      </c>
      <c r="X184" s="338" t="str">
        <f t="shared" si="28"/>
        <v/>
      </c>
      <c r="Y184" s="274"/>
      <c r="AR184" t="str">
        <f t="shared" si="29"/>
        <v/>
      </c>
      <c r="AS184" t="str">
        <f t="shared" si="30"/>
        <v/>
      </c>
    </row>
    <row r="185" spans="1:45">
      <c r="A185" s="291"/>
      <c r="B185" s="292"/>
      <c r="C185" s="293"/>
      <c r="D185" s="293"/>
      <c r="E185" s="293"/>
      <c r="F185" s="293"/>
      <c r="G185" s="294"/>
      <c r="H185" s="300"/>
      <c r="I185" s="295"/>
      <c r="J185" s="295"/>
      <c r="K185" s="296"/>
      <c r="L185" s="301"/>
      <c r="M185" s="297"/>
      <c r="N185" s="298"/>
      <c r="P185" s="190" t="str">
        <f>IF(R185 = "", "", COUNT(R$4:$R185))</f>
        <v/>
      </c>
      <c r="Q185" s="190" t="str">
        <f t="shared" si="21"/>
        <v/>
      </c>
      <c r="R185" s="191" t="str">
        <f t="shared" si="22"/>
        <v/>
      </c>
      <c r="S185" s="192" t="str">
        <f t="shared" si="24"/>
        <v/>
      </c>
      <c r="T185" s="193" t="str">
        <f t="shared" si="25"/>
        <v/>
      </c>
      <c r="U185" s="194" t="str">
        <f t="shared" si="26"/>
        <v/>
      </c>
      <c r="V185" s="195" t="str">
        <f t="shared" si="23"/>
        <v/>
      </c>
      <c r="W185" s="336" t="str">
        <f t="shared" si="27"/>
        <v/>
      </c>
      <c r="X185" s="338" t="str">
        <f t="shared" si="28"/>
        <v/>
      </c>
      <c r="Y185" s="274"/>
      <c r="AR185" t="str">
        <f t="shared" si="29"/>
        <v/>
      </c>
      <c r="AS185" t="str">
        <f t="shared" si="30"/>
        <v/>
      </c>
    </row>
    <row r="186" spans="1:45">
      <c r="A186" s="291"/>
      <c r="B186" s="292"/>
      <c r="C186" s="293"/>
      <c r="D186" s="293"/>
      <c r="E186" s="293"/>
      <c r="F186" s="293"/>
      <c r="G186" s="294"/>
      <c r="H186" s="300"/>
      <c r="I186" s="295"/>
      <c r="J186" s="295"/>
      <c r="K186" s="296"/>
      <c r="L186" s="301"/>
      <c r="M186" s="297"/>
      <c r="N186" s="298"/>
      <c r="P186" s="190" t="str">
        <f>IF(R186 = "", "", COUNT(R$4:$R186))</f>
        <v/>
      </c>
      <c r="Q186" s="190" t="str">
        <f t="shared" si="21"/>
        <v/>
      </c>
      <c r="R186" s="191" t="str">
        <f t="shared" si="22"/>
        <v/>
      </c>
      <c r="S186" s="192" t="str">
        <f t="shared" si="24"/>
        <v/>
      </c>
      <c r="T186" s="193" t="str">
        <f t="shared" si="25"/>
        <v/>
      </c>
      <c r="U186" s="194" t="str">
        <f t="shared" si="26"/>
        <v/>
      </c>
      <c r="V186" s="195" t="str">
        <f t="shared" si="23"/>
        <v/>
      </c>
      <c r="W186" s="336" t="str">
        <f t="shared" si="27"/>
        <v/>
      </c>
      <c r="X186" s="338" t="str">
        <f t="shared" si="28"/>
        <v/>
      </c>
      <c r="Y186" s="274"/>
      <c r="AR186" t="str">
        <f t="shared" si="29"/>
        <v/>
      </c>
      <c r="AS186" t="str">
        <f t="shared" si="30"/>
        <v/>
      </c>
    </row>
    <row r="187" spans="1:45">
      <c r="A187" s="291"/>
      <c r="B187" s="292"/>
      <c r="C187" s="293"/>
      <c r="D187" s="293"/>
      <c r="E187" s="293"/>
      <c r="F187" s="293"/>
      <c r="G187" s="294"/>
      <c r="H187" s="300"/>
      <c r="I187" s="295"/>
      <c r="J187" s="295"/>
      <c r="K187" s="296"/>
      <c r="L187" s="301"/>
      <c r="M187" s="297"/>
      <c r="N187" s="298"/>
      <c r="P187" s="190" t="str">
        <f>IF(R187 = "", "", COUNT(R$4:$R187))</f>
        <v/>
      </c>
      <c r="Q187" s="190" t="str">
        <f t="shared" si="21"/>
        <v/>
      </c>
      <c r="R187" s="191" t="str">
        <f t="shared" si="22"/>
        <v/>
      </c>
      <c r="S187" s="192" t="str">
        <f t="shared" si="24"/>
        <v/>
      </c>
      <c r="T187" s="193" t="str">
        <f t="shared" si="25"/>
        <v/>
      </c>
      <c r="U187" s="194" t="str">
        <f t="shared" si="26"/>
        <v/>
      </c>
      <c r="V187" s="195" t="str">
        <f t="shared" si="23"/>
        <v/>
      </c>
      <c r="W187" s="336" t="str">
        <f t="shared" si="27"/>
        <v/>
      </c>
      <c r="X187" s="338" t="str">
        <f t="shared" si="28"/>
        <v/>
      </c>
      <c r="Y187" s="274"/>
      <c r="AR187" t="str">
        <f t="shared" si="29"/>
        <v/>
      </c>
      <c r="AS187" t="str">
        <f t="shared" si="30"/>
        <v/>
      </c>
    </row>
    <row r="188" spans="1:45">
      <c r="A188" s="291"/>
      <c r="B188" s="292"/>
      <c r="C188" s="293"/>
      <c r="D188" s="293"/>
      <c r="E188" s="293"/>
      <c r="F188" s="293"/>
      <c r="G188" s="294"/>
      <c r="H188" s="300"/>
      <c r="I188" s="295"/>
      <c r="J188" s="295"/>
      <c r="K188" s="296"/>
      <c r="L188" s="301"/>
      <c r="M188" s="297"/>
      <c r="N188" s="298"/>
      <c r="P188" s="190" t="str">
        <f>IF(R188 = "", "", COUNT(R$4:$R188))</f>
        <v/>
      </c>
      <c r="Q188" s="190" t="str">
        <f t="shared" si="21"/>
        <v/>
      </c>
      <c r="R188" s="191" t="str">
        <f t="shared" si="22"/>
        <v/>
      </c>
      <c r="S188" s="192" t="str">
        <f t="shared" si="24"/>
        <v/>
      </c>
      <c r="T188" s="193" t="str">
        <f t="shared" si="25"/>
        <v/>
      </c>
      <c r="U188" s="194" t="str">
        <f t="shared" si="26"/>
        <v/>
      </c>
      <c r="V188" s="195" t="str">
        <f t="shared" si="23"/>
        <v/>
      </c>
      <c r="W188" s="336" t="str">
        <f t="shared" si="27"/>
        <v/>
      </c>
      <c r="X188" s="338" t="str">
        <f t="shared" si="28"/>
        <v/>
      </c>
      <c r="Y188" s="274"/>
      <c r="AR188" t="str">
        <f t="shared" si="29"/>
        <v/>
      </c>
      <c r="AS188" t="str">
        <f t="shared" si="30"/>
        <v/>
      </c>
    </row>
    <row r="189" spans="1:45">
      <c r="A189" s="291"/>
      <c r="B189" s="292"/>
      <c r="C189" s="293"/>
      <c r="D189" s="293"/>
      <c r="E189" s="293"/>
      <c r="F189" s="293"/>
      <c r="G189" s="294"/>
      <c r="H189" s="300"/>
      <c r="I189" s="295"/>
      <c r="J189" s="295"/>
      <c r="K189" s="296"/>
      <c r="L189" s="301"/>
      <c r="M189" s="297"/>
      <c r="N189" s="298"/>
      <c r="P189" s="190" t="str">
        <f>IF(R189 = "", "", COUNT(R$4:$R189))</f>
        <v/>
      </c>
      <c r="Q189" s="190" t="str">
        <f t="shared" si="21"/>
        <v/>
      </c>
      <c r="R189" s="191" t="str">
        <f t="shared" si="22"/>
        <v/>
      </c>
      <c r="S189" s="192" t="str">
        <f t="shared" si="24"/>
        <v/>
      </c>
      <c r="T189" s="193" t="str">
        <f t="shared" si="25"/>
        <v/>
      </c>
      <c r="U189" s="194" t="str">
        <f t="shared" si="26"/>
        <v/>
      </c>
      <c r="V189" s="195" t="str">
        <f t="shared" si="23"/>
        <v/>
      </c>
      <c r="W189" s="336" t="str">
        <f t="shared" si="27"/>
        <v/>
      </c>
      <c r="X189" s="338" t="str">
        <f t="shared" si="28"/>
        <v/>
      </c>
      <c r="Y189" s="274"/>
      <c r="AR189" t="str">
        <f t="shared" si="29"/>
        <v/>
      </c>
      <c r="AS189" t="str">
        <f t="shared" si="30"/>
        <v/>
      </c>
    </row>
    <row r="190" spans="1:45">
      <c r="A190" s="291"/>
      <c r="B190" s="292"/>
      <c r="C190" s="293"/>
      <c r="D190" s="293"/>
      <c r="E190" s="293"/>
      <c r="F190" s="293"/>
      <c r="G190" s="294"/>
      <c r="H190" s="300"/>
      <c r="I190" s="295"/>
      <c r="J190" s="295"/>
      <c r="K190" s="296"/>
      <c r="L190" s="301"/>
      <c r="M190" s="297"/>
      <c r="N190" s="298"/>
      <c r="P190" s="190" t="str">
        <f>IF(R190 = "", "", COUNT(R$4:$R190))</f>
        <v/>
      </c>
      <c r="Q190" s="190" t="str">
        <f t="shared" si="21"/>
        <v/>
      </c>
      <c r="R190" s="191" t="str">
        <f t="shared" si="22"/>
        <v/>
      </c>
      <c r="S190" s="192" t="str">
        <f t="shared" si="24"/>
        <v/>
      </c>
      <c r="T190" s="193" t="str">
        <f t="shared" si="25"/>
        <v/>
      </c>
      <c r="U190" s="194" t="str">
        <f t="shared" si="26"/>
        <v/>
      </c>
      <c r="V190" s="195" t="str">
        <f t="shared" si="23"/>
        <v/>
      </c>
      <c r="W190" s="336" t="str">
        <f t="shared" si="27"/>
        <v/>
      </c>
      <c r="X190" s="338" t="str">
        <f t="shared" si="28"/>
        <v/>
      </c>
      <c r="Y190" s="274"/>
      <c r="AR190" t="str">
        <f t="shared" si="29"/>
        <v/>
      </c>
      <c r="AS190" t="str">
        <f t="shared" si="30"/>
        <v/>
      </c>
    </row>
    <row r="191" spans="1:45">
      <c r="A191" s="291"/>
      <c r="B191" s="292"/>
      <c r="C191" s="293"/>
      <c r="D191" s="293"/>
      <c r="E191" s="293"/>
      <c r="F191" s="293"/>
      <c r="G191" s="294"/>
      <c r="H191" s="300"/>
      <c r="I191" s="295"/>
      <c r="J191" s="295"/>
      <c r="K191" s="296"/>
      <c r="L191" s="301"/>
      <c r="M191" s="297"/>
      <c r="N191" s="298"/>
      <c r="P191" s="190" t="str">
        <f>IF(R191 = "", "", COUNT(R$4:$R191))</f>
        <v/>
      </c>
      <c r="Q191" s="190" t="str">
        <f t="shared" si="21"/>
        <v/>
      </c>
      <c r="R191" s="191" t="str">
        <f t="shared" si="22"/>
        <v/>
      </c>
      <c r="S191" s="192" t="str">
        <f t="shared" si="24"/>
        <v/>
      </c>
      <c r="T191" s="193" t="str">
        <f t="shared" si="25"/>
        <v/>
      </c>
      <c r="U191" s="194" t="str">
        <f t="shared" si="26"/>
        <v/>
      </c>
      <c r="V191" s="195" t="str">
        <f t="shared" si="23"/>
        <v/>
      </c>
      <c r="W191" s="336" t="str">
        <f t="shared" si="27"/>
        <v/>
      </c>
      <c r="X191" s="338" t="str">
        <f t="shared" si="28"/>
        <v/>
      </c>
      <c r="Y191" s="274"/>
      <c r="AR191" t="str">
        <f t="shared" si="29"/>
        <v/>
      </c>
      <c r="AS191" t="str">
        <f t="shared" si="30"/>
        <v/>
      </c>
    </row>
    <row r="192" spans="1:45">
      <c r="A192" s="291"/>
      <c r="B192" s="292"/>
      <c r="C192" s="293"/>
      <c r="D192" s="293"/>
      <c r="E192" s="293"/>
      <c r="F192" s="293"/>
      <c r="G192" s="294"/>
      <c r="H192" s="300"/>
      <c r="I192" s="295"/>
      <c r="J192" s="295"/>
      <c r="K192" s="296"/>
      <c r="L192" s="301"/>
      <c r="M192" s="297"/>
      <c r="N192" s="298"/>
      <c r="P192" s="190" t="str">
        <f>IF(R192 = "", "", COUNT(R$4:$R192))</f>
        <v/>
      </c>
      <c r="Q192" s="190" t="str">
        <f t="shared" si="21"/>
        <v/>
      </c>
      <c r="R192" s="191" t="str">
        <f t="shared" si="22"/>
        <v/>
      </c>
      <c r="S192" s="192" t="str">
        <f t="shared" si="24"/>
        <v/>
      </c>
      <c r="T192" s="193" t="str">
        <f t="shared" si="25"/>
        <v/>
      </c>
      <c r="U192" s="194" t="str">
        <f t="shared" si="26"/>
        <v/>
      </c>
      <c r="V192" s="195" t="str">
        <f t="shared" si="23"/>
        <v/>
      </c>
      <c r="W192" s="336" t="str">
        <f t="shared" si="27"/>
        <v/>
      </c>
      <c r="X192" s="338" t="str">
        <f t="shared" si="28"/>
        <v/>
      </c>
      <c r="Y192" s="274"/>
      <c r="AR192" t="str">
        <f t="shared" si="29"/>
        <v/>
      </c>
      <c r="AS192" t="str">
        <f t="shared" si="30"/>
        <v/>
      </c>
    </row>
    <row r="193" spans="1:45">
      <c r="A193" s="291"/>
      <c r="B193" s="292"/>
      <c r="C193" s="293"/>
      <c r="D193" s="293"/>
      <c r="E193" s="293"/>
      <c r="F193" s="293"/>
      <c r="G193" s="294"/>
      <c r="H193" s="300"/>
      <c r="I193" s="295"/>
      <c r="J193" s="295"/>
      <c r="K193" s="296"/>
      <c r="L193" s="301"/>
      <c r="M193" s="297"/>
      <c r="N193" s="298"/>
      <c r="P193" s="190" t="str">
        <f>IF(R193 = "", "", COUNT(R$4:$R193))</f>
        <v/>
      </c>
      <c r="Q193" s="190" t="str">
        <f t="shared" si="21"/>
        <v/>
      </c>
      <c r="R193" s="191" t="str">
        <f t="shared" si="22"/>
        <v/>
      </c>
      <c r="S193" s="192" t="str">
        <f t="shared" si="24"/>
        <v/>
      </c>
      <c r="T193" s="193" t="str">
        <f t="shared" si="25"/>
        <v/>
      </c>
      <c r="U193" s="194" t="str">
        <f t="shared" si="26"/>
        <v/>
      </c>
      <c r="V193" s="195" t="str">
        <f t="shared" si="23"/>
        <v/>
      </c>
      <c r="W193" s="336" t="str">
        <f t="shared" si="27"/>
        <v/>
      </c>
      <c r="X193" s="338" t="str">
        <f t="shared" si="28"/>
        <v/>
      </c>
      <c r="Y193" s="274"/>
      <c r="AR193" t="str">
        <f t="shared" si="29"/>
        <v/>
      </c>
      <c r="AS193" t="str">
        <f t="shared" si="30"/>
        <v/>
      </c>
    </row>
    <row r="194" spans="1:45">
      <c r="A194" s="291"/>
      <c r="B194" s="292"/>
      <c r="C194" s="293"/>
      <c r="D194" s="293"/>
      <c r="E194" s="293"/>
      <c r="F194" s="293"/>
      <c r="G194" s="294"/>
      <c r="H194" s="300"/>
      <c r="I194" s="295"/>
      <c r="J194" s="295"/>
      <c r="K194" s="296"/>
      <c r="L194" s="301"/>
      <c r="M194" s="297"/>
      <c r="N194" s="298"/>
      <c r="P194" s="190" t="str">
        <f>IF(R194 = "", "", COUNT(R$4:$R194))</f>
        <v/>
      </c>
      <c r="Q194" s="190" t="str">
        <f t="shared" si="21"/>
        <v/>
      </c>
      <c r="R194" s="191" t="str">
        <f t="shared" si="22"/>
        <v/>
      </c>
      <c r="S194" s="192" t="str">
        <f t="shared" si="24"/>
        <v/>
      </c>
      <c r="T194" s="193" t="str">
        <f t="shared" si="25"/>
        <v/>
      </c>
      <c r="U194" s="194" t="str">
        <f t="shared" si="26"/>
        <v/>
      </c>
      <c r="V194" s="195" t="str">
        <f t="shared" si="23"/>
        <v/>
      </c>
      <c r="W194" s="336" t="str">
        <f t="shared" si="27"/>
        <v/>
      </c>
      <c r="X194" s="338" t="str">
        <f t="shared" si="28"/>
        <v/>
      </c>
      <c r="Y194" s="274"/>
      <c r="AR194" t="str">
        <f t="shared" si="29"/>
        <v/>
      </c>
      <c r="AS194" t="str">
        <f t="shared" si="30"/>
        <v/>
      </c>
    </row>
    <row r="195" spans="1:45">
      <c r="A195" s="291"/>
      <c r="B195" s="292"/>
      <c r="C195" s="293"/>
      <c r="D195" s="293"/>
      <c r="E195" s="293"/>
      <c r="F195" s="293"/>
      <c r="G195" s="294"/>
      <c r="H195" s="300"/>
      <c r="I195" s="295"/>
      <c r="J195" s="295"/>
      <c r="K195" s="296"/>
      <c r="L195" s="301"/>
      <c r="M195" s="297"/>
      <c r="N195" s="298"/>
      <c r="P195" s="190" t="str">
        <f>IF(R195 = "", "", COUNT(R$4:$R195))</f>
        <v/>
      </c>
      <c r="Q195" s="190" t="str">
        <f t="shared" si="21"/>
        <v/>
      </c>
      <c r="R195" s="191" t="str">
        <f t="shared" si="22"/>
        <v/>
      </c>
      <c r="S195" s="192" t="str">
        <f t="shared" si="24"/>
        <v/>
      </c>
      <c r="T195" s="193" t="str">
        <f t="shared" si="25"/>
        <v/>
      </c>
      <c r="U195" s="194" t="str">
        <f t="shared" si="26"/>
        <v/>
      </c>
      <c r="V195" s="195" t="str">
        <f t="shared" si="23"/>
        <v/>
      </c>
      <c r="W195" s="336" t="str">
        <f t="shared" si="27"/>
        <v/>
      </c>
      <c r="X195" s="338" t="str">
        <f t="shared" si="28"/>
        <v/>
      </c>
      <c r="Y195" s="274"/>
      <c r="AR195" t="str">
        <f t="shared" si="29"/>
        <v/>
      </c>
      <c r="AS195" t="str">
        <f t="shared" si="30"/>
        <v/>
      </c>
    </row>
    <row r="196" spans="1:45">
      <c r="A196" s="291"/>
      <c r="B196" s="292"/>
      <c r="C196" s="293"/>
      <c r="D196" s="293"/>
      <c r="E196" s="293"/>
      <c r="F196" s="293"/>
      <c r="G196" s="294"/>
      <c r="H196" s="300"/>
      <c r="I196" s="295"/>
      <c r="J196" s="295"/>
      <c r="K196" s="296"/>
      <c r="L196" s="301"/>
      <c r="M196" s="297"/>
      <c r="N196" s="298"/>
      <c r="P196" s="190" t="str">
        <f>IF(R196 = "", "", COUNT(R$4:$R196))</f>
        <v/>
      </c>
      <c r="Q196" s="190" t="str">
        <f t="shared" ref="Q196:Q259" si="31">IF(C196 &gt; 0, YEAR(B196), "")</f>
        <v/>
      </c>
      <c r="R196" s="191" t="str">
        <f t="shared" ref="R196:R259" si="32">IF(A196="", "", IF(G196="",1,IF(G196="O",1,IF(G196="C",8.4,IF(G196="B",8.4,IF(G196="A",76.8,IF(G196="K",76.8,"ERR")))))))</f>
        <v/>
      </c>
      <c r="S196" s="192" t="str">
        <f t="shared" si="24"/>
        <v/>
      </c>
      <c r="T196" s="193" t="str">
        <f t="shared" si="25"/>
        <v/>
      </c>
      <c r="U196" s="194" t="str">
        <f t="shared" si="26"/>
        <v/>
      </c>
      <c r="V196" s="195" t="str">
        <f t="shared" ref="V196:V259" si="33">IF(IF(M196&lt;&gt;"",G196,"")=0, "O", IF(M196&lt;&gt;"",G196,""))</f>
        <v/>
      </c>
      <c r="W196" s="336" t="str">
        <f t="shared" si="27"/>
        <v/>
      </c>
      <c r="X196" s="338" t="str">
        <f t="shared" si="28"/>
        <v/>
      </c>
      <c r="Y196" s="274"/>
      <c r="AR196" t="str">
        <f t="shared" si="29"/>
        <v/>
      </c>
      <c r="AS196" t="str">
        <f t="shared" si="30"/>
        <v/>
      </c>
    </row>
    <row r="197" spans="1:45">
      <c r="A197" s="291"/>
      <c r="B197" s="292"/>
      <c r="C197" s="293"/>
      <c r="D197" s="293"/>
      <c r="E197" s="293"/>
      <c r="F197" s="293"/>
      <c r="G197" s="294"/>
      <c r="H197" s="300"/>
      <c r="I197" s="295"/>
      <c r="J197" s="295"/>
      <c r="K197" s="296"/>
      <c r="L197" s="301"/>
      <c r="M197" s="297"/>
      <c r="N197" s="298"/>
      <c r="P197" s="190" t="str">
        <f>IF(R197 = "", "", COUNT(R$4:$R197))</f>
        <v/>
      </c>
      <c r="Q197" s="190" t="str">
        <f t="shared" si="31"/>
        <v/>
      </c>
      <c r="R197" s="191" t="str">
        <f t="shared" si="32"/>
        <v/>
      </c>
      <c r="S197" s="192" t="str">
        <f t="shared" ref="S197:S260" si="34">IF(L197&lt;&gt;"",R197,"")</f>
        <v/>
      </c>
      <c r="T197" s="193" t="str">
        <f t="shared" ref="T197:T260" si="35">IF(IF(L197&lt;&gt;"",G197,"")=0, "O", IF(L197&lt;&gt;"",G197,""))</f>
        <v/>
      </c>
      <c r="U197" s="194" t="str">
        <f t="shared" ref="U197:U260" si="36">IF(M197&lt;&gt;"",R197,"")</f>
        <v/>
      </c>
      <c r="V197" s="195" t="str">
        <f t="shared" si="33"/>
        <v/>
      </c>
      <c r="W197" s="336" t="str">
        <f t="shared" ref="W197:W260" si="37">IF(N197&lt;&gt;"",R197,"")</f>
        <v/>
      </c>
      <c r="X197" s="338" t="str">
        <f t="shared" ref="X197:X260" si="38">IF(IF(N197&lt;&gt;"",G197,"")=0, "O", IF(N197&lt;&gt;"",G197,""))</f>
        <v/>
      </c>
      <c r="Y197" s="274"/>
      <c r="AR197" t="str">
        <f t="shared" ref="AR197:AR260" si="39">IF(P197&gt;0, P197, "")</f>
        <v/>
      </c>
      <c r="AS197" t="str">
        <f t="shared" ref="AS197:AS260" si="40">IF(OR(L197="Y",M197="Y",N197="Y"),"Y","")</f>
        <v/>
      </c>
    </row>
    <row r="198" spans="1:45">
      <c r="A198" s="291"/>
      <c r="B198" s="292"/>
      <c r="C198" s="293"/>
      <c r="D198" s="293"/>
      <c r="E198" s="293"/>
      <c r="F198" s="293"/>
      <c r="G198" s="294"/>
      <c r="H198" s="300"/>
      <c r="I198" s="295"/>
      <c r="J198" s="295"/>
      <c r="K198" s="296"/>
      <c r="L198" s="301"/>
      <c r="M198" s="297"/>
      <c r="N198" s="298"/>
      <c r="P198" s="190" t="str">
        <f>IF(R198 = "", "", COUNT(R$4:$R198))</f>
        <v/>
      </c>
      <c r="Q198" s="190" t="str">
        <f t="shared" si="31"/>
        <v/>
      </c>
      <c r="R198" s="191" t="str">
        <f t="shared" si="32"/>
        <v/>
      </c>
      <c r="S198" s="192" t="str">
        <f t="shared" si="34"/>
        <v/>
      </c>
      <c r="T198" s="193" t="str">
        <f t="shared" si="35"/>
        <v/>
      </c>
      <c r="U198" s="194" t="str">
        <f t="shared" si="36"/>
        <v/>
      </c>
      <c r="V198" s="195" t="str">
        <f t="shared" si="33"/>
        <v/>
      </c>
      <c r="W198" s="336" t="str">
        <f t="shared" si="37"/>
        <v/>
      </c>
      <c r="X198" s="338" t="str">
        <f t="shared" si="38"/>
        <v/>
      </c>
      <c r="Y198" s="274"/>
      <c r="AR198" t="str">
        <f t="shared" si="39"/>
        <v/>
      </c>
      <c r="AS198" t="str">
        <f t="shared" si="40"/>
        <v/>
      </c>
    </row>
    <row r="199" spans="1:45">
      <c r="A199" s="291"/>
      <c r="B199" s="292"/>
      <c r="C199" s="293"/>
      <c r="D199" s="293"/>
      <c r="E199" s="293"/>
      <c r="F199" s="293"/>
      <c r="G199" s="294"/>
      <c r="H199" s="300"/>
      <c r="I199" s="295"/>
      <c r="J199" s="295"/>
      <c r="K199" s="296"/>
      <c r="L199" s="301"/>
      <c r="M199" s="297"/>
      <c r="N199" s="298"/>
      <c r="P199" s="190" t="str">
        <f>IF(R199 = "", "", COUNT(R$4:$R199))</f>
        <v/>
      </c>
      <c r="Q199" s="190" t="str">
        <f t="shared" si="31"/>
        <v/>
      </c>
      <c r="R199" s="191" t="str">
        <f t="shared" si="32"/>
        <v/>
      </c>
      <c r="S199" s="192" t="str">
        <f t="shared" si="34"/>
        <v/>
      </c>
      <c r="T199" s="193" t="str">
        <f t="shared" si="35"/>
        <v/>
      </c>
      <c r="U199" s="194" t="str">
        <f t="shared" si="36"/>
        <v/>
      </c>
      <c r="V199" s="195" t="str">
        <f t="shared" si="33"/>
        <v/>
      </c>
      <c r="W199" s="336" t="str">
        <f t="shared" si="37"/>
        <v/>
      </c>
      <c r="X199" s="338" t="str">
        <f t="shared" si="38"/>
        <v/>
      </c>
      <c r="Y199" s="274"/>
      <c r="AR199" t="str">
        <f t="shared" si="39"/>
        <v/>
      </c>
      <c r="AS199" t="str">
        <f t="shared" si="40"/>
        <v/>
      </c>
    </row>
    <row r="200" spans="1:45">
      <c r="A200" s="291"/>
      <c r="B200" s="292"/>
      <c r="C200" s="293"/>
      <c r="D200" s="293"/>
      <c r="E200" s="293"/>
      <c r="F200" s="293"/>
      <c r="G200" s="294"/>
      <c r="H200" s="300"/>
      <c r="I200" s="295"/>
      <c r="J200" s="295"/>
      <c r="K200" s="296"/>
      <c r="L200" s="301"/>
      <c r="M200" s="297"/>
      <c r="N200" s="298"/>
      <c r="P200" s="190" t="str">
        <f>IF(R200 = "", "", COUNT(R$4:$R200))</f>
        <v/>
      </c>
      <c r="Q200" s="190" t="str">
        <f t="shared" si="31"/>
        <v/>
      </c>
      <c r="R200" s="191" t="str">
        <f t="shared" si="32"/>
        <v/>
      </c>
      <c r="S200" s="192" t="str">
        <f t="shared" si="34"/>
        <v/>
      </c>
      <c r="T200" s="193" t="str">
        <f t="shared" si="35"/>
        <v/>
      </c>
      <c r="U200" s="194" t="str">
        <f t="shared" si="36"/>
        <v/>
      </c>
      <c r="V200" s="195" t="str">
        <f t="shared" si="33"/>
        <v/>
      </c>
      <c r="W200" s="336" t="str">
        <f t="shared" si="37"/>
        <v/>
      </c>
      <c r="X200" s="338" t="str">
        <f t="shared" si="38"/>
        <v/>
      </c>
      <c r="Y200" s="274"/>
      <c r="AR200" t="str">
        <f t="shared" si="39"/>
        <v/>
      </c>
      <c r="AS200" t="str">
        <f t="shared" si="40"/>
        <v/>
      </c>
    </row>
    <row r="201" spans="1:45">
      <c r="A201" s="291"/>
      <c r="B201" s="292"/>
      <c r="C201" s="293"/>
      <c r="D201" s="293"/>
      <c r="E201" s="293"/>
      <c r="F201" s="293"/>
      <c r="G201" s="294"/>
      <c r="H201" s="300"/>
      <c r="I201" s="295"/>
      <c r="J201" s="295"/>
      <c r="K201" s="296"/>
      <c r="L201" s="301"/>
      <c r="M201" s="297"/>
      <c r="N201" s="298"/>
      <c r="P201" s="190" t="str">
        <f>IF(R201 = "", "", COUNT(R$4:$R201))</f>
        <v/>
      </c>
      <c r="Q201" s="190" t="str">
        <f t="shared" si="31"/>
        <v/>
      </c>
      <c r="R201" s="191" t="str">
        <f t="shared" si="32"/>
        <v/>
      </c>
      <c r="S201" s="192" t="str">
        <f t="shared" si="34"/>
        <v/>
      </c>
      <c r="T201" s="193" t="str">
        <f t="shared" si="35"/>
        <v/>
      </c>
      <c r="U201" s="194" t="str">
        <f t="shared" si="36"/>
        <v/>
      </c>
      <c r="V201" s="195" t="str">
        <f t="shared" si="33"/>
        <v/>
      </c>
      <c r="W201" s="336" t="str">
        <f t="shared" si="37"/>
        <v/>
      </c>
      <c r="X201" s="338" t="str">
        <f t="shared" si="38"/>
        <v/>
      </c>
      <c r="Y201" s="274"/>
      <c r="AR201" t="str">
        <f t="shared" si="39"/>
        <v/>
      </c>
      <c r="AS201" t="str">
        <f t="shared" si="40"/>
        <v/>
      </c>
    </row>
    <row r="202" spans="1:45">
      <c r="A202" s="291"/>
      <c r="B202" s="292"/>
      <c r="C202" s="293"/>
      <c r="D202" s="293"/>
      <c r="E202" s="293"/>
      <c r="F202" s="293"/>
      <c r="G202" s="294"/>
      <c r="H202" s="300"/>
      <c r="I202" s="295"/>
      <c r="J202" s="295"/>
      <c r="K202" s="296"/>
      <c r="L202" s="301"/>
      <c r="M202" s="297"/>
      <c r="N202" s="298"/>
      <c r="P202" s="190" t="str">
        <f>IF(R202 = "", "", COUNT(R$4:$R202))</f>
        <v/>
      </c>
      <c r="Q202" s="190" t="str">
        <f t="shared" si="31"/>
        <v/>
      </c>
      <c r="R202" s="191" t="str">
        <f t="shared" si="32"/>
        <v/>
      </c>
      <c r="S202" s="192" t="str">
        <f t="shared" si="34"/>
        <v/>
      </c>
      <c r="T202" s="193" t="str">
        <f t="shared" si="35"/>
        <v/>
      </c>
      <c r="U202" s="194" t="str">
        <f t="shared" si="36"/>
        <v/>
      </c>
      <c r="V202" s="195" t="str">
        <f t="shared" si="33"/>
        <v/>
      </c>
      <c r="W202" s="336" t="str">
        <f t="shared" si="37"/>
        <v/>
      </c>
      <c r="X202" s="338" t="str">
        <f t="shared" si="38"/>
        <v/>
      </c>
      <c r="Y202" s="274"/>
      <c r="AR202" t="str">
        <f t="shared" si="39"/>
        <v/>
      </c>
      <c r="AS202" t="str">
        <f t="shared" si="40"/>
        <v/>
      </c>
    </row>
    <row r="203" spans="1:45">
      <c r="A203" s="291"/>
      <c r="B203" s="292"/>
      <c r="C203" s="293"/>
      <c r="D203" s="293"/>
      <c r="E203" s="293"/>
      <c r="F203" s="293"/>
      <c r="G203" s="294"/>
      <c r="H203" s="300"/>
      <c r="I203" s="295"/>
      <c r="J203" s="295"/>
      <c r="K203" s="296"/>
      <c r="L203" s="301"/>
      <c r="M203" s="297"/>
      <c r="N203" s="298"/>
      <c r="P203" s="190" t="str">
        <f>IF(R203 = "", "", COUNT(R$4:$R203))</f>
        <v/>
      </c>
      <c r="Q203" s="190" t="str">
        <f t="shared" si="31"/>
        <v/>
      </c>
      <c r="R203" s="191" t="str">
        <f t="shared" si="32"/>
        <v/>
      </c>
      <c r="S203" s="192" t="str">
        <f t="shared" si="34"/>
        <v/>
      </c>
      <c r="T203" s="193" t="str">
        <f t="shared" si="35"/>
        <v/>
      </c>
      <c r="U203" s="194" t="str">
        <f t="shared" si="36"/>
        <v/>
      </c>
      <c r="V203" s="195" t="str">
        <f t="shared" si="33"/>
        <v/>
      </c>
      <c r="W203" s="336" t="str">
        <f t="shared" si="37"/>
        <v/>
      </c>
      <c r="X203" s="338" t="str">
        <f t="shared" si="38"/>
        <v/>
      </c>
      <c r="Y203" s="274"/>
      <c r="AR203" t="str">
        <f t="shared" si="39"/>
        <v/>
      </c>
      <c r="AS203" t="str">
        <f t="shared" si="40"/>
        <v/>
      </c>
    </row>
    <row r="204" spans="1:45">
      <c r="A204" s="291"/>
      <c r="B204" s="292"/>
      <c r="C204" s="293"/>
      <c r="D204" s="293"/>
      <c r="E204" s="293"/>
      <c r="F204" s="293"/>
      <c r="G204" s="294"/>
      <c r="H204" s="300"/>
      <c r="I204" s="295"/>
      <c r="J204" s="295"/>
      <c r="K204" s="296"/>
      <c r="L204" s="301"/>
      <c r="M204" s="297"/>
      <c r="N204" s="298"/>
      <c r="P204" s="190" t="str">
        <f>IF(R204 = "", "", COUNT(R$4:$R204))</f>
        <v/>
      </c>
      <c r="Q204" s="190" t="str">
        <f t="shared" si="31"/>
        <v/>
      </c>
      <c r="R204" s="191" t="str">
        <f t="shared" si="32"/>
        <v/>
      </c>
      <c r="S204" s="192" t="str">
        <f t="shared" si="34"/>
        <v/>
      </c>
      <c r="T204" s="193" t="str">
        <f t="shared" si="35"/>
        <v/>
      </c>
      <c r="U204" s="194" t="str">
        <f t="shared" si="36"/>
        <v/>
      </c>
      <c r="V204" s="195" t="str">
        <f t="shared" si="33"/>
        <v/>
      </c>
      <c r="W204" s="336" t="str">
        <f t="shared" si="37"/>
        <v/>
      </c>
      <c r="X204" s="338" t="str">
        <f t="shared" si="38"/>
        <v/>
      </c>
      <c r="Y204" s="274"/>
      <c r="AR204" t="str">
        <f t="shared" si="39"/>
        <v/>
      </c>
      <c r="AS204" t="str">
        <f t="shared" si="40"/>
        <v/>
      </c>
    </row>
    <row r="205" spans="1:45">
      <c r="A205" s="291"/>
      <c r="B205" s="292"/>
      <c r="C205" s="293"/>
      <c r="D205" s="293"/>
      <c r="E205" s="293"/>
      <c r="F205" s="293"/>
      <c r="G205" s="294"/>
      <c r="H205" s="300"/>
      <c r="I205" s="295"/>
      <c r="J205" s="295"/>
      <c r="K205" s="296"/>
      <c r="L205" s="301"/>
      <c r="M205" s="297"/>
      <c r="N205" s="298"/>
      <c r="P205" s="190" t="str">
        <f>IF(R205 = "", "", COUNT(R$4:$R205))</f>
        <v/>
      </c>
      <c r="Q205" s="190" t="str">
        <f t="shared" si="31"/>
        <v/>
      </c>
      <c r="R205" s="191" t="str">
        <f t="shared" si="32"/>
        <v/>
      </c>
      <c r="S205" s="192" t="str">
        <f t="shared" si="34"/>
        <v/>
      </c>
      <c r="T205" s="193" t="str">
        <f t="shared" si="35"/>
        <v/>
      </c>
      <c r="U205" s="194" t="str">
        <f t="shared" si="36"/>
        <v/>
      </c>
      <c r="V205" s="195" t="str">
        <f t="shared" si="33"/>
        <v/>
      </c>
      <c r="W205" s="336" t="str">
        <f t="shared" si="37"/>
        <v/>
      </c>
      <c r="X205" s="338" t="str">
        <f t="shared" si="38"/>
        <v/>
      </c>
      <c r="Y205" s="274"/>
      <c r="AR205" t="str">
        <f t="shared" si="39"/>
        <v/>
      </c>
      <c r="AS205" t="str">
        <f t="shared" si="40"/>
        <v/>
      </c>
    </row>
    <row r="206" spans="1:45">
      <c r="A206" s="291"/>
      <c r="B206" s="292"/>
      <c r="C206" s="293"/>
      <c r="D206" s="293"/>
      <c r="E206" s="293"/>
      <c r="F206" s="293"/>
      <c r="G206" s="294"/>
      <c r="H206" s="300"/>
      <c r="I206" s="295"/>
      <c r="J206" s="295"/>
      <c r="K206" s="296"/>
      <c r="L206" s="301"/>
      <c r="M206" s="297"/>
      <c r="N206" s="298"/>
      <c r="P206" s="190" t="str">
        <f>IF(R206 = "", "", COUNT(R$4:$R206))</f>
        <v/>
      </c>
      <c r="Q206" s="190" t="str">
        <f t="shared" si="31"/>
        <v/>
      </c>
      <c r="R206" s="191" t="str">
        <f t="shared" si="32"/>
        <v/>
      </c>
      <c r="S206" s="192" t="str">
        <f t="shared" si="34"/>
        <v/>
      </c>
      <c r="T206" s="193" t="str">
        <f t="shared" si="35"/>
        <v/>
      </c>
      <c r="U206" s="194" t="str">
        <f t="shared" si="36"/>
        <v/>
      </c>
      <c r="V206" s="195" t="str">
        <f t="shared" si="33"/>
        <v/>
      </c>
      <c r="W206" s="336" t="str">
        <f t="shared" si="37"/>
        <v/>
      </c>
      <c r="X206" s="338" t="str">
        <f t="shared" si="38"/>
        <v/>
      </c>
      <c r="Y206" s="274"/>
      <c r="AR206" t="str">
        <f t="shared" si="39"/>
        <v/>
      </c>
      <c r="AS206" t="str">
        <f t="shared" si="40"/>
        <v/>
      </c>
    </row>
    <row r="207" spans="1:45">
      <c r="A207" s="291"/>
      <c r="B207" s="292"/>
      <c r="C207" s="293"/>
      <c r="D207" s="293"/>
      <c r="E207" s="293"/>
      <c r="F207" s="293"/>
      <c r="G207" s="294"/>
      <c r="H207" s="300"/>
      <c r="I207" s="295"/>
      <c r="J207" s="295"/>
      <c r="K207" s="296"/>
      <c r="L207" s="301"/>
      <c r="M207" s="297"/>
      <c r="N207" s="298"/>
      <c r="P207" s="190" t="str">
        <f>IF(R207 = "", "", COUNT(R$4:$R207))</f>
        <v/>
      </c>
      <c r="Q207" s="190" t="str">
        <f t="shared" si="31"/>
        <v/>
      </c>
      <c r="R207" s="191" t="str">
        <f t="shared" si="32"/>
        <v/>
      </c>
      <c r="S207" s="192" t="str">
        <f t="shared" si="34"/>
        <v/>
      </c>
      <c r="T207" s="193" t="str">
        <f t="shared" si="35"/>
        <v/>
      </c>
      <c r="U207" s="194" t="str">
        <f t="shared" si="36"/>
        <v/>
      </c>
      <c r="V207" s="195" t="str">
        <f t="shared" si="33"/>
        <v/>
      </c>
      <c r="W207" s="336" t="str">
        <f t="shared" si="37"/>
        <v/>
      </c>
      <c r="X207" s="338" t="str">
        <f t="shared" si="38"/>
        <v/>
      </c>
      <c r="Y207" s="274"/>
      <c r="AR207" t="str">
        <f t="shared" si="39"/>
        <v/>
      </c>
      <c r="AS207" t="str">
        <f t="shared" si="40"/>
        <v/>
      </c>
    </row>
    <row r="208" spans="1:45">
      <c r="A208" s="291"/>
      <c r="B208" s="292"/>
      <c r="C208" s="293"/>
      <c r="D208" s="293"/>
      <c r="E208" s="293"/>
      <c r="F208" s="293"/>
      <c r="G208" s="294"/>
      <c r="H208" s="300"/>
      <c r="I208" s="295"/>
      <c r="J208" s="295"/>
      <c r="K208" s="296"/>
      <c r="L208" s="301"/>
      <c r="M208" s="297"/>
      <c r="N208" s="298"/>
      <c r="P208" s="190" t="str">
        <f>IF(R208 = "", "", COUNT(R$4:$R208))</f>
        <v/>
      </c>
      <c r="Q208" s="190" t="str">
        <f t="shared" si="31"/>
        <v/>
      </c>
      <c r="R208" s="191" t="str">
        <f t="shared" si="32"/>
        <v/>
      </c>
      <c r="S208" s="192" t="str">
        <f t="shared" si="34"/>
        <v/>
      </c>
      <c r="T208" s="193" t="str">
        <f t="shared" si="35"/>
        <v/>
      </c>
      <c r="U208" s="194" t="str">
        <f t="shared" si="36"/>
        <v/>
      </c>
      <c r="V208" s="195" t="str">
        <f t="shared" si="33"/>
        <v/>
      </c>
      <c r="W208" s="336" t="str">
        <f t="shared" si="37"/>
        <v/>
      </c>
      <c r="X208" s="338" t="str">
        <f t="shared" si="38"/>
        <v/>
      </c>
      <c r="Y208" s="274"/>
      <c r="AR208" t="str">
        <f t="shared" si="39"/>
        <v/>
      </c>
      <c r="AS208" t="str">
        <f t="shared" si="40"/>
        <v/>
      </c>
    </row>
    <row r="209" spans="1:45">
      <c r="A209" s="291"/>
      <c r="B209" s="292"/>
      <c r="C209" s="293"/>
      <c r="D209" s="293"/>
      <c r="E209" s="293"/>
      <c r="F209" s="293"/>
      <c r="G209" s="294"/>
      <c r="H209" s="300"/>
      <c r="I209" s="295"/>
      <c r="J209" s="295"/>
      <c r="K209" s="296"/>
      <c r="L209" s="301"/>
      <c r="M209" s="297"/>
      <c r="N209" s="298"/>
      <c r="P209" s="190" t="str">
        <f>IF(R209 = "", "", COUNT(R$4:$R209))</f>
        <v/>
      </c>
      <c r="Q209" s="190" t="str">
        <f t="shared" si="31"/>
        <v/>
      </c>
      <c r="R209" s="191" t="str">
        <f t="shared" si="32"/>
        <v/>
      </c>
      <c r="S209" s="192" t="str">
        <f t="shared" si="34"/>
        <v/>
      </c>
      <c r="T209" s="193" t="str">
        <f t="shared" si="35"/>
        <v/>
      </c>
      <c r="U209" s="194" t="str">
        <f t="shared" si="36"/>
        <v/>
      </c>
      <c r="V209" s="195" t="str">
        <f t="shared" si="33"/>
        <v/>
      </c>
      <c r="W209" s="336" t="str">
        <f t="shared" si="37"/>
        <v/>
      </c>
      <c r="X209" s="338" t="str">
        <f t="shared" si="38"/>
        <v/>
      </c>
      <c r="Y209" s="274"/>
      <c r="AR209" t="str">
        <f t="shared" si="39"/>
        <v/>
      </c>
      <c r="AS209" t="str">
        <f t="shared" si="40"/>
        <v/>
      </c>
    </row>
    <row r="210" spans="1:45">
      <c r="A210" s="291"/>
      <c r="B210" s="292"/>
      <c r="C210" s="293"/>
      <c r="D210" s="293"/>
      <c r="E210" s="293"/>
      <c r="F210" s="293"/>
      <c r="G210" s="294"/>
      <c r="H210" s="300"/>
      <c r="I210" s="295"/>
      <c r="J210" s="295"/>
      <c r="K210" s="296"/>
      <c r="L210" s="301"/>
      <c r="M210" s="297"/>
      <c r="N210" s="298"/>
      <c r="P210" s="190" t="str">
        <f>IF(R210 = "", "", COUNT(R$4:$R210))</f>
        <v/>
      </c>
      <c r="Q210" s="190" t="str">
        <f t="shared" si="31"/>
        <v/>
      </c>
      <c r="R210" s="191" t="str">
        <f t="shared" si="32"/>
        <v/>
      </c>
      <c r="S210" s="192" t="str">
        <f t="shared" si="34"/>
        <v/>
      </c>
      <c r="T210" s="193" t="str">
        <f t="shared" si="35"/>
        <v/>
      </c>
      <c r="U210" s="194" t="str">
        <f t="shared" si="36"/>
        <v/>
      </c>
      <c r="V210" s="195" t="str">
        <f t="shared" si="33"/>
        <v/>
      </c>
      <c r="W210" s="336" t="str">
        <f t="shared" si="37"/>
        <v/>
      </c>
      <c r="X210" s="338" t="str">
        <f t="shared" si="38"/>
        <v/>
      </c>
      <c r="Y210" s="274"/>
      <c r="AR210" t="str">
        <f t="shared" si="39"/>
        <v/>
      </c>
      <c r="AS210" t="str">
        <f t="shared" si="40"/>
        <v/>
      </c>
    </row>
    <row r="211" spans="1:45">
      <c r="A211" s="291"/>
      <c r="B211" s="292"/>
      <c r="C211" s="293"/>
      <c r="D211" s="293"/>
      <c r="E211" s="293"/>
      <c r="F211" s="293"/>
      <c r="G211" s="294"/>
      <c r="H211" s="300"/>
      <c r="I211" s="295"/>
      <c r="J211" s="295"/>
      <c r="K211" s="296"/>
      <c r="L211" s="301"/>
      <c r="M211" s="297"/>
      <c r="N211" s="298"/>
      <c r="P211" s="190" t="str">
        <f>IF(R211 = "", "", COUNT(R$4:$R211))</f>
        <v/>
      </c>
      <c r="Q211" s="190" t="str">
        <f t="shared" si="31"/>
        <v/>
      </c>
      <c r="R211" s="191" t="str">
        <f t="shared" si="32"/>
        <v/>
      </c>
      <c r="S211" s="192" t="str">
        <f t="shared" si="34"/>
        <v/>
      </c>
      <c r="T211" s="193" t="str">
        <f t="shared" si="35"/>
        <v/>
      </c>
      <c r="U211" s="194" t="str">
        <f t="shared" si="36"/>
        <v/>
      </c>
      <c r="V211" s="195" t="str">
        <f t="shared" si="33"/>
        <v/>
      </c>
      <c r="W211" s="336" t="str">
        <f t="shared" si="37"/>
        <v/>
      </c>
      <c r="X211" s="338" t="str">
        <f t="shared" si="38"/>
        <v/>
      </c>
      <c r="Y211" s="274"/>
      <c r="AR211" t="str">
        <f t="shared" si="39"/>
        <v/>
      </c>
      <c r="AS211" t="str">
        <f t="shared" si="40"/>
        <v/>
      </c>
    </row>
    <row r="212" spans="1:45">
      <c r="A212" s="291"/>
      <c r="B212" s="292"/>
      <c r="C212" s="293"/>
      <c r="D212" s="293"/>
      <c r="E212" s="293"/>
      <c r="F212" s="293"/>
      <c r="G212" s="294"/>
      <c r="H212" s="300"/>
      <c r="I212" s="295"/>
      <c r="J212" s="295"/>
      <c r="K212" s="296"/>
      <c r="L212" s="301"/>
      <c r="M212" s="297"/>
      <c r="N212" s="298"/>
      <c r="P212" s="190" t="str">
        <f>IF(R212 = "", "", COUNT(R$4:$R212))</f>
        <v/>
      </c>
      <c r="Q212" s="190" t="str">
        <f t="shared" si="31"/>
        <v/>
      </c>
      <c r="R212" s="191" t="str">
        <f t="shared" si="32"/>
        <v/>
      </c>
      <c r="S212" s="192" t="str">
        <f t="shared" si="34"/>
        <v/>
      </c>
      <c r="T212" s="193" t="str">
        <f t="shared" si="35"/>
        <v/>
      </c>
      <c r="U212" s="194" t="str">
        <f t="shared" si="36"/>
        <v/>
      </c>
      <c r="V212" s="195" t="str">
        <f t="shared" si="33"/>
        <v/>
      </c>
      <c r="W212" s="336" t="str">
        <f t="shared" si="37"/>
        <v/>
      </c>
      <c r="X212" s="338" t="str">
        <f t="shared" si="38"/>
        <v/>
      </c>
      <c r="Y212" s="274"/>
      <c r="AR212" t="str">
        <f t="shared" si="39"/>
        <v/>
      </c>
      <c r="AS212" t="str">
        <f t="shared" si="40"/>
        <v/>
      </c>
    </row>
    <row r="213" spans="1:45">
      <c r="A213" s="291"/>
      <c r="B213" s="292"/>
      <c r="C213" s="293"/>
      <c r="D213" s="293"/>
      <c r="E213" s="293"/>
      <c r="F213" s="293"/>
      <c r="G213" s="294"/>
      <c r="H213" s="300"/>
      <c r="I213" s="295"/>
      <c r="J213" s="295"/>
      <c r="K213" s="296"/>
      <c r="L213" s="301"/>
      <c r="M213" s="297"/>
      <c r="N213" s="298"/>
      <c r="P213" s="190" t="str">
        <f>IF(R213 = "", "", COUNT(R$4:$R213))</f>
        <v/>
      </c>
      <c r="Q213" s="190" t="str">
        <f t="shared" si="31"/>
        <v/>
      </c>
      <c r="R213" s="191" t="str">
        <f t="shared" si="32"/>
        <v/>
      </c>
      <c r="S213" s="192" t="str">
        <f t="shared" si="34"/>
        <v/>
      </c>
      <c r="T213" s="193" t="str">
        <f t="shared" si="35"/>
        <v/>
      </c>
      <c r="U213" s="194" t="str">
        <f t="shared" si="36"/>
        <v/>
      </c>
      <c r="V213" s="195" t="str">
        <f t="shared" si="33"/>
        <v/>
      </c>
      <c r="W213" s="336" t="str">
        <f t="shared" si="37"/>
        <v/>
      </c>
      <c r="X213" s="338" t="str">
        <f t="shared" si="38"/>
        <v/>
      </c>
      <c r="Y213" s="274"/>
      <c r="AR213" t="str">
        <f t="shared" si="39"/>
        <v/>
      </c>
      <c r="AS213" t="str">
        <f t="shared" si="40"/>
        <v/>
      </c>
    </row>
    <row r="214" spans="1:45">
      <c r="A214" s="291"/>
      <c r="B214" s="292"/>
      <c r="C214" s="293"/>
      <c r="D214" s="293"/>
      <c r="E214" s="293"/>
      <c r="F214" s="293"/>
      <c r="G214" s="294"/>
      <c r="H214" s="300"/>
      <c r="I214" s="295"/>
      <c r="J214" s="295"/>
      <c r="K214" s="296"/>
      <c r="L214" s="301"/>
      <c r="M214" s="297"/>
      <c r="N214" s="298"/>
      <c r="P214" s="190" t="str">
        <f>IF(R214 = "", "", COUNT(R$4:$R214))</f>
        <v/>
      </c>
      <c r="Q214" s="190" t="str">
        <f t="shared" si="31"/>
        <v/>
      </c>
      <c r="R214" s="191" t="str">
        <f t="shared" si="32"/>
        <v/>
      </c>
      <c r="S214" s="192" t="str">
        <f t="shared" si="34"/>
        <v/>
      </c>
      <c r="T214" s="193" t="str">
        <f t="shared" si="35"/>
        <v/>
      </c>
      <c r="U214" s="194" t="str">
        <f t="shared" si="36"/>
        <v/>
      </c>
      <c r="V214" s="195" t="str">
        <f t="shared" si="33"/>
        <v/>
      </c>
      <c r="W214" s="336" t="str">
        <f t="shared" si="37"/>
        <v/>
      </c>
      <c r="X214" s="338" t="str">
        <f t="shared" si="38"/>
        <v/>
      </c>
      <c r="Y214" s="274"/>
      <c r="AR214" t="str">
        <f t="shared" si="39"/>
        <v/>
      </c>
      <c r="AS214" t="str">
        <f t="shared" si="40"/>
        <v/>
      </c>
    </row>
    <row r="215" spans="1:45">
      <c r="A215" s="291"/>
      <c r="B215" s="292"/>
      <c r="C215" s="293"/>
      <c r="D215" s="293"/>
      <c r="E215" s="293"/>
      <c r="F215" s="293"/>
      <c r="G215" s="294"/>
      <c r="H215" s="300"/>
      <c r="I215" s="295"/>
      <c r="J215" s="295"/>
      <c r="K215" s="296"/>
      <c r="L215" s="301"/>
      <c r="M215" s="297"/>
      <c r="N215" s="298"/>
      <c r="P215" s="190" t="str">
        <f>IF(R215 = "", "", COUNT(R$4:$R215))</f>
        <v/>
      </c>
      <c r="Q215" s="190" t="str">
        <f t="shared" si="31"/>
        <v/>
      </c>
      <c r="R215" s="191" t="str">
        <f t="shared" si="32"/>
        <v/>
      </c>
      <c r="S215" s="192" t="str">
        <f t="shared" si="34"/>
        <v/>
      </c>
      <c r="T215" s="193" t="str">
        <f t="shared" si="35"/>
        <v/>
      </c>
      <c r="U215" s="194" t="str">
        <f t="shared" si="36"/>
        <v/>
      </c>
      <c r="V215" s="195" t="str">
        <f t="shared" si="33"/>
        <v/>
      </c>
      <c r="W215" s="336" t="str">
        <f t="shared" si="37"/>
        <v/>
      </c>
      <c r="X215" s="338" t="str">
        <f t="shared" si="38"/>
        <v/>
      </c>
      <c r="Y215" s="274"/>
      <c r="AR215" t="str">
        <f t="shared" si="39"/>
        <v/>
      </c>
      <c r="AS215" t="str">
        <f t="shared" si="40"/>
        <v/>
      </c>
    </row>
    <row r="216" spans="1:45">
      <c r="A216" s="291"/>
      <c r="B216" s="292"/>
      <c r="C216" s="293"/>
      <c r="D216" s="293"/>
      <c r="E216" s="293"/>
      <c r="F216" s="293"/>
      <c r="G216" s="294"/>
      <c r="H216" s="300"/>
      <c r="I216" s="295"/>
      <c r="J216" s="295"/>
      <c r="K216" s="296"/>
      <c r="L216" s="301"/>
      <c r="M216" s="297"/>
      <c r="N216" s="298"/>
      <c r="P216" s="190" t="str">
        <f>IF(R216 = "", "", COUNT(R$4:$R216))</f>
        <v/>
      </c>
      <c r="Q216" s="190" t="str">
        <f t="shared" si="31"/>
        <v/>
      </c>
      <c r="R216" s="191" t="str">
        <f t="shared" si="32"/>
        <v/>
      </c>
      <c r="S216" s="192" t="str">
        <f t="shared" si="34"/>
        <v/>
      </c>
      <c r="T216" s="193" t="str">
        <f t="shared" si="35"/>
        <v/>
      </c>
      <c r="U216" s="194" t="str">
        <f t="shared" si="36"/>
        <v/>
      </c>
      <c r="V216" s="195" t="str">
        <f t="shared" si="33"/>
        <v/>
      </c>
      <c r="W216" s="336" t="str">
        <f t="shared" si="37"/>
        <v/>
      </c>
      <c r="X216" s="338" t="str">
        <f t="shared" si="38"/>
        <v/>
      </c>
      <c r="Y216" s="274"/>
      <c r="AR216" t="str">
        <f t="shared" si="39"/>
        <v/>
      </c>
      <c r="AS216" t="str">
        <f t="shared" si="40"/>
        <v/>
      </c>
    </row>
    <row r="217" spans="1:45">
      <c r="A217" s="291"/>
      <c r="B217" s="292"/>
      <c r="C217" s="293"/>
      <c r="D217" s="293"/>
      <c r="E217" s="293"/>
      <c r="F217" s="293"/>
      <c r="G217" s="294"/>
      <c r="H217" s="300"/>
      <c r="I217" s="295"/>
      <c r="J217" s="295"/>
      <c r="K217" s="296"/>
      <c r="L217" s="301"/>
      <c r="M217" s="297"/>
      <c r="N217" s="298"/>
      <c r="P217" s="190" t="str">
        <f>IF(R217 = "", "", COUNT(R$4:$R217))</f>
        <v/>
      </c>
      <c r="Q217" s="190" t="str">
        <f t="shared" si="31"/>
        <v/>
      </c>
      <c r="R217" s="191" t="str">
        <f t="shared" si="32"/>
        <v/>
      </c>
      <c r="S217" s="192" t="str">
        <f t="shared" si="34"/>
        <v/>
      </c>
      <c r="T217" s="193" t="str">
        <f t="shared" si="35"/>
        <v/>
      </c>
      <c r="U217" s="194" t="str">
        <f t="shared" si="36"/>
        <v/>
      </c>
      <c r="V217" s="195" t="str">
        <f t="shared" si="33"/>
        <v/>
      </c>
      <c r="W217" s="336" t="str">
        <f t="shared" si="37"/>
        <v/>
      </c>
      <c r="X217" s="338" t="str">
        <f t="shared" si="38"/>
        <v/>
      </c>
      <c r="Y217" s="274"/>
      <c r="AR217" t="str">
        <f t="shared" si="39"/>
        <v/>
      </c>
      <c r="AS217" t="str">
        <f t="shared" si="40"/>
        <v/>
      </c>
    </row>
    <row r="218" spans="1:45">
      <c r="A218" s="291"/>
      <c r="B218" s="292"/>
      <c r="C218" s="293"/>
      <c r="D218" s="293"/>
      <c r="E218" s="293"/>
      <c r="F218" s="293"/>
      <c r="G218" s="294"/>
      <c r="H218" s="300"/>
      <c r="I218" s="295"/>
      <c r="J218" s="295"/>
      <c r="K218" s="296"/>
      <c r="L218" s="301"/>
      <c r="M218" s="297"/>
      <c r="N218" s="298"/>
      <c r="P218" s="190" t="str">
        <f>IF(R218 = "", "", COUNT(R$4:$R218))</f>
        <v/>
      </c>
      <c r="Q218" s="190" t="str">
        <f t="shared" si="31"/>
        <v/>
      </c>
      <c r="R218" s="191" t="str">
        <f t="shared" si="32"/>
        <v/>
      </c>
      <c r="S218" s="192" t="str">
        <f t="shared" si="34"/>
        <v/>
      </c>
      <c r="T218" s="193" t="str">
        <f t="shared" si="35"/>
        <v/>
      </c>
      <c r="U218" s="194" t="str">
        <f t="shared" si="36"/>
        <v/>
      </c>
      <c r="V218" s="195" t="str">
        <f t="shared" si="33"/>
        <v/>
      </c>
      <c r="W218" s="336" t="str">
        <f t="shared" si="37"/>
        <v/>
      </c>
      <c r="X218" s="338" t="str">
        <f t="shared" si="38"/>
        <v/>
      </c>
      <c r="Y218" s="274"/>
      <c r="AR218" t="str">
        <f t="shared" si="39"/>
        <v/>
      </c>
      <c r="AS218" t="str">
        <f t="shared" si="40"/>
        <v/>
      </c>
    </row>
    <row r="219" spans="1:45">
      <c r="A219" s="291"/>
      <c r="B219" s="292"/>
      <c r="C219" s="293"/>
      <c r="D219" s="293"/>
      <c r="E219" s="293"/>
      <c r="F219" s="293"/>
      <c r="G219" s="294"/>
      <c r="H219" s="300"/>
      <c r="I219" s="295"/>
      <c r="J219" s="295"/>
      <c r="K219" s="296"/>
      <c r="L219" s="301"/>
      <c r="M219" s="297"/>
      <c r="N219" s="298"/>
      <c r="P219" s="190" t="str">
        <f>IF(R219 = "", "", COUNT(R$4:$R219))</f>
        <v/>
      </c>
      <c r="Q219" s="190" t="str">
        <f t="shared" si="31"/>
        <v/>
      </c>
      <c r="R219" s="191" t="str">
        <f t="shared" si="32"/>
        <v/>
      </c>
      <c r="S219" s="192" t="str">
        <f t="shared" si="34"/>
        <v/>
      </c>
      <c r="T219" s="193" t="str">
        <f t="shared" si="35"/>
        <v/>
      </c>
      <c r="U219" s="194" t="str">
        <f t="shared" si="36"/>
        <v/>
      </c>
      <c r="V219" s="195" t="str">
        <f t="shared" si="33"/>
        <v/>
      </c>
      <c r="W219" s="336" t="str">
        <f t="shared" si="37"/>
        <v/>
      </c>
      <c r="X219" s="338" t="str">
        <f t="shared" si="38"/>
        <v/>
      </c>
      <c r="Y219" s="274"/>
      <c r="AR219" t="str">
        <f t="shared" si="39"/>
        <v/>
      </c>
      <c r="AS219" t="str">
        <f t="shared" si="40"/>
        <v/>
      </c>
    </row>
    <row r="220" spans="1:45">
      <c r="A220" s="291"/>
      <c r="B220" s="292"/>
      <c r="C220" s="293"/>
      <c r="D220" s="293"/>
      <c r="E220" s="293"/>
      <c r="F220" s="293"/>
      <c r="G220" s="294"/>
      <c r="H220" s="300"/>
      <c r="I220" s="295"/>
      <c r="J220" s="295"/>
      <c r="K220" s="296"/>
      <c r="L220" s="301"/>
      <c r="M220" s="297"/>
      <c r="N220" s="298"/>
      <c r="P220" s="190" t="str">
        <f>IF(R220 = "", "", COUNT(R$4:$R220))</f>
        <v/>
      </c>
      <c r="Q220" s="190" t="str">
        <f t="shared" si="31"/>
        <v/>
      </c>
      <c r="R220" s="191" t="str">
        <f t="shared" si="32"/>
        <v/>
      </c>
      <c r="S220" s="192" t="str">
        <f t="shared" si="34"/>
        <v/>
      </c>
      <c r="T220" s="193" t="str">
        <f t="shared" si="35"/>
        <v/>
      </c>
      <c r="U220" s="194" t="str">
        <f t="shared" si="36"/>
        <v/>
      </c>
      <c r="V220" s="195" t="str">
        <f t="shared" si="33"/>
        <v/>
      </c>
      <c r="W220" s="336" t="str">
        <f t="shared" si="37"/>
        <v/>
      </c>
      <c r="X220" s="338" t="str">
        <f t="shared" si="38"/>
        <v/>
      </c>
      <c r="Y220" s="274"/>
      <c r="AR220" t="str">
        <f t="shared" si="39"/>
        <v/>
      </c>
      <c r="AS220" t="str">
        <f t="shared" si="40"/>
        <v/>
      </c>
    </row>
    <row r="221" spans="1:45">
      <c r="A221" s="291"/>
      <c r="B221" s="292"/>
      <c r="C221" s="293"/>
      <c r="D221" s="293"/>
      <c r="E221" s="293"/>
      <c r="F221" s="293"/>
      <c r="G221" s="294"/>
      <c r="H221" s="300"/>
      <c r="I221" s="295"/>
      <c r="J221" s="295"/>
      <c r="K221" s="296"/>
      <c r="L221" s="301"/>
      <c r="M221" s="297"/>
      <c r="N221" s="298"/>
      <c r="P221" s="190" t="str">
        <f>IF(R221 = "", "", COUNT(R$4:$R221))</f>
        <v/>
      </c>
      <c r="Q221" s="190" t="str">
        <f t="shared" si="31"/>
        <v/>
      </c>
      <c r="R221" s="191" t="str">
        <f t="shared" si="32"/>
        <v/>
      </c>
      <c r="S221" s="192" t="str">
        <f t="shared" si="34"/>
        <v/>
      </c>
      <c r="T221" s="193" t="str">
        <f t="shared" si="35"/>
        <v/>
      </c>
      <c r="U221" s="194" t="str">
        <f t="shared" si="36"/>
        <v/>
      </c>
      <c r="V221" s="195" t="str">
        <f t="shared" si="33"/>
        <v/>
      </c>
      <c r="W221" s="336" t="str">
        <f t="shared" si="37"/>
        <v/>
      </c>
      <c r="X221" s="338" t="str">
        <f t="shared" si="38"/>
        <v/>
      </c>
      <c r="Y221" s="274"/>
      <c r="AR221" t="str">
        <f t="shared" si="39"/>
        <v/>
      </c>
      <c r="AS221" t="str">
        <f t="shared" si="40"/>
        <v/>
      </c>
    </row>
    <row r="222" spans="1:45">
      <c r="A222" s="291"/>
      <c r="B222" s="292"/>
      <c r="C222" s="293"/>
      <c r="D222" s="293"/>
      <c r="E222" s="293"/>
      <c r="F222" s="293"/>
      <c r="G222" s="294"/>
      <c r="H222" s="300"/>
      <c r="I222" s="295"/>
      <c r="J222" s="295"/>
      <c r="K222" s="296"/>
      <c r="L222" s="301"/>
      <c r="M222" s="297"/>
      <c r="N222" s="298"/>
      <c r="P222" s="190" t="str">
        <f>IF(R222 = "", "", COUNT(R$4:$R222))</f>
        <v/>
      </c>
      <c r="Q222" s="190" t="str">
        <f t="shared" si="31"/>
        <v/>
      </c>
      <c r="R222" s="191" t="str">
        <f t="shared" si="32"/>
        <v/>
      </c>
      <c r="S222" s="192" t="str">
        <f t="shared" si="34"/>
        <v/>
      </c>
      <c r="T222" s="193" t="str">
        <f t="shared" si="35"/>
        <v/>
      </c>
      <c r="U222" s="194" t="str">
        <f t="shared" si="36"/>
        <v/>
      </c>
      <c r="V222" s="195" t="str">
        <f t="shared" si="33"/>
        <v/>
      </c>
      <c r="W222" s="336" t="str">
        <f t="shared" si="37"/>
        <v/>
      </c>
      <c r="X222" s="338" t="str">
        <f t="shared" si="38"/>
        <v/>
      </c>
      <c r="Y222" s="274"/>
      <c r="AR222" t="str">
        <f t="shared" si="39"/>
        <v/>
      </c>
      <c r="AS222" t="str">
        <f t="shared" si="40"/>
        <v/>
      </c>
    </row>
    <row r="223" spans="1:45">
      <c r="A223" s="291"/>
      <c r="B223" s="292"/>
      <c r="C223" s="293"/>
      <c r="D223" s="293"/>
      <c r="E223" s="293"/>
      <c r="F223" s="293"/>
      <c r="G223" s="294"/>
      <c r="H223" s="300"/>
      <c r="I223" s="295"/>
      <c r="J223" s="295"/>
      <c r="K223" s="296"/>
      <c r="L223" s="301"/>
      <c r="M223" s="297"/>
      <c r="N223" s="298"/>
      <c r="P223" s="190" t="str">
        <f>IF(R223 = "", "", COUNT(R$4:$R223))</f>
        <v/>
      </c>
      <c r="Q223" s="190" t="str">
        <f t="shared" si="31"/>
        <v/>
      </c>
      <c r="R223" s="191" t="str">
        <f t="shared" si="32"/>
        <v/>
      </c>
      <c r="S223" s="192" t="str">
        <f t="shared" si="34"/>
        <v/>
      </c>
      <c r="T223" s="193" t="str">
        <f t="shared" si="35"/>
        <v/>
      </c>
      <c r="U223" s="194" t="str">
        <f t="shared" si="36"/>
        <v/>
      </c>
      <c r="V223" s="195" t="str">
        <f t="shared" si="33"/>
        <v/>
      </c>
      <c r="W223" s="336" t="str">
        <f t="shared" si="37"/>
        <v/>
      </c>
      <c r="X223" s="338" t="str">
        <f t="shared" si="38"/>
        <v/>
      </c>
      <c r="Y223" s="274"/>
      <c r="AR223" t="str">
        <f t="shared" si="39"/>
        <v/>
      </c>
      <c r="AS223" t="str">
        <f t="shared" si="40"/>
        <v/>
      </c>
    </row>
    <row r="224" spans="1:45">
      <c r="A224" s="291"/>
      <c r="B224" s="292"/>
      <c r="C224" s="293"/>
      <c r="D224" s="293"/>
      <c r="E224" s="293"/>
      <c r="F224" s="293"/>
      <c r="G224" s="294"/>
      <c r="H224" s="300"/>
      <c r="I224" s="295"/>
      <c r="J224" s="295"/>
      <c r="K224" s="296"/>
      <c r="L224" s="301"/>
      <c r="M224" s="297"/>
      <c r="N224" s="298"/>
      <c r="P224" s="190" t="str">
        <f>IF(R224 = "", "", COUNT(R$4:$R224))</f>
        <v/>
      </c>
      <c r="Q224" s="190" t="str">
        <f t="shared" si="31"/>
        <v/>
      </c>
      <c r="R224" s="191" t="str">
        <f t="shared" si="32"/>
        <v/>
      </c>
      <c r="S224" s="192" t="str">
        <f t="shared" si="34"/>
        <v/>
      </c>
      <c r="T224" s="193" t="str">
        <f t="shared" si="35"/>
        <v/>
      </c>
      <c r="U224" s="194" t="str">
        <f t="shared" si="36"/>
        <v/>
      </c>
      <c r="V224" s="195" t="str">
        <f t="shared" si="33"/>
        <v/>
      </c>
      <c r="W224" s="336" t="str">
        <f t="shared" si="37"/>
        <v/>
      </c>
      <c r="X224" s="338" t="str">
        <f t="shared" si="38"/>
        <v/>
      </c>
      <c r="Y224" s="274"/>
      <c r="AR224" t="str">
        <f t="shared" si="39"/>
        <v/>
      </c>
      <c r="AS224" t="str">
        <f t="shared" si="40"/>
        <v/>
      </c>
    </row>
    <row r="225" spans="1:45">
      <c r="A225" s="291"/>
      <c r="B225" s="292"/>
      <c r="C225" s="293"/>
      <c r="D225" s="293"/>
      <c r="E225" s="293"/>
      <c r="F225" s="293"/>
      <c r="G225" s="294"/>
      <c r="H225" s="300"/>
      <c r="I225" s="295"/>
      <c r="J225" s="295"/>
      <c r="K225" s="296"/>
      <c r="L225" s="301"/>
      <c r="M225" s="297"/>
      <c r="N225" s="298"/>
      <c r="P225" s="190" t="str">
        <f>IF(R225 = "", "", COUNT(R$4:$R225))</f>
        <v/>
      </c>
      <c r="Q225" s="190" t="str">
        <f t="shared" si="31"/>
        <v/>
      </c>
      <c r="R225" s="191" t="str">
        <f t="shared" si="32"/>
        <v/>
      </c>
      <c r="S225" s="192" t="str">
        <f t="shared" si="34"/>
        <v/>
      </c>
      <c r="T225" s="193" t="str">
        <f t="shared" si="35"/>
        <v/>
      </c>
      <c r="U225" s="194" t="str">
        <f t="shared" si="36"/>
        <v/>
      </c>
      <c r="V225" s="195" t="str">
        <f t="shared" si="33"/>
        <v/>
      </c>
      <c r="W225" s="336" t="str">
        <f t="shared" si="37"/>
        <v/>
      </c>
      <c r="X225" s="338" t="str">
        <f t="shared" si="38"/>
        <v/>
      </c>
      <c r="Y225" s="274"/>
      <c r="AR225" t="str">
        <f t="shared" si="39"/>
        <v/>
      </c>
      <c r="AS225" t="str">
        <f t="shared" si="40"/>
        <v/>
      </c>
    </row>
    <row r="226" spans="1:45">
      <c r="A226" s="291"/>
      <c r="B226" s="292"/>
      <c r="C226" s="293"/>
      <c r="D226" s="293"/>
      <c r="E226" s="293"/>
      <c r="F226" s="293"/>
      <c r="G226" s="294"/>
      <c r="H226" s="300"/>
      <c r="I226" s="295"/>
      <c r="J226" s="295"/>
      <c r="K226" s="296"/>
      <c r="L226" s="301"/>
      <c r="M226" s="297"/>
      <c r="N226" s="298"/>
      <c r="P226" s="190" t="str">
        <f>IF(R226 = "", "", COUNT(R$4:$R226))</f>
        <v/>
      </c>
      <c r="Q226" s="190" t="str">
        <f t="shared" si="31"/>
        <v/>
      </c>
      <c r="R226" s="191" t="str">
        <f t="shared" si="32"/>
        <v/>
      </c>
      <c r="S226" s="192" t="str">
        <f t="shared" si="34"/>
        <v/>
      </c>
      <c r="T226" s="193" t="str">
        <f t="shared" si="35"/>
        <v/>
      </c>
      <c r="U226" s="194" t="str">
        <f t="shared" si="36"/>
        <v/>
      </c>
      <c r="V226" s="195" t="str">
        <f t="shared" si="33"/>
        <v/>
      </c>
      <c r="W226" s="336" t="str">
        <f t="shared" si="37"/>
        <v/>
      </c>
      <c r="X226" s="338" t="str">
        <f t="shared" si="38"/>
        <v/>
      </c>
      <c r="Y226" s="274"/>
      <c r="AR226" t="str">
        <f t="shared" si="39"/>
        <v/>
      </c>
      <c r="AS226" t="str">
        <f t="shared" si="40"/>
        <v/>
      </c>
    </row>
    <row r="227" spans="1:45">
      <c r="A227" s="291"/>
      <c r="B227" s="292"/>
      <c r="C227" s="293"/>
      <c r="D227" s="293"/>
      <c r="E227" s="293"/>
      <c r="F227" s="293"/>
      <c r="G227" s="294"/>
      <c r="H227" s="300"/>
      <c r="I227" s="295"/>
      <c r="J227" s="295"/>
      <c r="K227" s="296"/>
      <c r="L227" s="301"/>
      <c r="M227" s="297"/>
      <c r="N227" s="298"/>
      <c r="P227" s="190" t="str">
        <f>IF(R227 = "", "", COUNT(R$4:$R227))</f>
        <v/>
      </c>
      <c r="Q227" s="190" t="str">
        <f t="shared" si="31"/>
        <v/>
      </c>
      <c r="R227" s="191" t="str">
        <f t="shared" si="32"/>
        <v/>
      </c>
      <c r="S227" s="192" t="str">
        <f t="shared" si="34"/>
        <v/>
      </c>
      <c r="T227" s="193" t="str">
        <f t="shared" si="35"/>
        <v/>
      </c>
      <c r="U227" s="194" t="str">
        <f t="shared" si="36"/>
        <v/>
      </c>
      <c r="V227" s="195" t="str">
        <f t="shared" si="33"/>
        <v/>
      </c>
      <c r="W227" s="336" t="str">
        <f t="shared" si="37"/>
        <v/>
      </c>
      <c r="X227" s="338" t="str">
        <f t="shared" si="38"/>
        <v/>
      </c>
      <c r="Y227" s="274"/>
      <c r="AR227" t="str">
        <f t="shared" si="39"/>
        <v/>
      </c>
      <c r="AS227" t="str">
        <f t="shared" si="40"/>
        <v/>
      </c>
    </row>
    <row r="228" spans="1:45">
      <c r="A228" s="291"/>
      <c r="B228" s="292"/>
      <c r="C228" s="293"/>
      <c r="D228" s="293"/>
      <c r="E228" s="293"/>
      <c r="F228" s="293"/>
      <c r="G228" s="294"/>
      <c r="H228" s="300"/>
      <c r="I228" s="295"/>
      <c r="J228" s="295"/>
      <c r="K228" s="296"/>
      <c r="L228" s="301"/>
      <c r="M228" s="297"/>
      <c r="N228" s="298"/>
      <c r="P228" s="190" t="str">
        <f>IF(R228 = "", "", COUNT(R$4:$R228))</f>
        <v/>
      </c>
      <c r="Q228" s="190" t="str">
        <f t="shared" si="31"/>
        <v/>
      </c>
      <c r="R228" s="191" t="str">
        <f t="shared" si="32"/>
        <v/>
      </c>
      <c r="S228" s="192" t="str">
        <f t="shared" si="34"/>
        <v/>
      </c>
      <c r="T228" s="193" t="str">
        <f t="shared" si="35"/>
        <v/>
      </c>
      <c r="U228" s="194" t="str">
        <f t="shared" si="36"/>
        <v/>
      </c>
      <c r="V228" s="195" t="str">
        <f t="shared" si="33"/>
        <v/>
      </c>
      <c r="W228" s="336" t="str">
        <f t="shared" si="37"/>
        <v/>
      </c>
      <c r="X228" s="338" t="str">
        <f t="shared" si="38"/>
        <v/>
      </c>
      <c r="Y228" s="274"/>
      <c r="AR228" t="str">
        <f t="shared" si="39"/>
        <v/>
      </c>
      <c r="AS228" t="str">
        <f t="shared" si="40"/>
        <v/>
      </c>
    </row>
    <row r="229" spans="1:45">
      <c r="A229" s="291"/>
      <c r="B229" s="292"/>
      <c r="C229" s="293"/>
      <c r="D229" s="293"/>
      <c r="E229" s="293"/>
      <c r="F229" s="293"/>
      <c r="G229" s="294"/>
      <c r="H229" s="300"/>
      <c r="I229" s="295"/>
      <c r="J229" s="295"/>
      <c r="K229" s="296"/>
      <c r="L229" s="301"/>
      <c r="M229" s="297"/>
      <c r="N229" s="298"/>
      <c r="P229" s="190" t="str">
        <f>IF(R229 = "", "", COUNT(R$4:$R229))</f>
        <v/>
      </c>
      <c r="Q229" s="190" t="str">
        <f t="shared" si="31"/>
        <v/>
      </c>
      <c r="R229" s="191" t="str">
        <f t="shared" si="32"/>
        <v/>
      </c>
      <c r="S229" s="192" t="str">
        <f t="shared" si="34"/>
        <v/>
      </c>
      <c r="T229" s="193" t="str">
        <f t="shared" si="35"/>
        <v/>
      </c>
      <c r="U229" s="194" t="str">
        <f t="shared" si="36"/>
        <v/>
      </c>
      <c r="V229" s="195" t="str">
        <f t="shared" si="33"/>
        <v/>
      </c>
      <c r="W229" s="336" t="str">
        <f t="shared" si="37"/>
        <v/>
      </c>
      <c r="X229" s="338" t="str">
        <f t="shared" si="38"/>
        <v/>
      </c>
      <c r="Y229" s="274"/>
      <c r="AR229" t="str">
        <f t="shared" si="39"/>
        <v/>
      </c>
      <c r="AS229" t="str">
        <f t="shared" si="40"/>
        <v/>
      </c>
    </row>
    <row r="230" spans="1:45">
      <c r="A230" s="291"/>
      <c r="B230" s="292"/>
      <c r="C230" s="293"/>
      <c r="D230" s="293"/>
      <c r="E230" s="293"/>
      <c r="F230" s="293"/>
      <c r="G230" s="294"/>
      <c r="H230" s="300"/>
      <c r="I230" s="295"/>
      <c r="J230" s="295"/>
      <c r="K230" s="296"/>
      <c r="L230" s="301"/>
      <c r="M230" s="297"/>
      <c r="N230" s="298"/>
      <c r="P230" s="190" t="str">
        <f>IF(R230 = "", "", COUNT(R$4:$R230))</f>
        <v/>
      </c>
      <c r="Q230" s="190" t="str">
        <f t="shared" si="31"/>
        <v/>
      </c>
      <c r="R230" s="191" t="str">
        <f t="shared" si="32"/>
        <v/>
      </c>
      <c r="S230" s="192" t="str">
        <f t="shared" si="34"/>
        <v/>
      </c>
      <c r="T230" s="193" t="str">
        <f t="shared" si="35"/>
        <v/>
      </c>
      <c r="U230" s="194" t="str">
        <f t="shared" si="36"/>
        <v/>
      </c>
      <c r="V230" s="195" t="str">
        <f t="shared" si="33"/>
        <v/>
      </c>
      <c r="W230" s="336" t="str">
        <f t="shared" si="37"/>
        <v/>
      </c>
      <c r="X230" s="338" t="str">
        <f t="shared" si="38"/>
        <v/>
      </c>
      <c r="Y230" s="274"/>
      <c r="AR230" t="str">
        <f t="shared" si="39"/>
        <v/>
      </c>
      <c r="AS230" t="str">
        <f t="shared" si="40"/>
        <v/>
      </c>
    </row>
    <row r="231" spans="1:45">
      <c r="A231" s="291"/>
      <c r="B231" s="292"/>
      <c r="C231" s="293"/>
      <c r="D231" s="293"/>
      <c r="E231" s="293"/>
      <c r="F231" s="293"/>
      <c r="G231" s="294"/>
      <c r="H231" s="300"/>
      <c r="I231" s="295"/>
      <c r="J231" s="295"/>
      <c r="K231" s="296"/>
      <c r="L231" s="301"/>
      <c r="M231" s="297"/>
      <c r="N231" s="298"/>
      <c r="P231" s="190" t="str">
        <f>IF(R231 = "", "", COUNT(R$4:$R231))</f>
        <v/>
      </c>
      <c r="Q231" s="190" t="str">
        <f t="shared" si="31"/>
        <v/>
      </c>
      <c r="R231" s="191" t="str">
        <f t="shared" si="32"/>
        <v/>
      </c>
      <c r="S231" s="192" t="str">
        <f t="shared" si="34"/>
        <v/>
      </c>
      <c r="T231" s="193" t="str">
        <f t="shared" si="35"/>
        <v/>
      </c>
      <c r="U231" s="194" t="str">
        <f t="shared" si="36"/>
        <v/>
      </c>
      <c r="V231" s="195" t="str">
        <f t="shared" si="33"/>
        <v/>
      </c>
      <c r="W231" s="336" t="str">
        <f t="shared" si="37"/>
        <v/>
      </c>
      <c r="X231" s="338" t="str">
        <f t="shared" si="38"/>
        <v/>
      </c>
      <c r="Y231" s="274"/>
      <c r="AR231" t="str">
        <f t="shared" si="39"/>
        <v/>
      </c>
      <c r="AS231" t="str">
        <f t="shared" si="40"/>
        <v/>
      </c>
    </row>
    <row r="232" spans="1:45">
      <c r="A232" s="291"/>
      <c r="B232" s="292"/>
      <c r="C232" s="293"/>
      <c r="D232" s="293"/>
      <c r="E232" s="293"/>
      <c r="F232" s="293"/>
      <c r="G232" s="294"/>
      <c r="H232" s="300"/>
      <c r="I232" s="295"/>
      <c r="J232" s="295"/>
      <c r="K232" s="296"/>
      <c r="L232" s="301"/>
      <c r="M232" s="297"/>
      <c r="N232" s="298"/>
      <c r="P232" s="190" t="str">
        <f>IF(R232 = "", "", COUNT(R$4:$R232))</f>
        <v/>
      </c>
      <c r="Q232" s="190" t="str">
        <f t="shared" si="31"/>
        <v/>
      </c>
      <c r="R232" s="191" t="str">
        <f t="shared" si="32"/>
        <v/>
      </c>
      <c r="S232" s="192" t="str">
        <f t="shared" si="34"/>
        <v/>
      </c>
      <c r="T232" s="193" t="str">
        <f t="shared" si="35"/>
        <v/>
      </c>
      <c r="U232" s="194" t="str">
        <f t="shared" si="36"/>
        <v/>
      </c>
      <c r="V232" s="195" t="str">
        <f t="shared" si="33"/>
        <v/>
      </c>
      <c r="W232" s="336" t="str">
        <f t="shared" si="37"/>
        <v/>
      </c>
      <c r="X232" s="338" t="str">
        <f t="shared" si="38"/>
        <v/>
      </c>
      <c r="Y232" s="274"/>
      <c r="AR232" t="str">
        <f t="shared" si="39"/>
        <v/>
      </c>
      <c r="AS232" t="str">
        <f t="shared" si="40"/>
        <v/>
      </c>
    </row>
    <row r="233" spans="1:45">
      <c r="A233" s="291"/>
      <c r="B233" s="292"/>
      <c r="C233" s="293"/>
      <c r="D233" s="293"/>
      <c r="E233" s="293"/>
      <c r="F233" s="293"/>
      <c r="G233" s="294"/>
      <c r="H233" s="300"/>
      <c r="I233" s="295"/>
      <c r="J233" s="295"/>
      <c r="K233" s="296"/>
      <c r="L233" s="301"/>
      <c r="M233" s="297"/>
      <c r="N233" s="298"/>
      <c r="P233" s="190" t="str">
        <f>IF(R233 = "", "", COUNT(R$4:$R233))</f>
        <v/>
      </c>
      <c r="Q233" s="190" t="str">
        <f t="shared" si="31"/>
        <v/>
      </c>
      <c r="R233" s="191" t="str">
        <f t="shared" si="32"/>
        <v/>
      </c>
      <c r="S233" s="192" t="str">
        <f t="shared" si="34"/>
        <v/>
      </c>
      <c r="T233" s="193" t="str">
        <f t="shared" si="35"/>
        <v/>
      </c>
      <c r="U233" s="194" t="str">
        <f t="shared" si="36"/>
        <v/>
      </c>
      <c r="V233" s="195" t="str">
        <f t="shared" si="33"/>
        <v/>
      </c>
      <c r="W233" s="336" t="str">
        <f t="shared" si="37"/>
        <v/>
      </c>
      <c r="X233" s="338" t="str">
        <f t="shared" si="38"/>
        <v/>
      </c>
      <c r="Y233" s="274"/>
      <c r="AR233" t="str">
        <f t="shared" si="39"/>
        <v/>
      </c>
      <c r="AS233" t="str">
        <f t="shared" si="40"/>
        <v/>
      </c>
    </row>
    <row r="234" spans="1:45">
      <c r="A234" s="291"/>
      <c r="B234" s="292"/>
      <c r="C234" s="293"/>
      <c r="D234" s="293"/>
      <c r="E234" s="293"/>
      <c r="F234" s="293"/>
      <c r="G234" s="294"/>
      <c r="H234" s="300"/>
      <c r="I234" s="295"/>
      <c r="J234" s="295"/>
      <c r="K234" s="296"/>
      <c r="L234" s="301"/>
      <c r="M234" s="297"/>
      <c r="N234" s="298"/>
      <c r="P234" s="190" t="str">
        <f>IF(R234 = "", "", COUNT(R$4:$R234))</f>
        <v/>
      </c>
      <c r="Q234" s="190" t="str">
        <f t="shared" si="31"/>
        <v/>
      </c>
      <c r="R234" s="191" t="str">
        <f t="shared" si="32"/>
        <v/>
      </c>
      <c r="S234" s="192" t="str">
        <f t="shared" si="34"/>
        <v/>
      </c>
      <c r="T234" s="193" t="str">
        <f t="shared" si="35"/>
        <v/>
      </c>
      <c r="U234" s="194" t="str">
        <f t="shared" si="36"/>
        <v/>
      </c>
      <c r="V234" s="195" t="str">
        <f t="shared" si="33"/>
        <v/>
      </c>
      <c r="W234" s="336" t="str">
        <f t="shared" si="37"/>
        <v/>
      </c>
      <c r="X234" s="338" t="str">
        <f t="shared" si="38"/>
        <v/>
      </c>
      <c r="Y234" s="274"/>
      <c r="AR234" t="str">
        <f t="shared" si="39"/>
        <v/>
      </c>
      <c r="AS234" t="str">
        <f t="shared" si="40"/>
        <v/>
      </c>
    </row>
    <row r="235" spans="1:45">
      <c r="A235" s="291"/>
      <c r="B235" s="292"/>
      <c r="C235" s="293"/>
      <c r="D235" s="293"/>
      <c r="E235" s="293"/>
      <c r="F235" s="293"/>
      <c r="G235" s="294"/>
      <c r="H235" s="300"/>
      <c r="I235" s="295"/>
      <c r="J235" s="295"/>
      <c r="K235" s="296"/>
      <c r="L235" s="301"/>
      <c r="M235" s="297"/>
      <c r="N235" s="298"/>
      <c r="P235" s="190" t="str">
        <f>IF(R235 = "", "", COUNT(R$4:$R235))</f>
        <v/>
      </c>
      <c r="Q235" s="190" t="str">
        <f t="shared" si="31"/>
        <v/>
      </c>
      <c r="R235" s="191" t="str">
        <f t="shared" si="32"/>
        <v/>
      </c>
      <c r="S235" s="192" t="str">
        <f t="shared" si="34"/>
        <v/>
      </c>
      <c r="T235" s="193" t="str">
        <f t="shared" si="35"/>
        <v/>
      </c>
      <c r="U235" s="194" t="str">
        <f t="shared" si="36"/>
        <v/>
      </c>
      <c r="V235" s="195" t="str">
        <f t="shared" si="33"/>
        <v/>
      </c>
      <c r="W235" s="336" t="str">
        <f t="shared" si="37"/>
        <v/>
      </c>
      <c r="X235" s="338" t="str">
        <f t="shared" si="38"/>
        <v/>
      </c>
      <c r="Y235" s="274"/>
      <c r="AR235" t="str">
        <f t="shared" si="39"/>
        <v/>
      </c>
      <c r="AS235" t="str">
        <f t="shared" si="40"/>
        <v/>
      </c>
    </row>
    <row r="236" spans="1:45">
      <c r="A236" s="291"/>
      <c r="B236" s="292"/>
      <c r="C236" s="293"/>
      <c r="D236" s="293"/>
      <c r="E236" s="293"/>
      <c r="F236" s="293"/>
      <c r="G236" s="294"/>
      <c r="H236" s="300"/>
      <c r="I236" s="295"/>
      <c r="J236" s="295"/>
      <c r="K236" s="296"/>
      <c r="L236" s="301"/>
      <c r="M236" s="297"/>
      <c r="N236" s="298"/>
      <c r="P236" s="190" t="str">
        <f>IF(R236 = "", "", COUNT(R$4:$R236))</f>
        <v/>
      </c>
      <c r="Q236" s="190" t="str">
        <f t="shared" si="31"/>
        <v/>
      </c>
      <c r="R236" s="191" t="str">
        <f t="shared" si="32"/>
        <v/>
      </c>
      <c r="S236" s="192" t="str">
        <f t="shared" si="34"/>
        <v/>
      </c>
      <c r="T236" s="193" t="str">
        <f t="shared" si="35"/>
        <v/>
      </c>
      <c r="U236" s="194" t="str">
        <f t="shared" si="36"/>
        <v/>
      </c>
      <c r="V236" s="195" t="str">
        <f t="shared" si="33"/>
        <v/>
      </c>
      <c r="W236" s="336" t="str">
        <f t="shared" si="37"/>
        <v/>
      </c>
      <c r="X236" s="338" t="str">
        <f t="shared" si="38"/>
        <v/>
      </c>
      <c r="Y236" s="274"/>
      <c r="AR236" t="str">
        <f t="shared" si="39"/>
        <v/>
      </c>
      <c r="AS236" t="str">
        <f t="shared" si="40"/>
        <v/>
      </c>
    </row>
    <row r="237" spans="1:45">
      <c r="A237" s="291"/>
      <c r="B237" s="292"/>
      <c r="C237" s="293"/>
      <c r="D237" s="293"/>
      <c r="E237" s="293"/>
      <c r="F237" s="293"/>
      <c r="G237" s="294"/>
      <c r="H237" s="300"/>
      <c r="I237" s="295"/>
      <c r="J237" s="295"/>
      <c r="K237" s="296"/>
      <c r="L237" s="301"/>
      <c r="M237" s="297"/>
      <c r="N237" s="298"/>
      <c r="P237" s="190" t="str">
        <f>IF(R237 = "", "", COUNT(R$4:$R237))</f>
        <v/>
      </c>
      <c r="Q237" s="190" t="str">
        <f t="shared" si="31"/>
        <v/>
      </c>
      <c r="R237" s="191" t="str">
        <f t="shared" si="32"/>
        <v/>
      </c>
      <c r="S237" s="192" t="str">
        <f t="shared" si="34"/>
        <v/>
      </c>
      <c r="T237" s="193" t="str">
        <f t="shared" si="35"/>
        <v/>
      </c>
      <c r="U237" s="194" t="str">
        <f t="shared" si="36"/>
        <v/>
      </c>
      <c r="V237" s="195" t="str">
        <f t="shared" si="33"/>
        <v/>
      </c>
      <c r="W237" s="336" t="str">
        <f t="shared" si="37"/>
        <v/>
      </c>
      <c r="X237" s="338" t="str">
        <f t="shared" si="38"/>
        <v/>
      </c>
      <c r="Y237" s="274"/>
      <c r="AR237" t="str">
        <f t="shared" si="39"/>
        <v/>
      </c>
      <c r="AS237" t="str">
        <f t="shared" si="40"/>
        <v/>
      </c>
    </row>
    <row r="238" spans="1:45">
      <c r="A238" s="291"/>
      <c r="B238" s="292"/>
      <c r="C238" s="293"/>
      <c r="D238" s="293"/>
      <c r="E238" s="293"/>
      <c r="F238" s="293"/>
      <c r="G238" s="294"/>
      <c r="H238" s="300"/>
      <c r="I238" s="295"/>
      <c r="J238" s="295"/>
      <c r="K238" s="296"/>
      <c r="L238" s="301"/>
      <c r="M238" s="297"/>
      <c r="N238" s="298"/>
      <c r="P238" s="190" t="str">
        <f>IF(R238 = "", "", COUNT(R$4:$R238))</f>
        <v/>
      </c>
      <c r="Q238" s="190" t="str">
        <f t="shared" si="31"/>
        <v/>
      </c>
      <c r="R238" s="191" t="str">
        <f t="shared" si="32"/>
        <v/>
      </c>
      <c r="S238" s="192" t="str">
        <f t="shared" si="34"/>
        <v/>
      </c>
      <c r="T238" s="193" t="str">
        <f t="shared" si="35"/>
        <v/>
      </c>
      <c r="U238" s="194" t="str">
        <f t="shared" si="36"/>
        <v/>
      </c>
      <c r="V238" s="195" t="str">
        <f t="shared" si="33"/>
        <v/>
      </c>
      <c r="W238" s="336" t="str">
        <f t="shared" si="37"/>
        <v/>
      </c>
      <c r="X238" s="338" t="str">
        <f t="shared" si="38"/>
        <v/>
      </c>
      <c r="Y238" s="274"/>
      <c r="AR238" t="str">
        <f t="shared" si="39"/>
        <v/>
      </c>
      <c r="AS238" t="str">
        <f t="shared" si="40"/>
        <v/>
      </c>
    </row>
    <row r="239" spans="1:45">
      <c r="A239" s="291"/>
      <c r="B239" s="292"/>
      <c r="C239" s="293"/>
      <c r="D239" s="293"/>
      <c r="E239" s="293"/>
      <c r="F239" s="293"/>
      <c r="G239" s="294"/>
      <c r="H239" s="300"/>
      <c r="I239" s="295"/>
      <c r="J239" s="295"/>
      <c r="K239" s="296"/>
      <c r="L239" s="301"/>
      <c r="M239" s="297"/>
      <c r="N239" s="298"/>
      <c r="P239" s="190" t="str">
        <f>IF(R239 = "", "", COUNT(R$4:$R239))</f>
        <v/>
      </c>
      <c r="Q239" s="190" t="str">
        <f t="shared" si="31"/>
        <v/>
      </c>
      <c r="R239" s="191" t="str">
        <f t="shared" si="32"/>
        <v/>
      </c>
      <c r="S239" s="192" t="str">
        <f t="shared" si="34"/>
        <v/>
      </c>
      <c r="T239" s="193" t="str">
        <f t="shared" si="35"/>
        <v/>
      </c>
      <c r="U239" s="194" t="str">
        <f t="shared" si="36"/>
        <v/>
      </c>
      <c r="V239" s="195" t="str">
        <f t="shared" si="33"/>
        <v/>
      </c>
      <c r="W239" s="336" t="str">
        <f t="shared" si="37"/>
        <v/>
      </c>
      <c r="X239" s="338" t="str">
        <f t="shared" si="38"/>
        <v/>
      </c>
      <c r="Y239" s="274"/>
      <c r="AR239" t="str">
        <f t="shared" si="39"/>
        <v/>
      </c>
      <c r="AS239" t="str">
        <f t="shared" si="40"/>
        <v/>
      </c>
    </row>
    <row r="240" spans="1:45">
      <c r="A240" s="291"/>
      <c r="B240" s="292"/>
      <c r="C240" s="293"/>
      <c r="D240" s="293"/>
      <c r="E240" s="293"/>
      <c r="F240" s="293"/>
      <c r="G240" s="294"/>
      <c r="H240" s="300"/>
      <c r="I240" s="295"/>
      <c r="J240" s="295"/>
      <c r="K240" s="296"/>
      <c r="L240" s="301"/>
      <c r="M240" s="297"/>
      <c r="N240" s="298"/>
      <c r="P240" s="190" t="str">
        <f>IF(R240 = "", "", COUNT(R$4:$R240))</f>
        <v/>
      </c>
      <c r="Q240" s="190" t="str">
        <f t="shared" si="31"/>
        <v/>
      </c>
      <c r="R240" s="191" t="str">
        <f t="shared" si="32"/>
        <v/>
      </c>
      <c r="S240" s="192" t="str">
        <f t="shared" si="34"/>
        <v/>
      </c>
      <c r="T240" s="193" t="str">
        <f t="shared" si="35"/>
        <v/>
      </c>
      <c r="U240" s="194" t="str">
        <f t="shared" si="36"/>
        <v/>
      </c>
      <c r="V240" s="195" t="str">
        <f t="shared" si="33"/>
        <v/>
      </c>
      <c r="W240" s="336" t="str">
        <f t="shared" si="37"/>
        <v/>
      </c>
      <c r="X240" s="338" t="str">
        <f t="shared" si="38"/>
        <v/>
      </c>
      <c r="Y240" s="274"/>
      <c r="AR240" t="str">
        <f t="shared" si="39"/>
        <v/>
      </c>
      <c r="AS240" t="str">
        <f t="shared" si="40"/>
        <v/>
      </c>
    </row>
    <row r="241" spans="1:45">
      <c r="A241" s="291"/>
      <c r="B241" s="292"/>
      <c r="C241" s="293"/>
      <c r="D241" s="293"/>
      <c r="E241" s="293"/>
      <c r="F241" s="293"/>
      <c r="G241" s="294"/>
      <c r="H241" s="300"/>
      <c r="I241" s="295"/>
      <c r="J241" s="295"/>
      <c r="K241" s="296"/>
      <c r="L241" s="301"/>
      <c r="M241" s="297"/>
      <c r="N241" s="298"/>
      <c r="P241" s="190" t="str">
        <f>IF(R241 = "", "", COUNT(R$4:$R241))</f>
        <v/>
      </c>
      <c r="Q241" s="190" t="str">
        <f t="shared" si="31"/>
        <v/>
      </c>
      <c r="R241" s="191" t="str">
        <f t="shared" si="32"/>
        <v/>
      </c>
      <c r="S241" s="192" t="str">
        <f t="shared" si="34"/>
        <v/>
      </c>
      <c r="T241" s="193" t="str">
        <f t="shared" si="35"/>
        <v/>
      </c>
      <c r="U241" s="194" t="str">
        <f t="shared" si="36"/>
        <v/>
      </c>
      <c r="V241" s="195" t="str">
        <f t="shared" si="33"/>
        <v/>
      </c>
      <c r="W241" s="336" t="str">
        <f t="shared" si="37"/>
        <v/>
      </c>
      <c r="X241" s="338" t="str">
        <f t="shared" si="38"/>
        <v/>
      </c>
      <c r="Y241" s="274"/>
      <c r="AR241" t="str">
        <f t="shared" si="39"/>
        <v/>
      </c>
      <c r="AS241" t="str">
        <f t="shared" si="40"/>
        <v/>
      </c>
    </row>
    <row r="242" spans="1:45">
      <c r="A242" s="291"/>
      <c r="B242" s="292"/>
      <c r="C242" s="293"/>
      <c r="D242" s="293"/>
      <c r="E242" s="293"/>
      <c r="F242" s="293"/>
      <c r="G242" s="294"/>
      <c r="H242" s="300"/>
      <c r="I242" s="295"/>
      <c r="J242" s="295"/>
      <c r="K242" s="296"/>
      <c r="L242" s="301"/>
      <c r="M242" s="297"/>
      <c r="N242" s="298"/>
      <c r="P242" s="190" t="str">
        <f>IF(R242 = "", "", COUNT(R$4:$R242))</f>
        <v/>
      </c>
      <c r="Q242" s="190" t="str">
        <f t="shared" si="31"/>
        <v/>
      </c>
      <c r="R242" s="191" t="str">
        <f t="shared" si="32"/>
        <v/>
      </c>
      <c r="S242" s="192" t="str">
        <f t="shared" si="34"/>
        <v/>
      </c>
      <c r="T242" s="193" t="str">
        <f t="shared" si="35"/>
        <v/>
      </c>
      <c r="U242" s="194" t="str">
        <f t="shared" si="36"/>
        <v/>
      </c>
      <c r="V242" s="195" t="str">
        <f t="shared" si="33"/>
        <v/>
      </c>
      <c r="W242" s="336" t="str">
        <f t="shared" si="37"/>
        <v/>
      </c>
      <c r="X242" s="338" t="str">
        <f t="shared" si="38"/>
        <v/>
      </c>
      <c r="Y242" s="274"/>
      <c r="AR242" t="str">
        <f t="shared" si="39"/>
        <v/>
      </c>
      <c r="AS242" t="str">
        <f t="shared" si="40"/>
        <v/>
      </c>
    </row>
    <row r="243" spans="1:45">
      <c r="A243" s="291"/>
      <c r="B243" s="292"/>
      <c r="C243" s="293"/>
      <c r="D243" s="293"/>
      <c r="E243" s="293"/>
      <c r="F243" s="293"/>
      <c r="G243" s="294"/>
      <c r="H243" s="300"/>
      <c r="I243" s="295"/>
      <c r="J243" s="295"/>
      <c r="K243" s="296"/>
      <c r="L243" s="301"/>
      <c r="M243" s="297"/>
      <c r="N243" s="298"/>
      <c r="P243" s="190" t="str">
        <f>IF(R243 = "", "", COUNT(R$4:$R243))</f>
        <v/>
      </c>
      <c r="Q243" s="190" t="str">
        <f t="shared" si="31"/>
        <v/>
      </c>
      <c r="R243" s="191" t="str">
        <f t="shared" si="32"/>
        <v/>
      </c>
      <c r="S243" s="192" t="str">
        <f t="shared" si="34"/>
        <v/>
      </c>
      <c r="T243" s="193" t="str">
        <f t="shared" si="35"/>
        <v/>
      </c>
      <c r="U243" s="194" t="str">
        <f t="shared" si="36"/>
        <v/>
      </c>
      <c r="V243" s="195" t="str">
        <f t="shared" si="33"/>
        <v/>
      </c>
      <c r="W243" s="336" t="str">
        <f t="shared" si="37"/>
        <v/>
      </c>
      <c r="X243" s="338" t="str">
        <f t="shared" si="38"/>
        <v/>
      </c>
      <c r="Y243" s="274"/>
      <c r="AR243" t="str">
        <f t="shared" si="39"/>
        <v/>
      </c>
      <c r="AS243" t="str">
        <f t="shared" si="40"/>
        <v/>
      </c>
    </row>
    <row r="244" spans="1:45">
      <c r="A244" s="291"/>
      <c r="B244" s="292"/>
      <c r="C244" s="293"/>
      <c r="D244" s="293"/>
      <c r="E244" s="293"/>
      <c r="F244" s="293"/>
      <c r="G244" s="294"/>
      <c r="H244" s="300"/>
      <c r="I244" s="295"/>
      <c r="J244" s="295"/>
      <c r="K244" s="296"/>
      <c r="L244" s="301"/>
      <c r="M244" s="297"/>
      <c r="N244" s="298"/>
      <c r="P244" s="190" t="str">
        <f>IF(R244 = "", "", COUNT(R$4:$R244))</f>
        <v/>
      </c>
      <c r="Q244" s="190" t="str">
        <f t="shared" si="31"/>
        <v/>
      </c>
      <c r="R244" s="191" t="str">
        <f t="shared" si="32"/>
        <v/>
      </c>
      <c r="S244" s="192" t="str">
        <f t="shared" si="34"/>
        <v/>
      </c>
      <c r="T244" s="193" t="str">
        <f t="shared" si="35"/>
        <v/>
      </c>
      <c r="U244" s="194" t="str">
        <f t="shared" si="36"/>
        <v/>
      </c>
      <c r="V244" s="195" t="str">
        <f t="shared" si="33"/>
        <v/>
      </c>
      <c r="W244" s="336" t="str">
        <f t="shared" si="37"/>
        <v/>
      </c>
      <c r="X244" s="338" t="str">
        <f t="shared" si="38"/>
        <v/>
      </c>
      <c r="Y244" s="274"/>
      <c r="AR244" t="str">
        <f t="shared" si="39"/>
        <v/>
      </c>
      <c r="AS244" t="str">
        <f t="shared" si="40"/>
        <v/>
      </c>
    </row>
    <row r="245" spans="1:45">
      <c r="A245" s="291"/>
      <c r="B245" s="292"/>
      <c r="C245" s="293"/>
      <c r="D245" s="293"/>
      <c r="E245" s="293"/>
      <c r="F245" s="293"/>
      <c r="G245" s="294"/>
      <c r="H245" s="300"/>
      <c r="I245" s="295"/>
      <c r="J245" s="295"/>
      <c r="K245" s="296"/>
      <c r="L245" s="301"/>
      <c r="M245" s="297"/>
      <c r="N245" s="298"/>
      <c r="P245" s="190" t="str">
        <f>IF(R245 = "", "", COUNT(R$4:$R245))</f>
        <v/>
      </c>
      <c r="Q245" s="190" t="str">
        <f t="shared" si="31"/>
        <v/>
      </c>
      <c r="R245" s="191" t="str">
        <f t="shared" si="32"/>
        <v/>
      </c>
      <c r="S245" s="192" t="str">
        <f t="shared" si="34"/>
        <v/>
      </c>
      <c r="T245" s="193" t="str">
        <f t="shared" si="35"/>
        <v/>
      </c>
      <c r="U245" s="194" t="str">
        <f t="shared" si="36"/>
        <v/>
      </c>
      <c r="V245" s="195" t="str">
        <f t="shared" si="33"/>
        <v/>
      </c>
      <c r="W245" s="336" t="str">
        <f t="shared" si="37"/>
        <v/>
      </c>
      <c r="X245" s="338" t="str">
        <f t="shared" si="38"/>
        <v/>
      </c>
      <c r="Y245" s="274"/>
      <c r="AR245" t="str">
        <f t="shared" si="39"/>
        <v/>
      </c>
      <c r="AS245" t="str">
        <f t="shared" si="40"/>
        <v/>
      </c>
    </row>
    <row r="246" spans="1:45">
      <c r="A246" s="291"/>
      <c r="B246" s="292"/>
      <c r="C246" s="293"/>
      <c r="D246" s="293"/>
      <c r="E246" s="293"/>
      <c r="F246" s="293"/>
      <c r="G246" s="294"/>
      <c r="H246" s="300"/>
      <c r="I246" s="295"/>
      <c r="J246" s="295"/>
      <c r="K246" s="296"/>
      <c r="L246" s="301"/>
      <c r="M246" s="297"/>
      <c r="N246" s="298"/>
      <c r="P246" s="190" t="str">
        <f>IF(R246 = "", "", COUNT(R$4:$R246))</f>
        <v/>
      </c>
      <c r="Q246" s="190" t="str">
        <f t="shared" si="31"/>
        <v/>
      </c>
      <c r="R246" s="191" t="str">
        <f t="shared" si="32"/>
        <v/>
      </c>
      <c r="S246" s="192" t="str">
        <f t="shared" si="34"/>
        <v/>
      </c>
      <c r="T246" s="193" t="str">
        <f t="shared" si="35"/>
        <v/>
      </c>
      <c r="U246" s="194" t="str">
        <f t="shared" si="36"/>
        <v/>
      </c>
      <c r="V246" s="195" t="str">
        <f t="shared" si="33"/>
        <v/>
      </c>
      <c r="W246" s="336" t="str">
        <f t="shared" si="37"/>
        <v/>
      </c>
      <c r="X246" s="338" t="str">
        <f t="shared" si="38"/>
        <v/>
      </c>
      <c r="Y246" s="274"/>
      <c r="AR246" t="str">
        <f t="shared" si="39"/>
        <v/>
      </c>
      <c r="AS246" t="str">
        <f t="shared" si="40"/>
        <v/>
      </c>
    </row>
    <row r="247" spans="1:45">
      <c r="A247" s="291"/>
      <c r="B247" s="292"/>
      <c r="C247" s="293"/>
      <c r="D247" s="293"/>
      <c r="E247" s="293"/>
      <c r="F247" s="293"/>
      <c r="G247" s="294"/>
      <c r="H247" s="300"/>
      <c r="I247" s="295"/>
      <c r="J247" s="295"/>
      <c r="K247" s="296"/>
      <c r="L247" s="301"/>
      <c r="M247" s="297"/>
      <c r="N247" s="298"/>
      <c r="P247" s="190" t="str">
        <f>IF(R247 = "", "", COUNT(R$4:$R247))</f>
        <v/>
      </c>
      <c r="Q247" s="190" t="str">
        <f t="shared" si="31"/>
        <v/>
      </c>
      <c r="R247" s="191" t="str">
        <f t="shared" si="32"/>
        <v/>
      </c>
      <c r="S247" s="192" t="str">
        <f t="shared" si="34"/>
        <v/>
      </c>
      <c r="T247" s="193" t="str">
        <f t="shared" si="35"/>
        <v/>
      </c>
      <c r="U247" s="194" t="str">
        <f t="shared" si="36"/>
        <v/>
      </c>
      <c r="V247" s="195" t="str">
        <f t="shared" si="33"/>
        <v/>
      </c>
      <c r="W247" s="336" t="str">
        <f t="shared" si="37"/>
        <v/>
      </c>
      <c r="X247" s="338" t="str">
        <f t="shared" si="38"/>
        <v/>
      </c>
      <c r="Y247" s="274"/>
      <c r="AR247" t="str">
        <f t="shared" si="39"/>
        <v/>
      </c>
      <c r="AS247" t="str">
        <f t="shared" si="40"/>
        <v/>
      </c>
    </row>
    <row r="248" spans="1:45">
      <c r="A248" s="291"/>
      <c r="B248" s="292"/>
      <c r="C248" s="293"/>
      <c r="D248" s="293"/>
      <c r="E248" s="293"/>
      <c r="F248" s="293"/>
      <c r="G248" s="294"/>
      <c r="H248" s="300"/>
      <c r="I248" s="295"/>
      <c r="J248" s="295"/>
      <c r="K248" s="296"/>
      <c r="L248" s="301"/>
      <c r="M248" s="297"/>
      <c r="N248" s="298"/>
      <c r="P248" s="190" t="str">
        <f>IF(R248 = "", "", COUNT(R$4:$R248))</f>
        <v/>
      </c>
      <c r="Q248" s="190" t="str">
        <f t="shared" si="31"/>
        <v/>
      </c>
      <c r="R248" s="191" t="str">
        <f t="shared" si="32"/>
        <v/>
      </c>
      <c r="S248" s="192" t="str">
        <f t="shared" si="34"/>
        <v/>
      </c>
      <c r="T248" s="193" t="str">
        <f t="shared" si="35"/>
        <v/>
      </c>
      <c r="U248" s="194" t="str">
        <f t="shared" si="36"/>
        <v/>
      </c>
      <c r="V248" s="195" t="str">
        <f t="shared" si="33"/>
        <v/>
      </c>
      <c r="W248" s="336" t="str">
        <f t="shared" si="37"/>
        <v/>
      </c>
      <c r="X248" s="338" t="str">
        <f t="shared" si="38"/>
        <v/>
      </c>
      <c r="Y248" s="274"/>
      <c r="AR248" t="str">
        <f t="shared" si="39"/>
        <v/>
      </c>
      <c r="AS248" t="str">
        <f t="shared" si="40"/>
        <v/>
      </c>
    </row>
    <row r="249" spans="1:45">
      <c r="A249" s="291"/>
      <c r="B249" s="292"/>
      <c r="C249" s="293"/>
      <c r="D249" s="293"/>
      <c r="E249" s="293"/>
      <c r="F249" s="293"/>
      <c r="G249" s="294"/>
      <c r="H249" s="300"/>
      <c r="I249" s="295"/>
      <c r="J249" s="295"/>
      <c r="K249" s="296"/>
      <c r="L249" s="301"/>
      <c r="M249" s="297"/>
      <c r="N249" s="298"/>
      <c r="P249" s="190" t="str">
        <f>IF(R249 = "", "", COUNT(R$4:$R249))</f>
        <v/>
      </c>
      <c r="Q249" s="190" t="str">
        <f t="shared" si="31"/>
        <v/>
      </c>
      <c r="R249" s="191" t="str">
        <f t="shared" si="32"/>
        <v/>
      </c>
      <c r="S249" s="192" t="str">
        <f t="shared" si="34"/>
        <v/>
      </c>
      <c r="T249" s="193" t="str">
        <f t="shared" si="35"/>
        <v/>
      </c>
      <c r="U249" s="194" t="str">
        <f t="shared" si="36"/>
        <v/>
      </c>
      <c r="V249" s="195" t="str">
        <f t="shared" si="33"/>
        <v/>
      </c>
      <c r="W249" s="336" t="str">
        <f t="shared" si="37"/>
        <v/>
      </c>
      <c r="X249" s="338" t="str">
        <f t="shared" si="38"/>
        <v/>
      </c>
      <c r="Y249" s="274"/>
      <c r="AR249" t="str">
        <f t="shared" si="39"/>
        <v/>
      </c>
      <c r="AS249" t="str">
        <f t="shared" si="40"/>
        <v/>
      </c>
    </row>
    <row r="250" spans="1:45">
      <c r="A250" s="291"/>
      <c r="B250" s="292"/>
      <c r="C250" s="293"/>
      <c r="D250" s="293"/>
      <c r="E250" s="293"/>
      <c r="F250" s="293"/>
      <c r="G250" s="294"/>
      <c r="H250" s="300"/>
      <c r="I250" s="295"/>
      <c r="J250" s="295"/>
      <c r="K250" s="296"/>
      <c r="L250" s="301"/>
      <c r="M250" s="297"/>
      <c r="N250" s="298"/>
      <c r="P250" s="190" t="str">
        <f>IF(R250 = "", "", COUNT(R$4:$R250))</f>
        <v/>
      </c>
      <c r="Q250" s="190" t="str">
        <f t="shared" si="31"/>
        <v/>
      </c>
      <c r="R250" s="191" t="str">
        <f t="shared" si="32"/>
        <v/>
      </c>
      <c r="S250" s="192" t="str">
        <f t="shared" si="34"/>
        <v/>
      </c>
      <c r="T250" s="193" t="str">
        <f t="shared" si="35"/>
        <v/>
      </c>
      <c r="U250" s="194" t="str">
        <f t="shared" si="36"/>
        <v/>
      </c>
      <c r="V250" s="195" t="str">
        <f t="shared" si="33"/>
        <v/>
      </c>
      <c r="W250" s="336" t="str">
        <f t="shared" si="37"/>
        <v/>
      </c>
      <c r="X250" s="338" t="str">
        <f t="shared" si="38"/>
        <v/>
      </c>
      <c r="Y250" s="274"/>
      <c r="AR250" t="str">
        <f t="shared" si="39"/>
        <v/>
      </c>
      <c r="AS250" t="str">
        <f t="shared" si="40"/>
        <v/>
      </c>
    </row>
    <row r="251" spans="1:45">
      <c r="A251" s="291"/>
      <c r="B251" s="292"/>
      <c r="C251" s="293"/>
      <c r="D251" s="293"/>
      <c r="E251" s="293"/>
      <c r="F251" s="293"/>
      <c r="G251" s="294"/>
      <c r="H251" s="300"/>
      <c r="I251" s="295"/>
      <c r="J251" s="295"/>
      <c r="K251" s="296"/>
      <c r="L251" s="301"/>
      <c r="M251" s="297"/>
      <c r="N251" s="298"/>
      <c r="P251" s="190" t="str">
        <f>IF(R251 = "", "", COUNT(R$4:$R251))</f>
        <v/>
      </c>
      <c r="Q251" s="190" t="str">
        <f t="shared" si="31"/>
        <v/>
      </c>
      <c r="R251" s="191" t="str">
        <f t="shared" si="32"/>
        <v/>
      </c>
      <c r="S251" s="192" t="str">
        <f t="shared" si="34"/>
        <v/>
      </c>
      <c r="T251" s="193" t="str">
        <f t="shared" si="35"/>
        <v/>
      </c>
      <c r="U251" s="194" t="str">
        <f t="shared" si="36"/>
        <v/>
      </c>
      <c r="V251" s="195" t="str">
        <f t="shared" si="33"/>
        <v/>
      </c>
      <c r="W251" s="336" t="str">
        <f t="shared" si="37"/>
        <v/>
      </c>
      <c r="X251" s="338" t="str">
        <f t="shared" si="38"/>
        <v/>
      </c>
      <c r="Y251" s="274"/>
      <c r="AR251" t="str">
        <f t="shared" si="39"/>
        <v/>
      </c>
      <c r="AS251" t="str">
        <f t="shared" si="40"/>
        <v/>
      </c>
    </row>
    <row r="252" spans="1:45">
      <c r="A252" s="291"/>
      <c r="B252" s="292"/>
      <c r="C252" s="293"/>
      <c r="D252" s="293"/>
      <c r="E252" s="293"/>
      <c r="F252" s="293"/>
      <c r="G252" s="294"/>
      <c r="H252" s="300"/>
      <c r="I252" s="295"/>
      <c r="J252" s="295"/>
      <c r="K252" s="296"/>
      <c r="L252" s="301"/>
      <c r="M252" s="297"/>
      <c r="N252" s="298"/>
      <c r="P252" s="190" t="str">
        <f>IF(R252 = "", "", COUNT(R$4:$R252))</f>
        <v/>
      </c>
      <c r="Q252" s="190" t="str">
        <f t="shared" si="31"/>
        <v/>
      </c>
      <c r="R252" s="191" t="str">
        <f t="shared" si="32"/>
        <v/>
      </c>
      <c r="S252" s="192" t="str">
        <f t="shared" si="34"/>
        <v/>
      </c>
      <c r="T252" s="193" t="str">
        <f t="shared" si="35"/>
        <v/>
      </c>
      <c r="U252" s="194" t="str">
        <f t="shared" si="36"/>
        <v/>
      </c>
      <c r="V252" s="195" t="str">
        <f t="shared" si="33"/>
        <v/>
      </c>
      <c r="W252" s="336" t="str">
        <f t="shared" si="37"/>
        <v/>
      </c>
      <c r="X252" s="338" t="str">
        <f t="shared" si="38"/>
        <v/>
      </c>
      <c r="Y252" s="274"/>
      <c r="AR252" t="str">
        <f t="shared" si="39"/>
        <v/>
      </c>
      <c r="AS252" t="str">
        <f t="shared" si="40"/>
        <v/>
      </c>
    </row>
    <row r="253" spans="1:45">
      <c r="A253" s="291"/>
      <c r="B253" s="292"/>
      <c r="C253" s="293"/>
      <c r="D253" s="293"/>
      <c r="E253" s="293"/>
      <c r="F253" s="293"/>
      <c r="G253" s="294"/>
      <c r="H253" s="300"/>
      <c r="I253" s="295"/>
      <c r="J253" s="295"/>
      <c r="K253" s="296"/>
      <c r="L253" s="301"/>
      <c r="M253" s="297"/>
      <c r="N253" s="298"/>
      <c r="P253" s="190" t="str">
        <f>IF(R253 = "", "", COUNT(R$4:$R253))</f>
        <v/>
      </c>
      <c r="Q253" s="190" t="str">
        <f t="shared" si="31"/>
        <v/>
      </c>
      <c r="R253" s="191" t="str">
        <f t="shared" si="32"/>
        <v/>
      </c>
      <c r="S253" s="192" t="str">
        <f t="shared" si="34"/>
        <v/>
      </c>
      <c r="T253" s="193" t="str">
        <f t="shared" si="35"/>
        <v/>
      </c>
      <c r="U253" s="194" t="str">
        <f t="shared" si="36"/>
        <v/>
      </c>
      <c r="V253" s="195" t="str">
        <f t="shared" si="33"/>
        <v/>
      </c>
      <c r="W253" s="336" t="str">
        <f t="shared" si="37"/>
        <v/>
      </c>
      <c r="X253" s="338" t="str">
        <f t="shared" si="38"/>
        <v/>
      </c>
      <c r="Y253" s="274"/>
      <c r="AR253" t="str">
        <f t="shared" si="39"/>
        <v/>
      </c>
      <c r="AS253" t="str">
        <f t="shared" si="40"/>
        <v/>
      </c>
    </row>
    <row r="254" spans="1:45">
      <c r="A254" s="291"/>
      <c r="B254" s="292"/>
      <c r="C254" s="293"/>
      <c r="D254" s="293"/>
      <c r="E254" s="293"/>
      <c r="F254" s="293"/>
      <c r="G254" s="294"/>
      <c r="H254" s="300"/>
      <c r="I254" s="295"/>
      <c r="J254" s="295"/>
      <c r="K254" s="296"/>
      <c r="L254" s="301"/>
      <c r="M254" s="297"/>
      <c r="N254" s="298"/>
      <c r="P254" s="190" t="str">
        <f>IF(R254 = "", "", COUNT(R$4:$R254))</f>
        <v/>
      </c>
      <c r="Q254" s="190" t="str">
        <f t="shared" si="31"/>
        <v/>
      </c>
      <c r="R254" s="191" t="str">
        <f t="shared" si="32"/>
        <v/>
      </c>
      <c r="S254" s="192" t="str">
        <f t="shared" si="34"/>
        <v/>
      </c>
      <c r="T254" s="193" t="str">
        <f t="shared" si="35"/>
        <v/>
      </c>
      <c r="U254" s="194" t="str">
        <f t="shared" si="36"/>
        <v/>
      </c>
      <c r="V254" s="195" t="str">
        <f t="shared" si="33"/>
        <v/>
      </c>
      <c r="W254" s="336" t="str">
        <f t="shared" si="37"/>
        <v/>
      </c>
      <c r="X254" s="338" t="str">
        <f t="shared" si="38"/>
        <v/>
      </c>
      <c r="Y254" s="274"/>
      <c r="AR254" t="str">
        <f t="shared" si="39"/>
        <v/>
      </c>
      <c r="AS254" t="str">
        <f t="shared" si="40"/>
        <v/>
      </c>
    </row>
    <row r="255" spans="1:45">
      <c r="A255" s="291"/>
      <c r="B255" s="292"/>
      <c r="C255" s="293"/>
      <c r="D255" s="293"/>
      <c r="E255" s="293"/>
      <c r="F255" s="293"/>
      <c r="G255" s="294"/>
      <c r="H255" s="300"/>
      <c r="I255" s="295"/>
      <c r="J255" s="295"/>
      <c r="K255" s="296"/>
      <c r="L255" s="301"/>
      <c r="M255" s="297"/>
      <c r="N255" s="298"/>
      <c r="P255" s="190" t="str">
        <f>IF(R255 = "", "", COUNT(R$4:$R255))</f>
        <v/>
      </c>
      <c r="Q255" s="190" t="str">
        <f t="shared" si="31"/>
        <v/>
      </c>
      <c r="R255" s="191" t="str">
        <f t="shared" si="32"/>
        <v/>
      </c>
      <c r="S255" s="192" t="str">
        <f t="shared" si="34"/>
        <v/>
      </c>
      <c r="T255" s="193" t="str">
        <f t="shared" si="35"/>
        <v/>
      </c>
      <c r="U255" s="194" t="str">
        <f t="shared" si="36"/>
        <v/>
      </c>
      <c r="V255" s="195" t="str">
        <f t="shared" si="33"/>
        <v/>
      </c>
      <c r="W255" s="336" t="str">
        <f t="shared" si="37"/>
        <v/>
      </c>
      <c r="X255" s="338" t="str">
        <f t="shared" si="38"/>
        <v/>
      </c>
      <c r="Y255" s="274"/>
      <c r="AR255" t="str">
        <f t="shared" si="39"/>
        <v/>
      </c>
      <c r="AS255" t="str">
        <f t="shared" si="40"/>
        <v/>
      </c>
    </row>
    <row r="256" spans="1:45">
      <c r="A256" s="291"/>
      <c r="B256" s="292"/>
      <c r="C256" s="293"/>
      <c r="D256" s="293"/>
      <c r="E256" s="293"/>
      <c r="F256" s="293"/>
      <c r="G256" s="294"/>
      <c r="H256" s="300"/>
      <c r="I256" s="295"/>
      <c r="J256" s="295"/>
      <c r="K256" s="296"/>
      <c r="L256" s="301"/>
      <c r="M256" s="297"/>
      <c r="N256" s="298"/>
      <c r="P256" s="190" t="str">
        <f>IF(R256 = "", "", COUNT(R$4:$R256))</f>
        <v/>
      </c>
      <c r="Q256" s="190" t="str">
        <f t="shared" si="31"/>
        <v/>
      </c>
      <c r="R256" s="191" t="str">
        <f t="shared" si="32"/>
        <v/>
      </c>
      <c r="S256" s="192" t="str">
        <f t="shared" si="34"/>
        <v/>
      </c>
      <c r="T256" s="193" t="str">
        <f t="shared" si="35"/>
        <v/>
      </c>
      <c r="U256" s="194" t="str">
        <f t="shared" si="36"/>
        <v/>
      </c>
      <c r="V256" s="195" t="str">
        <f t="shared" si="33"/>
        <v/>
      </c>
      <c r="W256" s="336" t="str">
        <f t="shared" si="37"/>
        <v/>
      </c>
      <c r="X256" s="338" t="str">
        <f t="shared" si="38"/>
        <v/>
      </c>
      <c r="Y256" s="274"/>
      <c r="AR256" t="str">
        <f t="shared" si="39"/>
        <v/>
      </c>
      <c r="AS256" t="str">
        <f t="shared" si="40"/>
        <v/>
      </c>
    </row>
    <row r="257" spans="1:45">
      <c r="A257" s="291"/>
      <c r="B257" s="292"/>
      <c r="C257" s="293"/>
      <c r="D257" s="293"/>
      <c r="E257" s="293"/>
      <c r="F257" s="293"/>
      <c r="G257" s="294"/>
      <c r="H257" s="300"/>
      <c r="I257" s="295"/>
      <c r="J257" s="295"/>
      <c r="K257" s="296"/>
      <c r="L257" s="301"/>
      <c r="M257" s="297"/>
      <c r="N257" s="298"/>
      <c r="P257" s="190" t="str">
        <f>IF(R257 = "", "", COUNT(R$4:$R257))</f>
        <v/>
      </c>
      <c r="Q257" s="190" t="str">
        <f t="shared" si="31"/>
        <v/>
      </c>
      <c r="R257" s="191" t="str">
        <f t="shared" si="32"/>
        <v/>
      </c>
      <c r="S257" s="192" t="str">
        <f t="shared" si="34"/>
        <v/>
      </c>
      <c r="T257" s="193" t="str">
        <f t="shared" si="35"/>
        <v/>
      </c>
      <c r="U257" s="194" t="str">
        <f t="shared" si="36"/>
        <v/>
      </c>
      <c r="V257" s="195" t="str">
        <f t="shared" si="33"/>
        <v/>
      </c>
      <c r="W257" s="336" t="str">
        <f t="shared" si="37"/>
        <v/>
      </c>
      <c r="X257" s="338" t="str">
        <f t="shared" si="38"/>
        <v/>
      </c>
      <c r="Y257" s="274"/>
      <c r="AR257" t="str">
        <f t="shared" si="39"/>
        <v/>
      </c>
      <c r="AS257" t="str">
        <f t="shared" si="40"/>
        <v/>
      </c>
    </row>
    <row r="258" spans="1:45">
      <c r="A258" s="291"/>
      <c r="B258" s="292"/>
      <c r="C258" s="293"/>
      <c r="D258" s="293"/>
      <c r="E258" s="293"/>
      <c r="F258" s="293"/>
      <c r="G258" s="294"/>
      <c r="H258" s="300"/>
      <c r="I258" s="295"/>
      <c r="J258" s="295"/>
      <c r="K258" s="296"/>
      <c r="L258" s="301"/>
      <c r="M258" s="297"/>
      <c r="N258" s="298"/>
      <c r="P258" s="190" t="str">
        <f>IF(R258 = "", "", COUNT(R$4:$R258))</f>
        <v/>
      </c>
      <c r="Q258" s="190" t="str">
        <f t="shared" si="31"/>
        <v/>
      </c>
      <c r="R258" s="191" t="str">
        <f t="shared" si="32"/>
        <v/>
      </c>
      <c r="S258" s="192" t="str">
        <f t="shared" si="34"/>
        <v/>
      </c>
      <c r="T258" s="193" t="str">
        <f t="shared" si="35"/>
        <v/>
      </c>
      <c r="U258" s="194" t="str">
        <f t="shared" si="36"/>
        <v/>
      </c>
      <c r="V258" s="195" t="str">
        <f t="shared" si="33"/>
        <v/>
      </c>
      <c r="W258" s="336" t="str">
        <f t="shared" si="37"/>
        <v/>
      </c>
      <c r="X258" s="338" t="str">
        <f t="shared" si="38"/>
        <v/>
      </c>
      <c r="Y258" s="274"/>
      <c r="AR258" t="str">
        <f t="shared" si="39"/>
        <v/>
      </c>
      <c r="AS258" t="str">
        <f t="shared" si="40"/>
        <v/>
      </c>
    </row>
    <row r="259" spans="1:45">
      <c r="A259" s="291"/>
      <c r="B259" s="292"/>
      <c r="C259" s="293"/>
      <c r="D259" s="293"/>
      <c r="E259" s="293"/>
      <c r="F259" s="293"/>
      <c r="G259" s="294"/>
      <c r="H259" s="300"/>
      <c r="I259" s="295"/>
      <c r="J259" s="295"/>
      <c r="K259" s="296"/>
      <c r="L259" s="301"/>
      <c r="M259" s="297"/>
      <c r="N259" s="298"/>
      <c r="P259" s="190" t="str">
        <f>IF(R259 = "", "", COUNT(R$4:$R259))</f>
        <v/>
      </c>
      <c r="Q259" s="190" t="str">
        <f t="shared" si="31"/>
        <v/>
      </c>
      <c r="R259" s="191" t="str">
        <f t="shared" si="32"/>
        <v/>
      </c>
      <c r="S259" s="192" t="str">
        <f t="shared" si="34"/>
        <v/>
      </c>
      <c r="T259" s="193" t="str">
        <f t="shared" si="35"/>
        <v/>
      </c>
      <c r="U259" s="194" t="str">
        <f t="shared" si="36"/>
        <v/>
      </c>
      <c r="V259" s="195" t="str">
        <f t="shared" si="33"/>
        <v/>
      </c>
      <c r="W259" s="336" t="str">
        <f t="shared" si="37"/>
        <v/>
      </c>
      <c r="X259" s="338" t="str">
        <f t="shared" si="38"/>
        <v/>
      </c>
      <c r="Y259" s="274"/>
      <c r="AR259" t="str">
        <f t="shared" si="39"/>
        <v/>
      </c>
      <c r="AS259" t="str">
        <f t="shared" si="40"/>
        <v/>
      </c>
    </row>
    <row r="260" spans="1:45">
      <c r="A260" s="291"/>
      <c r="B260" s="292"/>
      <c r="C260" s="293"/>
      <c r="D260" s="293"/>
      <c r="E260" s="293"/>
      <c r="F260" s="293"/>
      <c r="G260" s="294"/>
      <c r="H260" s="300"/>
      <c r="I260" s="295"/>
      <c r="J260" s="295"/>
      <c r="K260" s="296"/>
      <c r="L260" s="301"/>
      <c r="M260" s="297"/>
      <c r="N260" s="298"/>
      <c r="P260" s="190" t="str">
        <f>IF(R260 = "", "", COUNT(R$4:$R260))</f>
        <v/>
      </c>
      <c r="Q260" s="190" t="str">
        <f t="shared" ref="Q260:Q323" si="41">IF(C260 &gt; 0, YEAR(B260), "")</f>
        <v/>
      </c>
      <c r="R260" s="191" t="str">
        <f t="shared" ref="R260:R323" si="42">IF(A260="", "", IF(G260="",1,IF(G260="O",1,IF(G260="C",8.4,IF(G260="B",8.4,IF(G260="A",76.8,IF(G260="K",76.8,"ERR")))))))</f>
        <v/>
      </c>
      <c r="S260" s="192" t="str">
        <f t="shared" si="34"/>
        <v/>
      </c>
      <c r="T260" s="193" t="str">
        <f t="shared" si="35"/>
        <v/>
      </c>
      <c r="U260" s="194" t="str">
        <f t="shared" si="36"/>
        <v/>
      </c>
      <c r="V260" s="195" t="str">
        <f t="shared" ref="V260:V323" si="43">IF(IF(M260&lt;&gt;"",G260,"")=0, "O", IF(M260&lt;&gt;"",G260,""))</f>
        <v/>
      </c>
      <c r="W260" s="336" t="str">
        <f t="shared" si="37"/>
        <v/>
      </c>
      <c r="X260" s="338" t="str">
        <f t="shared" si="38"/>
        <v/>
      </c>
      <c r="Y260" s="274"/>
      <c r="AR260" t="str">
        <f t="shared" si="39"/>
        <v/>
      </c>
      <c r="AS260" t="str">
        <f t="shared" si="40"/>
        <v/>
      </c>
    </row>
    <row r="261" spans="1:45">
      <c r="A261" s="291"/>
      <c r="B261" s="292"/>
      <c r="C261" s="293"/>
      <c r="D261" s="293"/>
      <c r="E261" s="293"/>
      <c r="F261" s="293"/>
      <c r="G261" s="294"/>
      <c r="H261" s="300"/>
      <c r="I261" s="295"/>
      <c r="J261" s="295"/>
      <c r="K261" s="296"/>
      <c r="L261" s="301"/>
      <c r="M261" s="297"/>
      <c r="N261" s="298"/>
      <c r="P261" s="190" t="str">
        <f>IF(R261 = "", "", COUNT(R$4:$R261))</f>
        <v/>
      </c>
      <c r="Q261" s="190" t="str">
        <f t="shared" si="41"/>
        <v/>
      </c>
      <c r="R261" s="191" t="str">
        <f t="shared" si="42"/>
        <v/>
      </c>
      <c r="S261" s="192" t="str">
        <f t="shared" ref="S261:S324" si="44">IF(L261&lt;&gt;"",R261,"")</f>
        <v/>
      </c>
      <c r="T261" s="193" t="str">
        <f t="shared" ref="T261:T324" si="45">IF(IF(L261&lt;&gt;"",G261,"")=0, "O", IF(L261&lt;&gt;"",G261,""))</f>
        <v/>
      </c>
      <c r="U261" s="194" t="str">
        <f t="shared" ref="U261:U324" si="46">IF(M261&lt;&gt;"",R261,"")</f>
        <v/>
      </c>
      <c r="V261" s="195" t="str">
        <f t="shared" si="43"/>
        <v/>
      </c>
      <c r="W261" s="336" t="str">
        <f t="shared" ref="W261:W324" si="47">IF(N261&lt;&gt;"",R261,"")</f>
        <v/>
      </c>
      <c r="X261" s="338" t="str">
        <f t="shared" ref="X261:X324" si="48">IF(IF(N261&lt;&gt;"",G261,"")=0, "O", IF(N261&lt;&gt;"",G261,""))</f>
        <v/>
      </c>
      <c r="Y261" s="274"/>
      <c r="AR261" t="str">
        <f t="shared" ref="AR261:AR324" si="49">IF(P261&gt;0, P261, "")</f>
        <v/>
      </c>
      <c r="AS261" t="str">
        <f t="shared" ref="AS261:AS324" si="50">IF(OR(L261="Y",M261="Y",N261="Y"),"Y","")</f>
        <v/>
      </c>
    </row>
    <row r="262" spans="1:45">
      <c r="A262" s="291"/>
      <c r="B262" s="292"/>
      <c r="C262" s="293"/>
      <c r="D262" s="293"/>
      <c r="E262" s="293"/>
      <c r="F262" s="293"/>
      <c r="G262" s="294"/>
      <c r="H262" s="300"/>
      <c r="I262" s="295"/>
      <c r="J262" s="295"/>
      <c r="K262" s="296"/>
      <c r="L262" s="301"/>
      <c r="M262" s="297"/>
      <c r="N262" s="298"/>
      <c r="P262" s="190" t="str">
        <f>IF(R262 = "", "", COUNT(R$4:$R262))</f>
        <v/>
      </c>
      <c r="Q262" s="190" t="str">
        <f t="shared" si="41"/>
        <v/>
      </c>
      <c r="R262" s="191" t="str">
        <f t="shared" si="42"/>
        <v/>
      </c>
      <c r="S262" s="192" t="str">
        <f t="shared" si="44"/>
        <v/>
      </c>
      <c r="T262" s="193" t="str">
        <f t="shared" si="45"/>
        <v/>
      </c>
      <c r="U262" s="194" t="str">
        <f t="shared" si="46"/>
        <v/>
      </c>
      <c r="V262" s="195" t="str">
        <f t="shared" si="43"/>
        <v/>
      </c>
      <c r="W262" s="336" t="str">
        <f t="shared" si="47"/>
        <v/>
      </c>
      <c r="X262" s="338" t="str">
        <f t="shared" si="48"/>
        <v/>
      </c>
      <c r="Y262" s="274"/>
      <c r="AR262" t="str">
        <f t="shared" si="49"/>
        <v/>
      </c>
      <c r="AS262" t="str">
        <f t="shared" si="50"/>
        <v/>
      </c>
    </row>
    <row r="263" spans="1:45">
      <c r="A263" s="291"/>
      <c r="B263" s="292"/>
      <c r="C263" s="293"/>
      <c r="D263" s="293"/>
      <c r="E263" s="293"/>
      <c r="F263" s="293"/>
      <c r="G263" s="294"/>
      <c r="H263" s="300"/>
      <c r="I263" s="295"/>
      <c r="J263" s="295"/>
      <c r="K263" s="296"/>
      <c r="L263" s="301"/>
      <c r="M263" s="297"/>
      <c r="N263" s="298"/>
      <c r="P263" s="190" t="str">
        <f>IF(R263 = "", "", COUNT(R$4:$R263))</f>
        <v/>
      </c>
      <c r="Q263" s="190" t="str">
        <f t="shared" si="41"/>
        <v/>
      </c>
      <c r="R263" s="191" t="str">
        <f t="shared" si="42"/>
        <v/>
      </c>
      <c r="S263" s="192" t="str">
        <f t="shared" si="44"/>
        <v/>
      </c>
      <c r="T263" s="193" t="str">
        <f t="shared" si="45"/>
        <v/>
      </c>
      <c r="U263" s="194" t="str">
        <f t="shared" si="46"/>
        <v/>
      </c>
      <c r="V263" s="195" t="str">
        <f t="shared" si="43"/>
        <v/>
      </c>
      <c r="W263" s="336" t="str">
        <f t="shared" si="47"/>
        <v/>
      </c>
      <c r="X263" s="338" t="str">
        <f t="shared" si="48"/>
        <v/>
      </c>
      <c r="Y263" s="274"/>
      <c r="AR263" t="str">
        <f t="shared" si="49"/>
        <v/>
      </c>
      <c r="AS263" t="str">
        <f t="shared" si="50"/>
        <v/>
      </c>
    </row>
    <row r="264" spans="1:45">
      <c r="A264" s="291"/>
      <c r="B264" s="292"/>
      <c r="C264" s="293"/>
      <c r="D264" s="293"/>
      <c r="E264" s="293"/>
      <c r="F264" s="293"/>
      <c r="G264" s="294"/>
      <c r="H264" s="300"/>
      <c r="I264" s="295"/>
      <c r="J264" s="295"/>
      <c r="K264" s="296"/>
      <c r="L264" s="301"/>
      <c r="M264" s="297"/>
      <c r="N264" s="298"/>
      <c r="P264" s="190" t="str">
        <f>IF(R264 = "", "", COUNT(R$4:$R264))</f>
        <v/>
      </c>
      <c r="Q264" s="190" t="str">
        <f t="shared" si="41"/>
        <v/>
      </c>
      <c r="R264" s="191" t="str">
        <f t="shared" si="42"/>
        <v/>
      </c>
      <c r="S264" s="192" t="str">
        <f t="shared" si="44"/>
        <v/>
      </c>
      <c r="T264" s="193" t="str">
        <f t="shared" si="45"/>
        <v/>
      </c>
      <c r="U264" s="194" t="str">
        <f t="shared" si="46"/>
        <v/>
      </c>
      <c r="V264" s="195" t="str">
        <f t="shared" si="43"/>
        <v/>
      </c>
      <c r="W264" s="336" t="str">
        <f t="shared" si="47"/>
        <v/>
      </c>
      <c r="X264" s="338" t="str">
        <f t="shared" si="48"/>
        <v/>
      </c>
      <c r="Y264" s="274"/>
      <c r="AR264" t="str">
        <f t="shared" si="49"/>
        <v/>
      </c>
      <c r="AS264" t="str">
        <f t="shared" si="50"/>
        <v/>
      </c>
    </row>
    <row r="265" spans="1:45">
      <c r="A265" s="291"/>
      <c r="B265" s="292"/>
      <c r="C265" s="293"/>
      <c r="D265" s="293"/>
      <c r="E265" s="293"/>
      <c r="F265" s="293"/>
      <c r="G265" s="294"/>
      <c r="H265" s="300"/>
      <c r="I265" s="295"/>
      <c r="J265" s="295"/>
      <c r="K265" s="296"/>
      <c r="L265" s="301"/>
      <c r="M265" s="297"/>
      <c r="N265" s="298"/>
      <c r="P265" s="190" t="str">
        <f>IF(R265 = "", "", COUNT(R$4:$R265))</f>
        <v/>
      </c>
      <c r="Q265" s="190" t="str">
        <f t="shared" si="41"/>
        <v/>
      </c>
      <c r="R265" s="191" t="str">
        <f t="shared" si="42"/>
        <v/>
      </c>
      <c r="S265" s="192" t="str">
        <f t="shared" si="44"/>
        <v/>
      </c>
      <c r="T265" s="193" t="str">
        <f t="shared" si="45"/>
        <v/>
      </c>
      <c r="U265" s="194" t="str">
        <f t="shared" si="46"/>
        <v/>
      </c>
      <c r="V265" s="195" t="str">
        <f t="shared" si="43"/>
        <v/>
      </c>
      <c r="W265" s="336" t="str">
        <f t="shared" si="47"/>
        <v/>
      </c>
      <c r="X265" s="338" t="str">
        <f t="shared" si="48"/>
        <v/>
      </c>
      <c r="Y265" s="274"/>
      <c r="AR265" t="str">
        <f t="shared" si="49"/>
        <v/>
      </c>
      <c r="AS265" t="str">
        <f t="shared" si="50"/>
        <v/>
      </c>
    </row>
    <row r="266" spans="1:45">
      <c r="A266" s="291"/>
      <c r="B266" s="292"/>
      <c r="C266" s="293"/>
      <c r="D266" s="293"/>
      <c r="E266" s="293"/>
      <c r="F266" s="293"/>
      <c r="G266" s="294"/>
      <c r="H266" s="300"/>
      <c r="I266" s="295"/>
      <c r="J266" s="295"/>
      <c r="K266" s="296"/>
      <c r="L266" s="301"/>
      <c r="M266" s="297"/>
      <c r="N266" s="298"/>
      <c r="P266" s="190" t="str">
        <f>IF(R266 = "", "", COUNT(R$4:$R266))</f>
        <v/>
      </c>
      <c r="Q266" s="190" t="str">
        <f t="shared" si="41"/>
        <v/>
      </c>
      <c r="R266" s="191" t="str">
        <f t="shared" si="42"/>
        <v/>
      </c>
      <c r="S266" s="192" t="str">
        <f t="shared" si="44"/>
        <v/>
      </c>
      <c r="T266" s="193" t="str">
        <f t="shared" si="45"/>
        <v/>
      </c>
      <c r="U266" s="194" t="str">
        <f t="shared" si="46"/>
        <v/>
      </c>
      <c r="V266" s="195" t="str">
        <f t="shared" si="43"/>
        <v/>
      </c>
      <c r="W266" s="336" t="str">
        <f t="shared" si="47"/>
        <v/>
      </c>
      <c r="X266" s="338" t="str">
        <f t="shared" si="48"/>
        <v/>
      </c>
      <c r="Y266" s="274"/>
      <c r="AR266" t="str">
        <f t="shared" si="49"/>
        <v/>
      </c>
      <c r="AS266" t="str">
        <f t="shared" si="50"/>
        <v/>
      </c>
    </row>
    <row r="267" spans="1:45">
      <c r="A267" s="291"/>
      <c r="B267" s="292"/>
      <c r="C267" s="293"/>
      <c r="D267" s="293"/>
      <c r="E267" s="293"/>
      <c r="F267" s="293"/>
      <c r="G267" s="294"/>
      <c r="H267" s="300"/>
      <c r="I267" s="295"/>
      <c r="J267" s="295"/>
      <c r="K267" s="296"/>
      <c r="L267" s="301"/>
      <c r="M267" s="297"/>
      <c r="N267" s="298"/>
      <c r="P267" s="190" t="str">
        <f>IF(R267 = "", "", COUNT(R$4:$R267))</f>
        <v/>
      </c>
      <c r="Q267" s="190" t="str">
        <f t="shared" si="41"/>
        <v/>
      </c>
      <c r="R267" s="191" t="str">
        <f t="shared" si="42"/>
        <v/>
      </c>
      <c r="S267" s="192" t="str">
        <f t="shared" si="44"/>
        <v/>
      </c>
      <c r="T267" s="193" t="str">
        <f t="shared" si="45"/>
        <v/>
      </c>
      <c r="U267" s="194" t="str">
        <f t="shared" si="46"/>
        <v/>
      </c>
      <c r="V267" s="195" t="str">
        <f t="shared" si="43"/>
        <v/>
      </c>
      <c r="W267" s="336" t="str">
        <f t="shared" si="47"/>
        <v/>
      </c>
      <c r="X267" s="338" t="str">
        <f t="shared" si="48"/>
        <v/>
      </c>
      <c r="Y267" s="274"/>
      <c r="AR267" t="str">
        <f t="shared" si="49"/>
        <v/>
      </c>
      <c r="AS267" t="str">
        <f t="shared" si="50"/>
        <v/>
      </c>
    </row>
    <row r="268" spans="1:45">
      <c r="A268" s="291"/>
      <c r="B268" s="292"/>
      <c r="C268" s="293"/>
      <c r="D268" s="293"/>
      <c r="E268" s="293"/>
      <c r="F268" s="293"/>
      <c r="G268" s="294"/>
      <c r="H268" s="300"/>
      <c r="I268" s="295"/>
      <c r="J268" s="295"/>
      <c r="K268" s="296"/>
      <c r="L268" s="301"/>
      <c r="M268" s="297"/>
      <c r="N268" s="298"/>
      <c r="P268" s="190" t="str">
        <f>IF(R268 = "", "", COUNT(R$4:$R268))</f>
        <v/>
      </c>
      <c r="Q268" s="190" t="str">
        <f t="shared" si="41"/>
        <v/>
      </c>
      <c r="R268" s="191" t="str">
        <f t="shared" si="42"/>
        <v/>
      </c>
      <c r="S268" s="192" t="str">
        <f t="shared" si="44"/>
        <v/>
      </c>
      <c r="T268" s="193" t="str">
        <f t="shared" si="45"/>
        <v/>
      </c>
      <c r="U268" s="194" t="str">
        <f t="shared" si="46"/>
        <v/>
      </c>
      <c r="V268" s="195" t="str">
        <f t="shared" si="43"/>
        <v/>
      </c>
      <c r="W268" s="336" t="str">
        <f t="shared" si="47"/>
        <v/>
      </c>
      <c r="X268" s="338" t="str">
        <f t="shared" si="48"/>
        <v/>
      </c>
      <c r="Y268" s="274"/>
      <c r="AR268" t="str">
        <f t="shared" si="49"/>
        <v/>
      </c>
      <c r="AS268" t="str">
        <f t="shared" si="50"/>
        <v/>
      </c>
    </row>
    <row r="269" spans="1:45">
      <c r="A269" s="291"/>
      <c r="B269" s="292"/>
      <c r="C269" s="293"/>
      <c r="D269" s="293"/>
      <c r="E269" s="293"/>
      <c r="F269" s="293"/>
      <c r="G269" s="294"/>
      <c r="H269" s="300"/>
      <c r="I269" s="295"/>
      <c r="J269" s="295"/>
      <c r="K269" s="296"/>
      <c r="L269" s="301"/>
      <c r="M269" s="297"/>
      <c r="N269" s="298"/>
      <c r="P269" s="190" t="str">
        <f>IF(R269 = "", "", COUNT(R$4:$R269))</f>
        <v/>
      </c>
      <c r="Q269" s="190" t="str">
        <f t="shared" si="41"/>
        <v/>
      </c>
      <c r="R269" s="191" t="str">
        <f t="shared" si="42"/>
        <v/>
      </c>
      <c r="S269" s="192" t="str">
        <f t="shared" si="44"/>
        <v/>
      </c>
      <c r="T269" s="193" t="str">
        <f t="shared" si="45"/>
        <v/>
      </c>
      <c r="U269" s="194" t="str">
        <f t="shared" si="46"/>
        <v/>
      </c>
      <c r="V269" s="195" t="str">
        <f t="shared" si="43"/>
        <v/>
      </c>
      <c r="W269" s="336" t="str">
        <f t="shared" si="47"/>
        <v/>
      </c>
      <c r="X269" s="338" t="str">
        <f t="shared" si="48"/>
        <v/>
      </c>
      <c r="Y269" s="274"/>
      <c r="AR269" t="str">
        <f t="shared" si="49"/>
        <v/>
      </c>
      <c r="AS269" t="str">
        <f t="shared" si="50"/>
        <v/>
      </c>
    </row>
    <row r="270" spans="1:45">
      <c r="A270" s="291"/>
      <c r="B270" s="292"/>
      <c r="C270" s="293"/>
      <c r="D270" s="293"/>
      <c r="E270" s="293"/>
      <c r="F270" s="293"/>
      <c r="G270" s="294"/>
      <c r="H270" s="300"/>
      <c r="I270" s="295"/>
      <c r="J270" s="295"/>
      <c r="K270" s="296"/>
      <c r="L270" s="301"/>
      <c r="M270" s="297"/>
      <c r="N270" s="298"/>
      <c r="P270" s="190" t="str">
        <f>IF(R270 = "", "", COUNT(R$4:$R270))</f>
        <v/>
      </c>
      <c r="Q270" s="190" t="str">
        <f t="shared" si="41"/>
        <v/>
      </c>
      <c r="R270" s="191" t="str">
        <f t="shared" si="42"/>
        <v/>
      </c>
      <c r="S270" s="192" t="str">
        <f t="shared" si="44"/>
        <v/>
      </c>
      <c r="T270" s="193" t="str">
        <f t="shared" si="45"/>
        <v/>
      </c>
      <c r="U270" s="194" t="str">
        <f t="shared" si="46"/>
        <v/>
      </c>
      <c r="V270" s="195" t="str">
        <f t="shared" si="43"/>
        <v/>
      </c>
      <c r="W270" s="336" t="str">
        <f t="shared" si="47"/>
        <v/>
      </c>
      <c r="X270" s="338" t="str">
        <f t="shared" si="48"/>
        <v/>
      </c>
      <c r="Y270" s="274"/>
      <c r="AR270" t="str">
        <f t="shared" si="49"/>
        <v/>
      </c>
      <c r="AS270" t="str">
        <f t="shared" si="50"/>
        <v/>
      </c>
    </row>
    <row r="271" spans="1:45">
      <c r="A271" s="291"/>
      <c r="B271" s="292"/>
      <c r="C271" s="293"/>
      <c r="D271" s="293"/>
      <c r="E271" s="293"/>
      <c r="F271" s="293"/>
      <c r="G271" s="294"/>
      <c r="H271" s="300"/>
      <c r="I271" s="295"/>
      <c r="J271" s="295"/>
      <c r="K271" s="296"/>
      <c r="L271" s="301"/>
      <c r="M271" s="297"/>
      <c r="N271" s="298"/>
      <c r="P271" s="190" t="str">
        <f>IF(R271 = "", "", COUNT(R$4:$R271))</f>
        <v/>
      </c>
      <c r="Q271" s="190" t="str">
        <f t="shared" si="41"/>
        <v/>
      </c>
      <c r="R271" s="191" t="str">
        <f t="shared" si="42"/>
        <v/>
      </c>
      <c r="S271" s="192" t="str">
        <f t="shared" si="44"/>
        <v/>
      </c>
      <c r="T271" s="193" t="str">
        <f t="shared" si="45"/>
        <v/>
      </c>
      <c r="U271" s="194" t="str">
        <f t="shared" si="46"/>
        <v/>
      </c>
      <c r="V271" s="195" t="str">
        <f t="shared" si="43"/>
        <v/>
      </c>
      <c r="W271" s="336" t="str">
        <f t="shared" si="47"/>
        <v/>
      </c>
      <c r="X271" s="338" t="str">
        <f t="shared" si="48"/>
        <v/>
      </c>
      <c r="Y271" s="274"/>
      <c r="AR271" t="str">
        <f t="shared" si="49"/>
        <v/>
      </c>
      <c r="AS271" t="str">
        <f t="shared" si="50"/>
        <v/>
      </c>
    </row>
    <row r="272" spans="1:45">
      <c r="A272" s="291"/>
      <c r="B272" s="292"/>
      <c r="C272" s="293"/>
      <c r="D272" s="293"/>
      <c r="E272" s="293"/>
      <c r="F272" s="293"/>
      <c r="G272" s="294"/>
      <c r="H272" s="300"/>
      <c r="I272" s="295"/>
      <c r="J272" s="295"/>
      <c r="K272" s="296"/>
      <c r="L272" s="301"/>
      <c r="M272" s="297"/>
      <c r="N272" s="298"/>
      <c r="P272" s="190" t="str">
        <f>IF(R272 = "", "", COUNT(R$4:$R272))</f>
        <v/>
      </c>
      <c r="Q272" s="190" t="str">
        <f t="shared" si="41"/>
        <v/>
      </c>
      <c r="R272" s="191" t="str">
        <f t="shared" si="42"/>
        <v/>
      </c>
      <c r="S272" s="192" t="str">
        <f t="shared" si="44"/>
        <v/>
      </c>
      <c r="T272" s="193" t="str">
        <f t="shared" si="45"/>
        <v/>
      </c>
      <c r="U272" s="194" t="str">
        <f t="shared" si="46"/>
        <v/>
      </c>
      <c r="V272" s="195" t="str">
        <f t="shared" si="43"/>
        <v/>
      </c>
      <c r="W272" s="336" t="str">
        <f t="shared" si="47"/>
        <v/>
      </c>
      <c r="X272" s="338" t="str">
        <f t="shared" si="48"/>
        <v/>
      </c>
      <c r="Y272" s="274"/>
      <c r="AR272" t="str">
        <f t="shared" si="49"/>
        <v/>
      </c>
      <c r="AS272" t="str">
        <f t="shared" si="50"/>
        <v/>
      </c>
    </row>
    <row r="273" spans="1:45">
      <c r="A273" s="291"/>
      <c r="B273" s="292"/>
      <c r="C273" s="293"/>
      <c r="D273" s="293"/>
      <c r="E273" s="293"/>
      <c r="F273" s="293"/>
      <c r="G273" s="294"/>
      <c r="H273" s="300"/>
      <c r="I273" s="295"/>
      <c r="J273" s="295"/>
      <c r="K273" s="296"/>
      <c r="L273" s="301"/>
      <c r="M273" s="297"/>
      <c r="N273" s="298"/>
      <c r="P273" s="190" t="str">
        <f>IF(R273 = "", "", COUNT(R$4:$R273))</f>
        <v/>
      </c>
      <c r="Q273" s="190" t="str">
        <f t="shared" si="41"/>
        <v/>
      </c>
      <c r="R273" s="191" t="str">
        <f t="shared" si="42"/>
        <v/>
      </c>
      <c r="S273" s="192" t="str">
        <f t="shared" si="44"/>
        <v/>
      </c>
      <c r="T273" s="193" t="str">
        <f t="shared" si="45"/>
        <v/>
      </c>
      <c r="U273" s="194" t="str">
        <f t="shared" si="46"/>
        <v/>
      </c>
      <c r="V273" s="195" t="str">
        <f t="shared" si="43"/>
        <v/>
      </c>
      <c r="W273" s="336" t="str">
        <f t="shared" si="47"/>
        <v/>
      </c>
      <c r="X273" s="338" t="str">
        <f t="shared" si="48"/>
        <v/>
      </c>
      <c r="Y273" s="274"/>
      <c r="AR273" t="str">
        <f t="shared" si="49"/>
        <v/>
      </c>
      <c r="AS273" t="str">
        <f t="shared" si="50"/>
        <v/>
      </c>
    </row>
    <row r="274" spans="1:45">
      <c r="A274" s="291"/>
      <c r="B274" s="292"/>
      <c r="C274" s="293"/>
      <c r="D274" s="293"/>
      <c r="E274" s="293"/>
      <c r="F274" s="293"/>
      <c r="G274" s="294"/>
      <c r="H274" s="300"/>
      <c r="I274" s="295"/>
      <c r="J274" s="295"/>
      <c r="K274" s="296"/>
      <c r="L274" s="301"/>
      <c r="M274" s="297"/>
      <c r="N274" s="298"/>
      <c r="P274" s="190" t="str">
        <f>IF(R274 = "", "", COUNT(R$4:$R274))</f>
        <v/>
      </c>
      <c r="Q274" s="190" t="str">
        <f t="shared" si="41"/>
        <v/>
      </c>
      <c r="R274" s="191" t="str">
        <f t="shared" si="42"/>
        <v/>
      </c>
      <c r="S274" s="192" t="str">
        <f t="shared" si="44"/>
        <v/>
      </c>
      <c r="T274" s="193" t="str">
        <f t="shared" si="45"/>
        <v/>
      </c>
      <c r="U274" s="194" t="str">
        <f t="shared" si="46"/>
        <v/>
      </c>
      <c r="V274" s="195" t="str">
        <f t="shared" si="43"/>
        <v/>
      </c>
      <c r="W274" s="336" t="str">
        <f t="shared" si="47"/>
        <v/>
      </c>
      <c r="X274" s="338" t="str">
        <f t="shared" si="48"/>
        <v/>
      </c>
      <c r="Y274" s="274"/>
      <c r="AR274" t="str">
        <f t="shared" si="49"/>
        <v/>
      </c>
      <c r="AS274" t="str">
        <f t="shared" si="50"/>
        <v/>
      </c>
    </row>
    <row r="275" spans="1:45">
      <c r="A275" s="291"/>
      <c r="B275" s="292"/>
      <c r="C275" s="293"/>
      <c r="D275" s="293"/>
      <c r="E275" s="293"/>
      <c r="F275" s="293"/>
      <c r="G275" s="294"/>
      <c r="H275" s="300"/>
      <c r="I275" s="295"/>
      <c r="J275" s="295"/>
      <c r="K275" s="296"/>
      <c r="L275" s="301"/>
      <c r="M275" s="297"/>
      <c r="N275" s="298"/>
      <c r="P275" s="190" t="str">
        <f>IF(R275 = "", "", COUNT(R$4:$R275))</f>
        <v/>
      </c>
      <c r="Q275" s="190" t="str">
        <f t="shared" si="41"/>
        <v/>
      </c>
      <c r="R275" s="191" t="str">
        <f t="shared" si="42"/>
        <v/>
      </c>
      <c r="S275" s="192" t="str">
        <f t="shared" si="44"/>
        <v/>
      </c>
      <c r="T275" s="193" t="str">
        <f t="shared" si="45"/>
        <v/>
      </c>
      <c r="U275" s="194" t="str">
        <f t="shared" si="46"/>
        <v/>
      </c>
      <c r="V275" s="195" t="str">
        <f t="shared" si="43"/>
        <v/>
      </c>
      <c r="W275" s="336" t="str">
        <f t="shared" si="47"/>
        <v/>
      </c>
      <c r="X275" s="338" t="str">
        <f t="shared" si="48"/>
        <v/>
      </c>
      <c r="Y275" s="274"/>
      <c r="AR275" t="str">
        <f t="shared" si="49"/>
        <v/>
      </c>
      <c r="AS275" t="str">
        <f t="shared" si="50"/>
        <v/>
      </c>
    </row>
    <row r="276" spans="1:45">
      <c r="A276" s="291"/>
      <c r="B276" s="292"/>
      <c r="C276" s="293"/>
      <c r="D276" s="293"/>
      <c r="E276" s="293"/>
      <c r="F276" s="293"/>
      <c r="G276" s="294"/>
      <c r="H276" s="300"/>
      <c r="I276" s="295"/>
      <c r="J276" s="295"/>
      <c r="K276" s="296"/>
      <c r="L276" s="301"/>
      <c r="M276" s="297"/>
      <c r="N276" s="298"/>
      <c r="P276" s="190" t="str">
        <f>IF(R276 = "", "", COUNT(R$4:$R276))</f>
        <v/>
      </c>
      <c r="Q276" s="190" t="str">
        <f t="shared" si="41"/>
        <v/>
      </c>
      <c r="R276" s="191" t="str">
        <f t="shared" si="42"/>
        <v/>
      </c>
      <c r="S276" s="192" t="str">
        <f t="shared" si="44"/>
        <v/>
      </c>
      <c r="T276" s="193" t="str">
        <f t="shared" si="45"/>
        <v/>
      </c>
      <c r="U276" s="194" t="str">
        <f t="shared" si="46"/>
        <v/>
      </c>
      <c r="V276" s="195" t="str">
        <f t="shared" si="43"/>
        <v/>
      </c>
      <c r="W276" s="336" t="str">
        <f t="shared" si="47"/>
        <v/>
      </c>
      <c r="X276" s="338" t="str">
        <f t="shared" si="48"/>
        <v/>
      </c>
      <c r="Y276" s="274"/>
      <c r="AR276" t="str">
        <f t="shared" si="49"/>
        <v/>
      </c>
      <c r="AS276" t="str">
        <f t="shared" si="50"/>
        <v/>
      </c>
    </row>
    <row r="277" spans="1:45">
      <c r="A277" s="291"/>
      <c r="B277" s="292"/>
      <c r="C277" s="293"/>
      <c r="D277" s="293"/>
      <c r="E277" s="293"/>
      <c r="F277" s="293"/>
      <c r="G277" s="294"/>
      <c r="H277" s="300"/>
      <c r="I277" s="295"/>
      <c r="J277" s="295"/>
      <c r="K277" s="296"/>
      <c r="L277" s="301"/>
      <c r="M277" s="297"/>
      <c r="N277" s="298"/>
      <c r="P277" s="190" t="str">
        <f>IF(R277 = "", "", COUNT(R$4:$R277))</f>
        <v/>
      </c>
      <c r="Q277" s="190" t="str">
        <f t="shared" si="41"/>
        <v/>
      </c>
      <c r="R277" s="191" t="str">
        <f t="shared" si="42"/>
        <v/>
      </c>
      <c r="S277" s="192" t="str">
        <f t="shared" si="44"/>
        <v/>
      </c>
      <c r="T277" s="193" t="str">
        <f t="shared" si="45"/>
        <v/>
      </c>
      <c r="U277" s="194" t="str">
        <f t="shared" si="46"/>
        <v/>
      </c>
      <c r="V277" s="195" t="str">
        <f t="shared" si="43"/>
        <v/>
      </c>
      <c r="W277" s="336" t="str">
        <f t="shared" si="47"/>
        <v/>
      </c>
      <c r="X277" s="338" t="str">
        <f t="shared" si="48"/>
        <v/>
      </c>
      <c r="Y277" s="274"/>
      <c r="AR277" t="str">
        <f t="shared" si="49"/>
        <v/>
      </c>
      <c r="AS277" t="str">
        <f t="shared" si="50"/>
        <v/>
      </c>
    </row>
    <row r="278" spans="1:45">
      <c r="A278" s="291"/>
      <c r="B278" s="292"/>
      <c r="C278" s="293"/>
      <c r="D278" s="293"/>
      <c r="E278" s="293"/>
      <c r="F278" s="293"/>
      <c r="G278" s="294"/>
      <c r="H278" s="300"/>
      <c r="I278" s="295"/>
      <c r="J278" s="295"/>
      <c r="K278" s="296"/>
      <c r="L278" s="301"/>
      <c r="M278" s="297"/>
      <c r="N278" s="298"/>
      <c r="P278" s="190" t="str">
        <f>IF(R278 = "", "", COUNT(R$4:$R278))</f>
        <v/>
      </c>
      <c r="Q278" s="190" t="str">
        <f t="shared" si="41"/>
        <v/>
      </c>
      <c r="R278" s="191" t="str">
        <f t="shared" si="42"/>
        <v/>
      </c>
      <c r="S278" s="192" t="str">
        <f t="shared" si="44"/>
        <v/>
      </c>
      <c r="T278" s="193" t="str">
        <f t="shared" si="45"/>
        <v/>
      </c>
      <c r="U278" s="194" t="str">
        <f t="shared" si="46"/>
        <v/>
      </c>
      <c r="V278" s="195" t="str">
        <f t="shared" si="43"/>
        <v/>
      </c>
      <c r="W278" s="336" t="str">
        <f t="shared" si="47"/>
        <v/>
      </c>
      <c r="X278" s="338" t="str">
        <f t="shared" si="48"/>
        <v/>
      </c>
      <c r="Y278" s="274"/>
      <c r="AR278" t="str">
        <f t="shared" si="49"/>
        <v/>
      </c>
      <c r="AS278" t="str">
        <f t="shared" si="50"/>
        <v/>
      </c>
    </row>
    <row r="279" spans="1:45">
      <c r="A279" s="291"/>
      <c r="B279" s="292"/>
      <c r="C279" s="293"/>
      <c r="D279" s="293"/>
      <c r="E279" s="293"/>
      <c r="F279" s="293"/>
      <c r="G279" s="294"/>
      <c r="H279" s="300"/>
      <c r="I279" s="295"/>
      <c r="J279" s="295"/>
      <c r="K279" s="296"/>
      <c r="L279" s="301"/>
      <c r="M279" s="297"/>
      <c r="N279" s="298"/>
      <c r="P279" s="190" t="str">
        <f>IF(R279 = "", "", COUNT(R$4:$R279))</f>
        <v/>
      </c>
      <c r="Q279" s="190" t="str">
        <f t="shared" si="41"/>
        <v/>
      </c>
      <c r="R279" s="191" t="str">
        <f t="shared" si="42"/>
        <v/>
      </c>
      <c r="S279" s="192" t="str">
        <f t="shared" si="44"/>
        <v/>
      </c>
      <c r="T279" s="193" t="str">
        <f t="shared" si="45"/>
        <v/>
      </c>
      <c r="U279" s="194" t="str">
        <f t="shared" si="46"/>
        <v/>
      </c>
      <c r="V279" s="195" t="str">
        <f t="shared" si="43"/>
        <v/>
      </c>
      <c r="W279" s="336" t="str">
        <f t="shared" si="47"/>
        <v/>
      </c>
      <c r="X279" s="338" t="str">
        <f t="shared" si="48"/>
        <v/>
      </c>
      <c r="Y279" s="274"/>
      <c r="AR279" t="str">
        <f t="shared" si="49"/>
        <v/>
      </c>
      <c r="AS279" t="str">
        <f t="shared" si="50"/>
        <v/>
      </c>
    </row>
    <row r="280" spans="1:45">
      <c r="A280" s="291"/>
      <c r="B280" s="292"/>
      <c r="C280" s="293"/>
      <c r="D280" s="293"/>
      <c r="E280" s="293"/>
      <c r="F280" s="293"/>
      <c r="G280" s="294"/>
      <c r="H280" s="300"/>
      <c r="I280" s="295"/>
      <c r="J280" s="295"/>
      <c r="K280" s="296"/>
      <c r="L280" s="301"/>
      <c r="M280" s="297"/>
      <c r="N280" s="298"/>
      <c r="P280" s="190" t="str">
        <f>IF(R280 = "", "", COUNT(R$4:$R280))</f>
        <v/>
      </c>
      <c r="Q280" s="190" t="str">
        <f t="shared" si="41"/>
        <v/>
      </c>
      <c r="R280" s="191" t="str">
        <f t="shared" si="42"/>
        <v/>
      </c>
      <c r="S280" s="192" t="str">
        <f t="shared" si="44"/>
        <v/>
      </c>
      <c r="T280" s="193" t="str">
        <f t="shared" si="45"/>
        <v/>
      </c>
      <c r="U280" s="194" t="str">
        <f t="shared" si="46"/>
        <v/>
      </c>
      <c r="V280" s="195" t="str">
        <f t="shared" si="43"/>
        <v/>
      </c>
      <c r="W280" s="336" t="str">
        <f t="shared" si="47"/>
        <v/>
      </c>
      <c r="X280" s="338" t="str">
        <f t="shared" si="48"/>
        <v/>
      </c>
      <c r="Y280" s="274"/>
      <c r="AR280" t="str">
        <f t="shared" si="49"/>
        <v/>
      </c>
      <c r="AS280" t="str">
        <f t="shared" si="50"/>
        <v/>
      </c>
    </row>
    <row r="281" spans="1:45">
      <c r="A281" s="291"/>
      <c r="B281" s="292"/>
      <c r="C281" s="293"/>
      <c r="D281" s="293"/>
      <c r="E281" s="293"/>
      <c r="F281" s="293"/>
      <c r="G281" s="294"/>
      <c r="H281" s="300"/>
      <c r="I281" s="295"/>
      <c r="J281" s="295"/>
      <c r="K281" s="296"/>
      <c r="L281" s="301"/>
      <c r="M281" s="297"/>
      <c r="N281" s="298"/>
      <c r="P281" s="190" t="str">
        <f>IF(R281 = "", "", COUNT(R$4:$R281))</f>
        <v/>
      </c>
      <c r="Q281" s="190" t="str">
        <f t="shared" si="41"/>
        <v/>
      </c>
      <c r="R281" s="191" t="str">
        <f t="shared" si="42"/>
        <v/>
      </c>
      <c r="S281" s="192" t="str">
        <f t="shared" si="44"/>
        <v/>
      </c>
      <c r="T281" s="193" t="str">
        <f t="shared" si="45"/>
        <v/>
      </c>
      <c r="U281" s="194" t="str">
        <f t="shared" si="46"/>
        <v/>
      </c>
      <c r="V281" s="195" t="str">
        <f t="shared" si="43"/>
        <v/>
      </c>
      <c r="W281" s="336" t="str">
        <f t="shared" si="47"/>
        <v/>
      </c>
      <c r="X281" s="338" t="str">
        <f t="shared" si="48"/>
        <v/>
      </c>
      <c r="Y281" s="274"/>
      <c r="AR281" t="str">
        <f t="shared" si="49"/>
        <v/>
      </c>
      <c r="AS281" t="str">
        <f t="shared" si="50"/>
        <v/>
      </c>
    </row>
    <row r="282" spans="1:45">
      <c r="A282" s="291"/>
      <c r="B282" s="292"/>
      <c r="C282" s="293"/>
      <c r="D282" s="293"/>
      <c r="E282" s="293"/>
      <c r="F282" s="293"/>
      <c r="G282" s="294"/>
      <c r="H282" s="300"/>
      <c r="I282" s="295"/>
      <c r="J282" s="295"/>
      <c r="K282" s="296"/>
      <c r="L282" s="301"/>
      <c r="M282" s="297"/>
      <c r="N282" s="298"/>
      <c r="P282" s="190" t="str">
        <f>IF(R282 = "", "", COUNT(R$4:$R282))</f>
        <v/>
      </c>
      <c r="Q282" s="190" t="str">
        <f t="shared" si="41"/>
        <v/>
      </c>
      <c r="R282" s="191" t="str">
        <f t="shared" si="42"/>
        <v/>
      </c>
      <c r="S282" s="192" t="str">
        <f t="shared" si="44"/>
        <v/>
      </c>
      <c r="T282" s="193" t="str">
        <f t="shared" si="45"/>
        <v/>
      </c>
      <c r="U282" s="194" t="str">
        <f t="shared" si="46"/>
        <v/>
      </c>
      <c r="V282" s="195" t="str">
        <f t="shared" si="43"/>
        <v/>
      </c>
      <c r="W282" s="336" t="str">
        <f t="shared" si="47"/>
        <v/>
      </c>
      <c r="X282" s="338" t="str">
        <f t="shared" si="48"/>
        <v/>
      </c>
      <c r="Y282" s="274"/>
      <c r="AR282" t="str">
        <f t="shared" si="49"/>
        <v/>
      </c>
      <c r="AS282" t="str">
        <f t="shared" si="50"/>
        <v/>
      </c>
    </row>
    <row r="283" spans="1:45">
      <c r="A283" s="291"/>
      <c r="B283" s="292"/>
      <c r="C283" s="293"/>
      <c r="D283" s="293"/>
      <c r="E283" s="293"/>
      <c r="F283" s="293"/>
      <c r="G283" s="294"/>
      <c r="H283" s="300"/>
      <c r="I283" s="295"/>
      <c r="J283" s="295"/>
      <c r="K283" s="296"/>
      <c r="L283" s="301"/>
      <c r="M283" s="297"/>
      <c r="N283" s="298"/>
      <c r="P283" s="190" t="str">
        <f>IF(R283 = "", "", COUNT(R$4:$R283))</f>
        <v/>
      </c>
      <c r="Q283" s="190" t="str">
        <f t="shared" si="41"/>
        <v/>
      </c>
      <c r="R283" s="191" t="str">
        <f t="shared" si="42"/>
        <v/>
      </c>
      <c r="S283" s="192" t="str">
        <f t="shared" si="44"/>
        <v/>
      </c>
      <c r="T283" s="193" t="str">
        <f t="shared" si="45"/>
        <v/>
      </c>
      <c r="U283" s="194" t="str">
        <f t="shared" si="46"/>
        <v/>
      </c>
      <c r="V283" s="195" t="str">
        <f t="shared" si="43"/>
        <v/>
      </c>
      <c r="W283" s="336" t="str">
        <f t="shared" si="47"/>
        <v/>
      </c>
      <c r="X283" s="338" t="str">
        <f t="shared" si="48"/>
        <v/>
      </c>
      <c r="Y283" s="274"/>
      <c r="AR283" t="str">
        <f t="shared" si="49"/>
        <v/>
      </c>
      <c r="AS283" t="str">
        <f t="shared" si="50"/>
        <v/>
      </c>
    </row>
    <row r="284" spans="1:45">
      <c r="A284" s="291"/>
      <c r="B284" s="292"/>
      <c r="C284" s="293"/>
      <c r="D284" s="293"/>
      <c r="E284" s="293"/>
      <c r="F284" s="293"/>
      <c r="G284" s="294"/>
      <c r="H284" s="300"/>
      <c r="I284" s="295"/>
      <c r="J284" s="295"/>
      <c r="K284" s="296"/>
      <c r="L284" s="301"/>
      <c r="M284" s="297"/>
      <c r="N284" s="298"/>
      <c r="P284" s="190" t="str">
        <f>IF(R284 = "", "", COUNT(R$4:$R284))</f>
        <v/>
      </c>
      <c r="Q284" s="190" t="str">
        <f t="shared" si="41"/>
        <v/>
      </c>
      <c r="R284" s="191" t="str">
        <f t="shared" si="42"/>
        <v/>
      </c>
      <c r="S284" s="192" t="str">
        <f t="shared" si="44"/>
        <v/>
      </c>
      <c r="T284" s="193" t="str">
        <f t="shared" si="45"/>
        <v/>
      </c>
      <c r="U284" s="194" t="str">
        <f t="shared" si="46"/>
        <v/>
      </c>
      <c r="V284" s="195" t="str">
        <f t="shared" si="43"/>
        <v/>
      </c>
      <c r="W284" s="336" t="str">
        <f t="shared" si="47"/>
        <v/>
      </c>
      <c r="X284" s="338" t="str">
        <f t="shared" si="48"/>
        <v/>
      </c>
      <c r="Y284" s="274"/>
      <c r="AR284" t="str">
        <f t="shared" si="49"/>
        <v/>
      </c>
      <c r="AS284" t="str">
        <f t="shared" si="50"/>
        <v/>
      </c>
    </row>
    <row r="285" spans="1:45">
      <c r="A285" s="291"/>
      <c r="B285" s="292"/>
      <c r="C285" s="293"/>
      <c r="D285" s="293"/>
      <c r="E285" s="293"/>
      <c r="F285" s="293"/>
      <c r="G285" s="294"/>
      <c r="H285" s="300"/>
      <c r="I285" s="295"/>
      <c r="J285" s="295"/>
      <c r="K285" s="296"/>
      <c r="L285" s="301"/>
      <c r="M285" s="297"/>
      <c r="N285" s="298"/>
      <c r="P285" s="190" t="str">
        <f>IF(R285 = "", "", COUNT(R$4:$R285))</f>
        <v/>
      </c>
      <c r="Q285" s="190" t="str">
        <f t="shared" si="41"/>
        <v/>
      </c>
      <c r="R285" s="191" t="str">
        <f t="shared" si="42"/>
        <v/>
      </c>
      <c r="S285" s="192" t="str">
        <f t="shared" si="44"/>
        <v/>
      </c>
      <c r="T285" s="193" t="str">
        <f t="shared" si="45"/>
        <v/>
      </c>
      <c r="U285" s="194" t="str">
        <f t="shared" si="46"/>
        <v/>
      </c>
      <c r="V285" s="195" t="str">
        <f t="shared" si="43"/>
        <v/>
      </c>
      <c r="W285" s="336" t="str">
        <f t="shared" si="47"/>
        <v/>
      </c>
      <c r="X285" s="338" t="str">
        <f t="shared" si="48"/>
        <v/>
      </c>
      <c r="Y285" s="274"/>
      <c r="AR285" t="str">
        <f t="shared" si="49"/>
        <v/>
      </c>
      <c r="AS285" t="str">
        <f t="shared" si="50"/>
        <v/>
      </c>
    </row>
    <row r="286" spans="1:45">
      <c r="A286" s="291"/>
      <c r="B286" s="292"/>
      <c r="C286" s="293"/>
      <c r="D286" s="293"/>
      <c r="E286" s="293"/>
      <c r="F286" s="293"/>
      <c r="G286" s="294"/>
      <c r="H286" s="300"/>
      <c r="I286" s="295"/>
      <c r="J286" s="295"/>
      <c r="K286" s="296"/>
      <c r="L286" s="301"/>
      <c r="M286" s="297"/>
      <c r="N286" s="298"/>
      <c r="P286" s="190" t="str">
        <f>IF(R286 = "", "", COUNT(R$4:$R286))</f>
        <v/>
      </c>
      <c r="Q286" s="190" t="str">
        <f t="shared" si="41"/>
        <v/>
      </c>
      <c r="R286" s="191" t="str">
        <f t="shared" si="42"/>
        <v/>
      </c>
      <c r="S286" s="192" t="str">
        <f t="shared" si="44"/>
        <v/>
      </c>
      <c r="T286" s="193" t="str">
        <f t="shared" si="45"/>
        <v/>
      </c>
      <c r="U286" s="194" t="str">
        <f t="shared" si="46"/>
        <v/>
      </c>
      <c r="V286" s="195" t="str">
        <f t="shared" si="43"/>
        <v/>
      </c>
      <c r="W286" s="336" t="str">
        <f t="shared" si="47"/>
        <v/>
      </c>
      <c r="X286" s="338" t="str">
        <f t="shared" si="48"/>
        <v/>
      </c>
      <c r="Y286" s="274"/>
      <c r="AR286" t="str">
        <f t="shared" si="49"/>
        <v/>
      </c>
      <c r="AS286" t="str">
        <f t="shared" si="50"/>
        <v/>
      </c>
    </row>
    <row r="287" spans="1:45">
      <c r="A287" s="291"/>
      <c r="B287" s="292"/>
      <c r="C287" s="293"/>
      <c r="D287" s="293"/>
      <c r="E287" s="293"/>
      <c r="F287" s="293"/>
      <c r="G287" s="294"/>
      <c r="H287" s="300"/>
      <c r="I287" s="295"/>
      <c r="J287" s="295"/>
      <c r="K287" s="296"/>
      <c r="L287" s="301"/>
      <c r="M287" s="297"/>
      <c r="N287" s="298"/>
      <c r="P287" s="190" t="str">
        <f>IF(R287 = "", "", COUNT(R$4:$R287))</f>
        <v/>
      </c>
      <c r="Q287" s="190" t="str">
        <f t="shared" si="41"/>
        <v/>
      </c>
      <c r="R287" s="191" t="str">
        <f t="shared" si="42"/>
        <v/>
      </c>
      <c r="S287" s="192" t="str">
        <f t="shared" si="44"/>
        <v/>
      </c>
      <c r="T287" s="193" t="str">
        <f t="shared" si="45"/>
        <v/>
      </c>
      <c r="U287" s="194" t="str">
        <f t="shared" si="46"/>
        <v/>
      </c>
      <c r="V287" s="195" t="str">
        <f t="shared" si="43"/>
        <v/>
      </c>
      <c r="W287" s="336" t="str">
        <f t="shared" si="47"/>
        <v/>
      </c>
      <c r="X287" s="338" t="str">
        <f t="shared" si="48"/>
        <v/>
      </c>
      <c r="Y287" s="274"/>
      <c r="AR287" t="str">
        <f t="shared" si="49"/>
        <v/>
      </c>
      <c r="AS287" t="str">
        <f t="shared" si="50"/>
        <v/>
      </c>
    </row>
    <row r="288" spans="1:45">
      <c r="A288" s="291"/>
      <c r="B288" s="292"/>
      <c r="C288" s="293"/>
      <c r="D288" s="293"/>
      <c r="E288" s="293"/>
      <c r="F288" s="293"/>
      <c r="G288" s="294"/>
      <c r="H288" s="300"/>
      <c r="I288" s="295"/>
      <c r="J288" s="295"/>
      <c r="K288" s="296"/>
      <c r="L288" s="301"/>
      <c r="M288" s="297"/>
      <c r="N288" s="298"/>
      <c r="P288" s="190" t="str">
        <f>IF(R288 = "", "", COUNT(R$4:$R288))</f>
        <v/>
      </c>
      <c r="Q288" s="190" t="str">
        <f t="shared" si="41"/>
        <v/>
      </c>
      <c r="R288" s="191" t="str">
        <f t="shared" si="42"/>
        <v/>
      </c>
      <c r="S288" s="192" t="str">
        <f t="shared" si="44"/>
        <v/>
      </c>
      <c r="T288" s="193" t="str">
        <f t="shared" si="45"/>
        <v/>
      </c>
      <c r="U288" s="194" t="str">
        <f t="shared" si="46"/>
        <v/>
      </c>
      <c r="V288" s="195" t="str">
        <f t="shared" si="43"/>
        <v/>
      </c>
      <c r="W288" s="336" t="str">
        <f t="shared" si="47"/>
        <v/>
      </c>
      <c r="X288" s="338" t="str">
        <f t="shared" si="48"/>
        <v/>
      </c>
      <c r="Y288" s="274"/>
      <c r="AR288" t="str">
        <f t="shared" si="49"/>
        <v/>
      </c>
      <c r="AS288" t="str">
        <f t="shared" si="50"/>
        <v/>
      </c>
    </row>
    <row r="289" spans="1:45">
      <c r="A289" s="291"/>
      <c r="B289" s="292"/>
      <c r="C289" s="293"/>
      <c r="D289" s="293"/>
      <c r="E289" s="293"/>
      <c r="F289" s="293"/>
      <c r="G289" s="294"/>
      <c r="H289" s="300"/>
      <c r="I289" s="295"/>
      <c r="J289" s="295"/>
      <c r="K289" s="296"/>
      <c r="L289" s="301"/>
      <c r="M289" s="297"/>
      <c r="N289" s="298"/>
      <c r="P289" s="190" t="str">
        <f>IF(R289 = "", "", COUNT(R$4:$R289))</f>
        <v/>
      </c>
      <c r="Q289" s="190" t="str">
        <f t="shared" si="41"/>
        <v/>
      </c>
      <c r="R289" s="191" t="str">
        <f t="shared" si="42"/>
        <v/>
      </c>
      <c r="S289" s="192" t="str">
        <f t="shared" si="44"/>
        <v/>
      </c>
      <c r="T289" s="193" t="str">
        <f t="shared" si="45"/>
        <v/>
      </c>
      <c r="U289" s="194" t="str">
        <f t="shared" si="46"/>
        <v/>
      </c>
      <c r="V289" s="195" t="str">
        <f t="shared" si="43"/>
        <v/>
      </c>
      <c r="W289" s="336" t="str">
        <f t="shared" si="47"/>
        <v/>
      </c>
      <c r="X289" s="338" t="str">
        <f t="shared" si="48"/>
        <v/>
      </c>
      <c r="Y289" s="274"/>
      <c r="AR289" t="str">
        <f t="shared" si="49"/>
        <v/>
      </c>
      <c r="AS289" t="str">
        <f t="shared" si="50"/>
        <v/>
      </c>
    </row>
    <row r="290" spans="1:45">
      <c r="A290" s="291"/>
      <c r="B290" s="292"/>
      <c r="C290" s="293"/>
      <c r="D290" s="293"/>
      <c r="E290" s="293"/>
      <c r="F290" s="293"/>
      <c r="G290" s="294"/>
      <c r="H290" s="300"/>
      <c r="I290" s="295"/>
      <c r="J290" s="295"/>
      <c r="K290" s="296"/>
      <c r="L290" s="301"/>
      <c r="M290" s="297"/>
      <c r="N290" s="298"/>
      <c r="P290" s="190" t="str">
        <f>IF(R290 = "", "", COUNT(R$4:$R290))</f>
        <v/>
      </c>
      <c r="Q290" s="190" t="str">
        <f t="shared" si="41"/>
        <v/>
      </c>
      <c r="R290" s="191" t="str">
        <f t="shared" si="42"/>
        <v/>
      </c>
      <c r="S290" s="192" t="str">
        <f t="shared" si="44"/>
        <v/>
      </c>
      <c r="T290" s="193" t="str">
        <f t="shared" si="45"/>
        <v/>
      </c>
      <c r="U290" s="194" t="str">
        <f t="shared" si="46"/>
        <v/>
      </c>
      <c r="V290" s="195" t="str">
        <f t="shared" si="43"/>
        <v/>
      </c>
      <c r="W290" s="336" t="str">
        <f t="shared" si="47"/>
        <v/>
      </c>
      <c r="X290" s="338" t="str">
        <f t="shared" si="48"/>
        <v/>
      </c>
      <c r="Y290" s="274"/>
      <c r="AR290" t="str">
        <f t="shared" si="49"/>
        <v/>
      </c>
      <c r="AS290" t="str">
        <f t="shared" si="50"/>
        <v/>
      </c>
    </row>
    <row r="291" spans="1:45">
      <c r="A291" s="291"/>
      <c r="B291" s="292"/>
      <c r="C291" s="293"/>
      <c r="D291" s="293"/>
      <c r="E291" s="293"/>
      <c r="F291" s="293"/>
      <c r="G291" s="294"/>
      <c r="H291" s="300"/>
      <c r="I291" s="295"/>
      <c r="J291" s="295"/>
      <c r="K291" s="296"/>
      <c r="L291" s="301"/>
      <c r="M291" s="297"/>
      <c r="N291" s="298"/>
      <c r="P291" s="190" t="str">
        <f>IF(R291 = "", "", COUNT(R$4:$R291))</f>
        <v/>
      </c>
      <c r="Q291" s="190" t="str">
        <f t="shared" si="41"/>
        <v/>
      </c>
      <c r="R291" s="191" t="str">
        <f t="shared" si="42"/>
        <v/>
      </c>
      <c r="S291" s="192" t="str">
        <f t="shared" si="44"/>
        <v/>
      </c>
      <c r="T291" s="193" t="str">
        <f t="shared" si="45"/>
        <v/>
      </c>
      <c r="U291" s="194" t="str">
        <f t="shared" si="46"/>
        <v/>
      </c>
      <c r="V291" s="195" t="str">
        <f t="shared" si="43"/>
        <v/>
      </c>
      <c r="W291" s="336" t="str">
        <f t="shared" si="47"/>
        <v/>
      </c>
      <c r="X291" s="338" t="str">
        <f t="shared" si="48"/>
        <v/>
      </c>
      <c r="Y291" s="274"/>
      <c r="AR291" t="str">
        <f t="shared" si="49"/>
        <v/>
      </c>
      <c r="AS291" t="str">
        <f t="shared" si="50"/>
        <v/>
      </c>
    </row>
    <row r="292" spans="1:45">
      <c r="A292" s="291"/>
      <c r="B292" s="292"/>
      <c r="C292" s="293"/>
      <c r="D292" s="293"/>
      <c r="E292" s="293"/>
      <c r="F292" s="293"/>
      <c r="G292" s="294"/>
      <c r="H292" s="300"/>
      <c r="I292" s="295"/>
      <c r="J292" s="295"/>
      <c r="K292" s="296"/>
      <c r="L292" s="301"/>
      <c r="M292" s="297"/>
      <c r="N292" s="298"/>
      <c r="P292" s="190" t="str">
        <f>IF(R292 = "", "", COUNT(R$4:$R292))</f>
        <v/>
      </c>
      <c r="Q292" s="190" t="str">
        <f t="shared" si="41"/>
        <v/>
      </c>
      <c r="R292" s="191" t="str">
        <f t="shared" si="42"/>
        <v/>
      </c>
      <c r="S292" s="192" t="str">
        <f t="shared" si="44"/>
        <v/>
      </c>
      <c r="T292" s="193" t="str">
        <f t="shared" si="45"/>
        <v/>
      </c>
      <c r="U292" s="194" t="str">
        <f t="shared" si="46"/>
        <v/>
      </c>
      <c r="V292" s="195" t="str">
        <f t="shared" si="43"/>
        <v/>
      </c>
      <c r="W292" s="336" t="str">
        <f t="shared" si="47"/>
        <v/>
      </c>
      <c r="X292" s="338" t="str">
        <f t="shared" si="48"/>
        <v/>
      </c>
      <c r="Y292" s="274"/>
      <c r="AR292" t="str">
        <f t="shared" si="49"/>
        <v/>
      </c>
      <c r="AS292" t="str">
        <f t="shared" si="50"/>
        <v/>
      </c>
    </row>
    <row r="293" spans="1:45">
      <c r="A293" s="291"/>
      <c r="B293" s="292"/>
      <c r="C293" s="293"/>
      <c r="D293" s="293"/>
      <c r="E293" s="293"/>
      <c r="F293" s="293"/>
      <c r="G293" s="294"/>
      <c r="H293" s="300"/>
      <c r="I293" s="295"/>
      <c r="J293" s="295"/>
      <c r="K293" s="296"/>
      <c r="L293" s="301"/>
      <c r="M293" s="297"/>
      <c r="N293" s="298"/>
      <c r="P293" s="190" t="str">
        <f>IF(R293 = "", "", COUNT(R$4:$R293))</f>
        <v/>
      </c>
      <c r="Q293" s="190" t="str">
        <f t="shared" si="41"/>
        <v/>
      </c>
      <c r="R293" s="191" t="str">
        <f t="shared" si="42"/>
        <v/>
      </c>
      <c r="S293" s="192" t="str">
        <f t="shared" si="44"/>
        <v/>
      </c>
      <c r="T293" s="193" t="str">
        <f t="shared" si="45"/>
        <v/>
      </c>
      <c r="U293" s="194" t="str">
        <f t="shared" si="46"/>
        <v/>
      </c>
      <c r="V293" s="195" t="str">
        <f t="shared" si="43"/>
        <v/>
      </c>
      <c r="W293" s="336" t="str">
        <f t="shared" si="47"/>
        <v/>
      </c>
      <c r="X293" s="338" t="str">
        <f t="shared" si="48"/>
        <v/>
      </c>
      <c r="Y293" s="274"/>
      <c r="AR293" t="str">
        <f t="shared" si="49"/>
        <v/>
      </c>
      <c r="AS293" t="str">
        <f t="shared" si="50"/>
        <v/>
      </c>
    </row>
    <row r="294" spans="1:45">
      <c r="A294" s="291"/>
      <c r="B294" s="292"/>
      <c r="C294" s="293"/>
      <c r="D294" s="293"/>
      <c r="E294" s="293"/>
      <c r="F294" s="293"/>
      <c r="G294" s="294"/>
      <c r="H294" s="300"/>
      <c r="I294" s="295"/>
      <c r="J294" s="295"/>
      <c r="K294" s="296"/>
      <c r="L294" s="301"/>
      <c r="M294" s="297"/>
      <c r="N294" s="298"/>
      <c r="P294" s="190" t="str">
        <f>IF(R294 = "", "", COUNT(R$4:$R294))</f>
        <v/>
      </c>
      <c r="Q294" s="190" t="str">
        <f t="shared" si="41"/>
        <v/>
      </c>
      <c r="R294" s="191" t="str">
        <f t="shared" si="42"/>
        <v/>
      </c>
      <c r="S294" s="192" t="str">
        <f t="shared" si="44"/>
        <v/>
      </c>
      <c r="T294" s="193" t="str">
        <f t="shared" si="45"/>
        <v/>
      </c>
      <c r="U294" s="194" t="str">
        <f t="shared" si="46"/>
        <v/>
      </c>
      <c r="V294" s="195" t="str">
        <f t="shared" si="43"/>
        <v/>
      </c>
      <c r="W294" s="336" t="str">
        <f t="shared" si="47"/>
        <v/>
      </c>
      <c r="X294" s="338" t="str">
        <f t="shared" si="48"/>
        <v/>
      </c>
      <c r="Y294" s="274"/>
      <c r="AR294" t="str">
        <f t="shared" si="49"/>
        <v/>
      </c>
      <c r="AS294" t="str">
        <f t="shared" si="50"/>
        <v/>
      </c>
    </row>
    <row r="295" spans="1:45">
      <c r="A295" s="291"/>
      <c r="B295" s="292"/>
      <c r="C295" s="293"/>
      <c r="D295" s="293"/>
      <c r="E295" s="293"/>
      <c r="F295" s="293"/>
      <c r="G295" s="294"/>
      <c r="H295" s="300"/>
      <c r="I295" s="295"/>
      <c r="J295" s="295"/>
      <c r="K295" s="296"/>
      <c r="L295" s="301"/>
      <c r="M295" s="297"/>
      <c r="N295" s="298"/>
      <c r="P295" s="190" t="str">
        <f>IF(R295 = "", "", COUNT(R$4:$R295))</f>
        <v/>
      </c>
      <c r="Q295" s="190" t="str">
        <f t="shared" si="41"/>
        <v/>
      </c>
      <c r="R295" s="191" t="str">
        <f t="shared" si="42"/>
        <v/>
      </c>
      <c r="S295" s="192" t="str">
        <f t="shared" si="44"/>
        <v/>
      </c>
      <c r="T295" s="193" t="str">
        <f t="shared" si="45"/>
        <v/>
      </c>
      <c r="U295" s="194" t="str">
        <f t="shared" si="46"/>
        <v/>
      </c>
      <c r="V295" s="195" t="str">
        <f t="shared" si="43"/>
        <v/>
      </c>
      <c r="W295" s="336" t="str">
        <f t="shared" si="47"/>
        <v/>
      </c>
      <c r="X295" s="338" t="str">
        <f t="shared" si="48"/>
        <v/>
      </c>
      <c r="Y295" s="274"/>
      <c r="AR295" t="str">
        <f t="shared" si="49"/>
        <v/>
      </c>
      <c r="AS295" t="str">
        <f t="shared" si="50"/>
        <v/>
      </c>
    </row>
    <row r="296" spans="1:45">
      <c r="A296" s="291"/>
      <c r="B296" s="292"/>
      <c r="C296" s="293"/>
      <c r="D296" s="293"/>
      <c r="E296" s="293"/>
      <c r="F296" s="293"/>
      <c r="G296" s="294"/>
      <c r="H296" s="300"/>
      <c r="I296" s="295"/>
      <c r="J296" s="295"/>
      <c r="K296" s="296"/>
      <c r="L296" s="301"/>
      <c r="M296" s="297"/>
      <c r="N296" s="298"/>
      <c r="P296" s="190" t="str">
        <f>IF(R296 = "", "", COUNT(R$4:$R296))</f>
        <v/>
      </c>
      <c r="Q296" s="190" t="str">
        <f t="shared" si="41"/>
        <v/>
      </c>
      <c r="R296" s="191" t="str">
        <f t="shared" si="42"/>
        <v/>
      </c>
      <c r="S296" s="192" t="str">
        <f t="shared" si="44"/>
        <v/>
      </c>
      <c r="T296" s="193" t="str">
        <f t="shared" si="45"/>
        <v/>
      </c>
      <c r="U296" s="194" t="str">
        <f t="shared" si="46"/>
        <v/>
      </c>
      <c r="V296" s="195" t="str">
        <f t="shared" si="43"/>
        <v/>
      </c>
      <c r="W296" s="336" t="str">
        <f t="shared" si="47"/>
        <v/>
      </c>
      <c r="X296" s="338" t="str">
        <f t="shared" si="48"/>
        <v/>
      </c>
      <c r="Y296" s="274"/>
      <c r="AR296" t="str">
        <f t="shared" si="49"/>
        <v/>
      </c>
      <c r="AS296" t="str">
        <f t="shared" si="50"/>
        <v/>
      </c>
    </row>
    <row r="297" spans="1:45">
      <c r="A297" s="291"/>
      <c r="B297" s="292"/>
      <c r="C297" s="293"/>
      <c r="D297" s="293"/>
      <c r="E297" s="293"/>
      <c r="F297" s="293"/>
      <c r="G297" s="294"/>
      <c r="H297" s="300"/>
      <c r="I297" s="295"/>
      <c r="J297" s="295"/>
      <c r="K297" s="296"/>
      <c r="L297" s="301"/>
      <c r="M297" s="297"/>
      <c r="N297" s="298"/>
      <c r="P297" s="190" t="str">
        <f>IF(R297 = "", "", COUNT(R$4:$R297))</f>
        <v/>
      </c>
      <c r="Q297" s="190" t="str">
        <f t="shared" si="41"/>
        <v/>
      </c>
      <c r="R297" s="191" t="str">
        <f t="shared" si="42"/>
        <v/>
      </c>
      <c r="S297" s="192" t="str">
        <f t="shared" si="44"/>
        <v/>
      </c>
      <c r="T297" s="193" t="str">
        <f t="shared" si="45"/>
        <v/>
      </c>
      <c r="U297" s="194" t="str">
        <f t="shared" si="46"/>
        <v/>
      </c>
      <c r="V297" s="195" t="str">
        <f t="shared" si="43"/>
        <v/>
      </c>
      <c r="W297" s="336" t="str">
        <f t="shared" si="47"/>
        <v/>
      </c>
      <c r="X297" s="338" t="str">
        <f t="shared" si="48"/>
        <v/>
      </c>
      <c r="Y297" s="274"/>
      <c r="AR297" t="str">
        <f t="shared" si="49"/>
        <v/>
      </c>
      <c r="AS297" t="str">
        <f t="shared" si="50"/>
        <v/>
      </c>
    </row>
    <row r="298" spans="1:45">
      <c r="A298" s="291"/>
      <c r="B298" s="292"/>
      <c r="C298" s="293"/>
      <c r="D298" s="293"/>
      <c r="E298" s="293"/>
      <c r="F298" s="293"/>
      <c r="G298" s="294"/>
      <c r="H298" s="300"/>
      <c r="I298" s="295"/>
      <c r="J298" s="295"/>
      <c r="K298" s="296"/>
      <c r="L298" s="301"/>
      <c r="M298" s="297"/>
      <c r="N298" s="298"/>
      <c r="P298" s="190" t="str">
        <f>IF(R298 = "", "", COUNT(R$4:$R298))</f>
        <v/>
      </c>
      <c r="Q298" s="190" t="str">
        <f t="shared" si="41"/>
        <v/>
      </c>
      <c r="R298" s="191" t="str">
        <f t="shared" si="42"/>
        <v/>
      </c>
      <c r="S298" s="192" t="str">
        <f t="shared" si="44"/>
        <v/>
      </c>
      <c r="T298" s="193" t="str">
        <f t="shared" si="45"/>
        <v/>
      </c>
      <c r="U298" s="194" t="str">
        <f t="shared" si="46"/>
        <v/>
      </c>
      <c r="V298" s="195" t="str">
        <f t="shared" si="43"/>
        <v/>
      </c>
      <c r="W298" s="336" t="str">
        <f t="shared" si="47"/>
        <v/>
      </c>
      <c r="X298" s="338" t="str">
        <f t="shared" si="48"/>
        <v/>
      </c>
      <c r="Y298" s="274"/>
      <c r="AR298" t="str">
        <f t="shared" si="49"/>
        <v/>
      </c>
      <c r="AS298" t="str">
        <f t="shared" si="50"/>
        <v/>
      </c>
    </row>
    <row r="299" spans="1:45">
      <c r="A299" s="291"/>
      <c r="B299" s="292"/>
      <c r="C299" s="293"/>
      <c r="D299" s="293"/>
      <c r="E299" s="293"/>
      <c r="F299" s="293"/>
      <c r="G299" s="294"/>
      <c r="H299" s="300"/>
      <c r="I299" s="295"/>
      <c r="J299" s="295"/>
      <c r="K299" s="296"/>
      <c r="L299" s="301"/>
      <c r="M299" s="297"/>
      <c r="N299" s="298"/>
      <c r="P299" s="190" t="str">
        <f>IF(R299 = "", "", COUNT(R$4:$R299))</f>
        <v/>
      </c>
      <c r="Q299" s="190" t="str">
        <f t="shared" si="41"/>
        <v/>
      </c>
      <c r="R299" s="191" t="str">
        <f t="shared" si="42"/>
        <v/>
      </c>
      <c r="S299" s="192" t="str">
        <f t="shared" si="44"/>
        <v/>
      </c>
      <c r="T299" s="193" t="str">
        <f t="shared" si="45"/>
        <v/>
      </c>
      <c r="U299" s="194" t="str">
        <f t="shared" si="46"/>
        <v/>
      </c>
      <c r="V299" s="195" t="str">
        <f t="shared" si="43"/>
        <v/>
      </c>
      <c r="W299" s="336" t="str">
        <f t="shared" si="47"/>
        <v/>
      </c>
      <c r="X299" s="338" t="str">
        <f t="shared" si="48"/>
        <v/>
      </c>
      <c r="Y299" s="274"/>
      <c r="AR299" t="str">
        <f t="shared" si="49"/>
        <v/>
      </c>
      <c r="AS299" t="str">
        <f t="shared" si="50"/>
        <v/>
      </c>
    </row>
    <row r="300" spans="1:45">
      <c r="A300" s="291"/>
      <c r="B300" s="292"/>
      <c r="C300" s="293"/>
      <c r="D300" s="293"/>
      <c r="E300" s="293"/>
      <c r="F300" s="293"/>
      <c r="G300" s="294"/>
      <c r="H300" s="300"/>
      <c r="I300" s="295"/>
      <c r="J300" s="295"/>
      <c r="K300" s="296"/>
      <c r="L300" s="301"/>
      <c r="M300" s="297"/>
      <c r="N300" s="298"/>
      <c r="P300" s="190" t="str">
        <f>IF(R300 = "", "", COUNT(R$4:$R300))</f>
        <v/>
      </c>
      <c r="Q300" s="190" t="str">
        <f t="shared" si="41"/>
        <v/>
      </c>
      <c r="R300" s="191" t="str">
        <f t="shared" si="42"/>
        <v/>
      </c>
      <c r="S300" s="192" t="str">
        <f t="shared" si="44"/>
        <v/>
      </c>
      <c r="T300" s="193" t="str">
        <f t="shared" si="45"/>
        <v/>
      </c>
      <c r="U300" s="194" t="str">
        <f t="shared" si="46"/>
        <v/>
      </c>
      <c r="V300" s="195" t="str">
        <f t="shared" si="43"/>
        <v/>
      </c>
      <c r="W300" s="336" t="str">
        <f t="shared" si="47"/>
        <v/>
      </c>
      <c r="X300" s="338" t="str">
        <f t="shared" si="48"/>
        <v/>
      </c>
      <c r="Y300" s="274"/>
      <c r="AR300" t="str">
        <f t="shared" si="49"/>
        <v/>
      </c>
      <c r="AS300" t="str">
        <f t="shared" si="50"/>
        <v/>
      </c>
    </row>
    <row r="301" spans="1:45">
      <c r="A301" s="291"/>
      <c r="B301" s="292"/>
      <c r="C301" s="293"/>
      <c r="D301" s="293"/>
      <c r="E301" s="293"/>
      <c r="F301" s="293"/>
      <c r="G301" s="294"/>
      <c r="H301" s="300"/>
      <c r="I301" s="295"/>
      <c r="J301" s="295"/>
      <c r="K301" s="296"/>
      <c r="L301" s="301"/>
      <c r="M301" s="297"/>
      <c r="N301" s="298"/>
      <c r="P301" s="190" t="str">
        <f>IF(R301 = "", "", COUNT(R$4:$R301))</f>
        <v/>
      </c>
      <c r="Q301" s="190" t="str">
        <f t="shared" si="41"/>
        <v/>
      </c>
      <c r="R301" s="191" t="str">
        <f t="shared" si="42"/>
        <v/>
      </c>
      <c r="S301" s="192" t="str">
        <f t="shared" si="44"/>
        <v/>
      </c>
      <c r="T301" s="193" t="str">
        <f t="shared" si="45"/>
        <v/>
      </c>
      <c r="U301" s="194" t="str">
        <f t="shared" si="46"/>
        <v/>
      </c>
      <c r="V301" s="195" t="str">
        <f t="shared" si="43"/>
        <v/>
      </c>
      <c r="W301" s="336" t="str">
        <f t="shared" si="47"/>
        <v/>
      </c>
      <c r="X301" s="338" t="str">
        <f t="shared" si="48"/>
        <v/>
      </c>
      <c r="Y301" s="274"/>
      <c r="AR301" t="str">
        <f t="shared" si="49"/>
        <v/>
      </c>
      <c r="AS301" t="str">
        <f t="shared" si="50"/>
        <v/>
      </c>
    </row>
    <row r="302" spans="1:45">
      <c r="A302" s="291"/>
      <c r="B302" s="292"/>
      <c r="C302" s="293"/>
      <c r="D302" s="293"/>
      <c r="E302" s="293"/>
      <c r="F302" s="293"/>
      <c r="G302" s="294"/>
      <c r="H302" s="300"/>
      <c r="I302" s="295"/>
      <c r="J302" s="295"/>
      <c r="K302" s="296"/>
      <c r="L302" s="301"/>
      <c r="M302" s="297"/>
      <c r="N302" s="298"/>
      <c r="P302" s="190" t="str">
        <f>IF(R302 = "", "", COUNT(R$4:$R302))</f>
        <v/>
      </c>
      <c r="Q302" s="190" t="str">
        <f t="shared" si="41"/>
        <v/>
      </c>
      <c r="R302" s="191" t="str">
        <f t="shared" si="42"/>
        <v/>
      </c>
      <c r="S302" s="192" t="str">
        <f t="shared" si="44"/>
        <v/>
      </c>
      <c r="T302" s="193" t="str">
        <f t="shared" si="45"/>
        <v/>
      </c>
      <c r="U302" s="194" t="str">
        <f t="shared" si="46"/>
        <v/>
      </c>
      <c r="V302" s="195" t="str">
        <f t="shared" si="43"/>
        <v/>
      </c>
      <c r="W302" s="336" t="str">
        <f t="shared" si="47"/>
        <v/>
      </c>
      <c r="X302" s="338" t="str">
        <f t="shared" si="48"/>
        <v/>
      </c>
      <c r="Y302" s="274"/>
      <c r="AR302" t="str">
        <f t="shared" si="49"/>
        <v/>
      </c>
      <c r="AS302" t="str">
        <f t="shared" si="50"/>
        <v/>
      </c>
    </row>
    <row r="303" spans="1:45">
      <c r="A303" s="291"/>
      <c r="B303" s="292"/>
      <c r="C303" s="293"/>
      <c r="D303" s="293"/>
      <c r="E303" s="293"/>
      <c r="F303" s="293"/>
      <c r="G303" s="294"/>
      <c r="H303" s="300"/>
      <c r="I303" s="295"/>
      <c r="J303" s="295"/>
      <c r="K303" s="296"/>
      <c r="L303" s="301"/>
      <c r="M303" s="297"/>
      <c r="N303" s="298"/>
      <c r="P303" s="190" t="str">
        <f>IF(R303 = "", "", COUNT(R$4:$R303))</f>
        <v/>
      </c>
      <c r="Q303" s="190" t="str">
        <f t="shared" si="41"/>
        <v/>
      </c>
      <c r="R303" s="191" t="str">
        <f t="shared" si="42"/>
        <v/>
      </c>
      <c r="S303" s="192" t="str">
        <f t="shared" si="44"/>
        <v/>
      </c>
      <c r="T303" s="193" t="str">
        <f t="shared" si="45"/>
        <v/>
      </c>
      <c r="U303" s="194" t="str">
        <f t="shared" si="46"/>
        <v/>
      </c>
      <c r="V303" s="195" t="str">
        <f t="shared" si="43"/>
        <v/>
      </c>
      <c r="W303" s="336" t="str">
        <f t="shared" si="47"/>
        <v/>
      </c>
      <c r="X303" s="338" t="str">
        <f t="shared" si="48"/>
        <v/>
      </c>
      <c r="Y303" s="274"/>
      <c r="AR303" t="str">
        <f t="shared" si="49"/>
        <v/>
      </c>
      <c r="AS303" t="str">
        <f t="shared" si="50"/>
        <v/>
      </c>
    </row>
    <row r="304" spans="1:45">
      <c r="A304" s="291"/>
      <c r="B304" s="292"/>
      <c r="C304" s="293"/>
      <c r="D304" s="293"/>
      <c r="E304" s="293"/>
      <c r="F304" s="293"/>
      <c r="G304" s="294"/>
      <c r="H304" s="300"/>
      <c r="I304" s="295"/>
      <c r="J304" s="295"/>
      <c r="K304" s="296"/>
      <c r="L304" s="301"/>
      <c r="M304" s="297"/>
      <c r="N304" s="298"/>
      <c r="P304" s="190" t="str">
        <f>IF(R304 = "", "", COUNT(R$4:$R304))</f>
        <v/>
      </c>
      <c r="Q304" s="190" t="str">
        <f t="shared" si="41"/>
        <v/>
      </c>
      <c r="R304" s="191" t="str">
        <f t="shared" si="42"/>
        <v/>
      </c>
      <c r="S304" s="192" t="str">
        <f t="shared" si="44"/>
        <v/>
      </c>
      <c r="T304" s="193" t="str">
        <f t="shared" si="45"/>
        <v/>
      </c>
      <c r="U304" s="194" t="str">
        <f t="shared" si="46"/>
        <v/>
      </c>
      <c r="V304" s="195" t="str">
        <f t="shared" si="43"/>
        <v/>
      </c>
      <c r="W304" s="336" t="str">
        <f t="shared" si="47"/>
        <v/>
      </c>
      <c r="X304" s="338" t="str">
        <f t="shared" si="48"/>
        <v/>
      </c>
      <c r="Y304" s="274"/>
      <c r="AR304" t="str">
        <f t="shared" si="49"/>
        <v/>
      </c>
      <c r="AS304" t="str">
        <f t="shared" si="50"/>
        <v/>
      </c>
    </row>
    <row r="305" spans="1:45">
      <c r="A305" s="291"/>
      <c r="B305" s="292"/>
      <c r="C305" s="293"/>
      <c r="D305" s="293"/>
      <c r="E305" s="293"/>
      <c r="F305" s="293"/>
      <c r="G305" s="294"/>
      <c r="H305" s="300"/>
      <c r="I305" s="295"/>
      <c r="J305" s="295"/>
      <c r="K305" s="296"/>
      <c r="L305" s="301"/>
      <c r="M305" s="297"/>
      <c r="N305" s="298"/>
      <c r="P305" s="190" t="str">
        <f>IF(R305 = "", "", COUNT(R$4:$R305))</f>
        <v/>
      </c>
      <c r="Q305" s="190" t="str">
        <f t="shared" si="41"/>
        <v/>
      </c>
      <c r="R305" s="191" t="str">
        <f t="shared" si="42"/>
        <v/>
      </c>
      <c r="S305" s="192" t="str">
        <f t="shared" si="44"/>
        <v/>
      </c>
      <c r="T305" s="193" t="str">
        <f t="shared" si="45"/>
        <v/>
      </c>
      <c r="U305" s="194" t="str">
        <f t="shared" si="46"/>
        <v/>
      </c>
      <c r="V305" s="195" t="str">
        <f t="shared" si="43"/>
        <v/>
      </c>
      <c r="W305" s="336" t="str">
        <f t="shared" si="47"/>
        <v/>
      </c>
      <c r="X305" s="338" t="str">
        <f t="shared" si="48"/>
        <v/>
      </c>
      <c r="Y305" s="274"/>
      <c r="AR305" t="str">
        <f t="shared" si="49"/>
        <v/>
      </c>
      <c r="AS305" t="str">
        <f t="shared" si="50"/>
        <v/>
      </c>
    </row>
    <row r="306" spans="1:45">
      <c r="A306" s="291"/>
      <c r="B306" s="292"/>
      <c r="C306" s="293"/>
      <c r="D306" s="293"/>
      <c r="E306" s="293"/>
      <c r="F306" s="293"/>
      <c r="G306" s="294"/>
      <c r="H306" s="300"/>
      <c r="I306" s="295"/>
      <c r="J306" s="295"/>
      <c r="K306" s="296"/>
      <c r="L306" s="301"/>
      <c r="M306" s="297"/>
      <c r="N306" s="298"/>
      <c r="P306" s="190" t="str">
        <f>IF(R306 = "", "", COUNT(R$4:$R306))</f>
        <v/>
      </c>
      <c r="Q306" s="190" t="str">
        <f t="shared" si="41"/>
        <v/>
      </c>
      <c r="R306" s="191" t="str">
        <f t="shared" si="42"/>
        <v/>
      </c>
      <c r="S306" s="192" t="str">
        <f t="shared" si="44"/>
        <v/>
      </c>
      <c r="T306" s="193" t="str">
        <f t="shared" si="45"/>
        <v/>
      </c>
      <c r="U306" s="194" t="str">
        <f t="shared" si="46"/>
        <v/>
      </c>
      <c r="V306" s="195" t="str">
        <f t="shared" si="43"/>
        <v/>
      </c>
      <c r="W306" s="336" t="str">
        <f t="shared" si="47"/>
        <v/>
      </c>
      <c r="X306" s="338" t="str">
        <f t="shared" si="48"/>
        <v/>
      </c>
      <c r="Y306" s="274"/>
      <c r="AR306" t="str">
        <f t="shared" si="49"/>
        <v/>
      </c>
      <c r="AS306" t="str">
        <f t="shared" si="50"/>
        <v/>
      </c>
    </row>
    <row r="307" spans="1:45">
      <c r="A307" s="291"/>
      <c r="B307" s="292"/>
      <c r="C307" s="293"/>
      <c r="D307" s="293"/>
      <c r="E307" s="293"/>
      <c r="F307" s="293"/>
      <c r="G307" s="294"/>
      <c r="H307" s="300"/>
      <c r="I307" s="295"/>
      <c r="J307" s="295"/>
      <c r="K307" s="296"/>
      <c r="L307" s="301"/>
      <c r="M307" s="297"/>
      <c r="N307" s="298"/>
      <c r="P307" s="190" t="str">
        <f>IF(R307 = "", "", COUNT(R$4:$R307))</f>
        <v/>
      </c>
      <c r="Q307" s="190" t="str">
        <f t="shared" si="41"/>
        <v/>
      </c>
      <c r="R307" s="191" t="str">
        <f t="shared" si="42"/>
        <v/>
      </c>
      <c r="S307" s="192" t="str">
        <f t="shared" si="44"/>
        <v/>
      </c>
      <c r="T307" s="193" t="str">
        <f t="shared" si="45"/>
        <v/>
      </c>
      <c r="U307" s="194" t="str">
        <f t="shared" si="46"/>
        <v/>
      </c>
      <c r="V307" s="195" t="str">
        <f t="shared" si="43"/>
        <v/>
      </c>
      <c r="W307" s="336" t="str">
        <f t="shared" si="47"/>
        <v/>
      </c>
      <c r="X307" s="338" t="str">
        <f t="shared" si="48"/>
        <v/>
      </c>
      <c r="Y307" s="274"/>
      <c r="AR307" t="str">
        <f t="shared" si="49"/>
        <v/>
      </c>
      <c r="AS307" t="str">
        <f t="shared" si="50"/>
        <v/>
      </c>
    </row>
    <row r="308" spans="1:45">
      <c r="A308" s="291"/>
      <c r="B308" s="292"/>
      <c r="C308" s="293"/>
      <c r="D308" s="293"/>
      <c r="E308" s="293"/>
      <c r="F308" s="293"/>
      <c r="G308" s="294"/>
      <c r="H308" s="300"/>
      <c r="I308" s="295"/>
      <c r="J308" s="295"/>
      <c r="K308" s="296"/>
      <c r="L308" s="301"/>
      <c r="M308" s="297"/>
      <c r="N308" s="298"/>
      <c r="P308" s="190" t="str">
        <f>IF(R308 = "", "", COUNT(R$4:$R308))</f>
        <v/>
      </c>
      <c r="Q308" s="190" t="str">
        <f t="shared" si="41"/>
        <v/>
      </c>
      <c r="R308" s="191" t="str">
        <f t="shared" si="42"/>
        <v/>
      </c>
      <c r="S308" s="192" t="str">
        <f t="shared" si="44"/>
        <v/>
      </c>
      <c r="T308" s="193" t="str">
        <f t="shared" si="45"/>
        <v/>
      </c>
      <c r="U308" s="194" t="str">
        <f t="shared" si="46"/>
        <v/>
      </c>
      <c r="V308" s="195" t="str">
        <f t="shared" si="43"/>
        <v/>
      </c>
      <c r="W308" s="336" t="str">
        <f t="shared" si="47"/>
        <v/>
      </c>
      <c r="X308" s="338" t="str">
        <f t="shared" si="48"/>
        <v/>
      </c>
      <c r="Y308" s="274"/>
      <c r="AR308" t="str">
        <f t="shared" si="49"/>
        <v/>
      </c>
      <c r="AS308" t="str">
        <f t="shared" si="50"/>
        <v/>
      </c>
    </row>
    <row r="309" spans="1:45">
      <c r="A309" s="291"/>
      <c r="B309" s="292"/>
      <c r="C309" s="293"/>
      <c r="D309" s="293"/>
      <c r="E309" s="293"/>
      <c r="F309" s="293"/>
      <c r="G309" s="294"/>
      <c r="H309" s="300"/>
      <c r="I309" s="295"/>
      <c r="J309" s="295"/>
      <c r="K309" s="296"/>
      <c r="L309" s="301"/>
      <c r="M309" s="297"/>
      <c r="N309" s="298"/>
      <c r="P309" s="190" t="str">
        <f>IF(R309 = "", "", COUNT(R$4:$R309))</f>
        <v/>
      </c>
      <c r="Q309" s="190" t="str">
        <f t="shared" si="41"/>
        <v/>
      </c>
      <c r="R309" s="191" t="str">
        <f t="shared" si="42"/>
        <v/>
      </c>
      <c r="S309" s="192" t="str">
        <f t="shared" si="44"/>
        <v/>
      </c>
      <c r="T309" s="193" t="str">
        <f t="shared" si="45"/>
        <v/>
      </c>
      <c r="U309" s="194" t="str">
        <f t="shared" si="46"/>
        <v/>
      </c>
      <c r="V309" s="195" t="str">
        <f t="shared" si="43"/>
        <v/>
      </c>
      <c r="W309" s="336" t="str">
        <f t="shared" si="47"/>
        <v/>
      </c>
      <c r="X309" s="338" t="str">
        <f t="shared" si="48"/>
        <v/>
      </c>
      <c r="Y309" s="274"/>
      <c r="AR309" t="str">
        <f t="shared" si="49"/>
        <v/>
      </c>
      <c r="AS309" t="str">
        <f t="shared" si="50"/>
        <v/>
      </c>
    </row>
    <row r="310" spans="1:45">
      <c r="A310" s="291"/>
      <c r="B310" s="292"/>
      <c r="C310" s="293"/>
      <c r="D310" s="293"/>
      <c r="E310" s="293"/>
      <c r="F310" s="293"/>
      <c r="G310" s="294"/>
      <c r="H310" s="300"/>
      <c r="I310" s="295"/>
      <c r="J310" s="295"/>
      <c r="K310" s="296"/>
      <c r="L310" s="301"/>
      <c r="M310" s="297"/>
      <c r="N310" s="298"/>
      <c r="P310" s="190" t="str">
        <f>IF(R310 = "", "", COUNT(R$4:$R310))</f>
        <v/>
      </c>
      <c r="Q310" s="190" t="str">
        <f t="shared" si="41"/>
        <v/>
      </c>
      <c r="R310" s="191" t="str">
        <f t="shared" si="42"/>
        <v/>
      </c>
      <c r="S310" s="192" t="str">
        <f t="shared" si="44"/>
        <v/>
      </c>
      <c r="T310" s="193" t="str">
        <f t="shared" si="45"/>
        <v/>
      </c>
      <c r="U310" s="194" t="str">
        <f t="shared" si="46"/>
        <v/>
      </c>
      <c r="V310" s="195" t="str">
        <f t="shared" si="43"/>
        <v/>
      </c>
      <c r="W310" s="336" t="str">
        <f t="shared" si="47"/>
        <v/>
      </c>
      <c r="X310" s="338" t="str">
        <f t="shared" si="48"/>
        <v/>
      </c>
      <c r="Y310" s="274"/>
      <c r="AR310" t="str">
        <f t="shared" si="49"/>
        <v/>
      </c>
      <c r="AS310" t="str">
        <f t="shared" si="50"/>
        <v/>
      </c>
    </row>
    <row r="311" spans="1:45">
      <c r="A311" s="291"/>
      <c r="B311" s="292"/>
      <c r="C311" s="293"/>
      <c r="D311" s="293"/>
      <c r="E311" s="293"/>
      <c r="F311" s="293"/>
      <c r="G311" s="294"/>
      <c r="H311" s="300"/>
      <c r="I311" s="295"/>
      <c r="J311" s="295"/>
      <c r="K311" s="296"/>
      <c r="L311" s="301"/>
      <c r="M311" s="297"/>
      <c r="N311" s="298"/>
      <c r="P311" s="190" t="str">
        <f>IF(R311 = "", "", COUNT(R$4:$R311))</f>
        <v/>
      </c>
      <c r="Q311" s="190" t="str">
        <f t="shared" si="41"/>
        <v/>
      </c>
      <c r="R311" s="191" t="str">
        <f t="shared" si="42"/>
        <v/>
      </c>
      <c r="S311" s="192" t="str">
        <f t="shared" si="44"/>
        <v/>
      </c>
      <c r="T311" s="193" t="str">
        <f t="shared" si="45"/>
        <v/>
      </c>
      <c r="U311" s="194" t="str">
        <f t="shared" si="46"/>
        <v/>
      </c>
      <c r="V311" s="195" t="str">
        <f t="shared" si="43"/>
        <v/>
      </c>
      <c r="W311" s="336" t="str">
        <f t="shared" si="47"/>
        <v/>
      </c>
      <c r="X311" s="338" t="str">
        <f t="shared" si="48"/>
        <v/>
      </c>
      <c r="Y311" s="274"/>
      <c r="AR311" t="str">
        <f t="shared" si="49"/>
        <v/>
      </c>
      <c r="AS311" t="str">
        <f t="shared" si="50"/>
        <v/>
      </c>
    </row>
    <row r="312" spans="1:45">
      <c r="A312" s="291"/>
      <c r="B312" s="292"/>
      <c r="C312" s="293"/>
      <c r="D312" s="293"/>
      <c r="E312" s="293"/>
      <c r="F312" s="293"/>
      <c r="G312" s="294"/>
      <c r="H312" s="300"/>
      <c r="I312" s="295"/>
      <c r="J312" s="295"/>
      <c r="K312" s="296"/>
      <c r="L312" s="301"/>
      <c r="M312" s="297"/>
      <c r="N312" s="298"/>
      <c r="P312" s="190" t="str">
        <f>IF(R312 = "", "", COUNT(R$4:$R312))</f>
        <v/>
      </c>
      <c r="Q312" s="190" t="str">
        <f t="shared" si="41"/>
        <v/>
      </c>
      <c r="R312" s="191" t="str">
        <f t="shared" si="42"/>
        <v/>
      </c>
      <c r="S312" s="192" t="str">
        <f t="shared" si="44"/>
        <v/>
      </c>
      <c r="T312" s="193" t="str">
        <f t="shared" si="45"/>
        <v/>
      </c>
      <c r="U312" s="194" t="str">
        <f t="shared" si="46"/>
        <v/>
      </c>
      <c r="V312" s="195" t="str">
        <f t="shared" si="43"/>
        <v/>
      </c>
      <c r="W312" s="336" t="str">
        <f t="shared" si="47"/>
        <v/>
      </c>
      <c r="X312" s="338" t="str">
        <f t="shared" si="48"/>
        <v/>
      </c>
      <c r="Y312" s="274"/>
      <c r="AR312" t="str">
        <f t="shared" si="49"/>
        <v/>
      </c>
      <c r="AS312" t="str">
        <f t="shared" si="50"/>
        <v/>
      </c>
    </row>
    <row r="313" spans="1:45">
      <c r="A313" s="291"/>
      <c r="B313" s="292"/>
      <c r="C313" s="293"/>
      <c r="D313" s="293"/>
      <c r="E313" s="293"/>
      <c r="F313" s="293"/>
      <c r="G313" s="294"/>
      <c r="H313" s="300"/>
      <c r="I313" s="295"/>
      <c r="J313" s="295"/>
      <c r="K313" s="296"/>
      <c r="L313" s="301"/>
      <c r="M313" s="297"/>
      <c r="N313" s="298"/>
      <c r="P313" s="190" t="str">
        <f>IF(R313 = "", "", COUNT(R$4:$R313))</f>
        <v/>
      </c>
      <c r="Q313" s="190" t="str">
        <f t="shared" si="41"/>
        <v/>
      </c>
      <c r="R313" s="191" t="str">
        <f t="shared" si="42"/>
        <v/>
      </c>
      <c r="S313" s="192" t="str">
        <f t="shared" si="44"/>
        <v/>
      </c>
      <c r="T313" s="193" t="str">
        <f t="shared" si="45"/>
        <v/>
      </c>
      <c r="U313" s="194" t="str">
        <f t="shared" si="46"/>
        <v/>
      </c>
      <c r="V313" s="195" t="str">
        <f t="shared" si="43"/>
        <v/>
      </c>
      <c r="W313" s="336" t="str">
        <f t="shared" si="47"/>
        <v/>
      </c>
      <c r="X313" s="338" t="str">
        <f t="shared" si="48"/>
        <v/>
      </c>
      <c r="Y313" s="274"/>
      <c r="AR313" t="str">
        <f t="shared" si="49"/>
        <v/>
      </c>
      <c r="AS313" t="str">
        <f t="shared" si="50"/>
        <v/>
      </c>
    </row>
    <row r="314" spans="1:45">
      <c r="A314" s="291"/>
      <c r="B314" s="292"/>
      <c r="C314" s="293"/>
      <c r="D314" s="293"/>
      <c r="E314" s="293"/>
      <c r="F314" s="293"/>
      <c r="G314" s="294"/>
      <c r="H314" s="300"/>
      <c r="I314" s="295"/>
      <c r="J314" s="295"/>
      <c r="K314" s="296"/>
      <c r="L314" s="301"/>
      <c r="M314" s="297"/>
      <c r="N314" s="298"/>
      <c r="P314" s="190" t="str">
        <f>IF(R314 = "", "", COUNT(R$4:$R314))</f>
        <v/>
      </c>
      <c r="Q314" s="190" t="str">
        <f t="shared" si="41"/>
        <v/>
      </c>
      <c r="R314" s="191" t="str">
        <f t="shared" si="42"/>
        <v/>
      </c>
      <c r="S314" s="192" t="str">
        <f t="shared" si="44"/>
        <v/>
      </c>
      <c r="T314" s="193" t="str">
        <f t="shared" si="45"/>
        <v/>
      </c>
      <c r="U314" s="194" t="str">
        <f t="shared" si="46"/>
        <v/>
      </c>
      <c r="V314" s="195" t="str">
        <f t="shared" si="43"/>
        <v/>
      </c>
      <c r="W314" s="336" t="str">
        <f t="shared" si="47"/>
        <v/>
      </c>
      <c r="X314" s="338" t="str">
        <f t="shared" si="48"/>
        <v/>
      </c>
      <c r="Y314" s="274"/>
      <c r="AR314" t="str">
        <f t="shared" si="49"/>
        <v/>
      </c>
      <c r="AS314" t="str">
        <f t="shared" si="50"/>
        <v/>
      </c>
    </row>
    <row r="315" spans="1:45">
      <c r="A315" s="291"/>
      <c r="B315" s="292"/>
      <c r="C315" s="293"/>
      <c r="D315" s="293"/>
      <c r="E315" s="293"/>
      <c r="F315" s="293"/>
      <c r="G315" s="294"/>
      <c r="H315" s="300"/>
      <c r="I315" s="295"/>
      <c r="J315" s="295"/>
      <c r="K315" s="296"/>
      <c r="L315" s="301"/>
      <c r="M315" s="297"/>
      <c r="N315" s="298"/>
      <c r="P315" s="190" t="str">
        <f>IF(R315 = "", "", COUNT(R$4:$R315))</f>
        <v/>
      </c>
      <c r="Q315" s="190" t="str">
        <f t="shared" si="41"/>
        <v/>
      </c>
      <c r="R315" s="191" t="str">
        <f t="shared" si="42"/>
        <v/>
      </c>
      <c r="S315" s="192" t="str">
        <f t="shared" si="44"/>
        <v/>
      </c>
      <c r="T315" s="193" t="str">
        <f t="shared" si="45"/>
        <v/>
      </c>
      <c r="U315" s="194" t="str">
        <f t="shared" si="46"/>
        <v/>
      </c>
      <c r="V315" s="195" t="str">
        <f t="shared" si="43"/>
        <v/>
      </c>
      <c r="W315" s="336" t="str">
        <f t="shared" si="47"/>
        <v/>
      </c>
      <c r="X315" s="338" t="str">
        <f t="shared" si="48"/>
        <v/>
      </c>
      <c r="Y315" s="274"/>
      <c r="AR315" t="str">
        <f t="shared" si="49"/>
        <v/>
      </c>
      <c r="AS315" t="str">
        <f t="shared" si="50"/>
        <v/>
      </c>
    </row>
    <row r="316" spans="1:45">
      <c r="A316" s="291"/>
      <c r="B316" s="292"/>
      <c r="C316" s="293"/>
      <c r="D316" s="293"/>
      <c r="E316" s="293"/>
      <c r="F316" s="293"/>
      <c r="G316" s="294"/>
      <c r="H316" s="300"/>
      <c r="I316" s="295"/>
      <c r="J316" s="295"/>
      <c r="K316" s="296"/>
      <c r="L316" s="301"/>
      <c r="M316" s="297"/>
      <c r="N316" s="298"/>
      <c r="P316" s="190" t="str">
        <f>IF(R316 = "", "", COUNT(R$4:$R316))</f>
        <v/>
      </c>
      <c r="Q316" s="190" t="str">
        <f t="shared" si="41"/>
        <v/>
      </c>
      <c r="R316" s="191" t="str">
        <f t="shared" si="42"/>
        <v/>
      </c>
      <c r="S316" s="192" t="str">
        <f t="shared" si="44"/>
        <v/>
      </c>
      <c r="T316" s="193" t="str">
        <f t="shared" si="45"/>
        <v/>
      </c>
      <c r="U316" s="194" t="str">
        <f t="shared" si="46"/>
        <v/>
      </c>
      <c r="V316" s="195" t="str">
        <f t="shared" si="43"/>
        <v/>
      </c>
      <c r="W316" s="336" t="str">
        <f t="shared" si="47"/>
        <v/>
      </c>
      <c r="X316" s="338" t="str">
        <f t="shared" si="48"/>
        <v/>
      </c>
      <c r="Y316" s="274"/>
      <c r="AR316" t="str">
        <f t="shared" si="49"/>
        <v/>
      </c>
      <c r="AS316" t="str">
        <f t="shared" si="50"/>
        <v/>
      </c>
    </row>
    <row r="317" spans="1:45">
      <c r="A317" s="291"/>
      <c r="B317" s="292"/>
      <c r="C317" s="293"/>
      <c r="D317" s="293"/>
      <c r="E317" s="293"/>
      <c r="F317" s="293"/>
      <c r="G317" s="294"/>
      <c r="H317" s="300"/>
      <c r="I317" s="295"/>
      <c r="J317" s="295"/>
      <c r="K317" s="296"/>
      <c r="L317" s="301"/>
      <c r="M317" s="297"/>
      <c r="N317" s="298"/>
      <c r="P317" s="190" t="str">
        <f>IF(R317 = "", "", COUNT(R$4:$R317))</f>
        <v/>
      </c>
      <c r="Q317" s="190" t="str">
        <f t="shared" si="41"/>
        <v/>
      </c>
      <c r="R317" s="191" t="str">
        <f t="shared" si="42"/>
        <v/>
      </c>
      <c r="S317" s="192" t="str">
        <f t="shared" si="44"/>
        <v/>
      </c>
      <c r="T317" s="193" t="str">
        <f t="shared" si="45"/>
        <v/>
      </c>
      <c r="U317" s="194" t="str">
        <f t="shared" si="46"/>
        <v/>
      </c>
      <c r="V317" s="195" t="str">
        <f t="shared" si="43"/>
        <v/>
      </c>
      <c r="W317" s="336" t="str">
        <f t="shared" si="47"/>
        <v/>
      </c>
      <c r="X317" s="338" t="str">
        <f t="shared" si="48"/>
        <v/>
      </c>
      <c r="Y317" s="274"/>
      <c r="AR317" t="str">
        <f t="shared" si="49"/>
        <v/>
      </c>
      <c r="AS317" t="str">
        <f t="shared" si="50"/>
        <v/>
      </c>
    </row>
    <row r="318" spans="1:45">
      <c r="A318" s="291"/>
      <c r="B318" s="292"/>
      <c r="C318" s="293"/>
      <c r="D318" s="293"/>
      <c r="E318" s="293"/>
      <c r="F318" s="293"/>
      <c r="G318" s="294"/>
      <c r="H318" s="300"/>
      <c r="I318" s="295"/>
      <c r="J318" s="295"/>
      <c r="K318" s="296"/>
      <c r="L318" s="301"/>
      <c r="M318" s="297"/>
      <c r="N318" s="298"/>
      <c r="P318" s="190" t="str">
        <f>IF(R318 = "", "", COUNT(R$4:$R318))</f>
        <v/>
      </c>
      <c r="Q318" s="190" t="str">
        <f t="shared" si="41"/>
        <v/>
      </c>
      <c r="R318" s="191" t="str">
        <f t="shared" si="42"/>
        <v/>
      </c>
      <c r="S318" s="192" t="str">
        <f t="shared" si="44"/>
        <v/>
      </c>
      <c r="T318" s="193" t="str">
        <f t="shared" si="45"/>
        <v/>
      </c>
      <c r="U318" s="194" t="str">
        <f t="shared" si="46"/>
        <v/>
      </c>
      <c r="V318" s="195" t="str">
        <f t="shared" si="43"/>
        <v/>
      </c>
      <c r="W318" s="336" t="str">
        <f t="shared" si="47"/>
        <v/>
      </c>
      <c r="X318" s="338" t="str">
        <f t="shared" si="48"/>
        <v/>
      </c>
      <c r="Y318" s="274"/>
      <c r="AR318" t="str">
        <f t="shared" si="49"/>
        <v/>
      </c>
      <c r="AS318" t="str">
        <f t="shared" si="50"/>
        <v/>
      </c>
    </row>
    <row r="319" spans="1:45">
      <c r="A319" s="291"/>
      <c r="B319" s="292"/>
      <c r="C319" s="293"/>
      <c r="D319" s="293"/>
      <c r="E319" s="293"/>
      <c r="F319" s="293"/>
      <c r="G319" s="294"/>
      <c r="H319" s="300"/>
      <c r="I319" s="295"/>
      <c r="J319" s="295"/>
      <c r="K319" s="296"/>
      <c r="L319" s="301"/>
      <c r="M319" s="297"/>
      <c r="N319" s="298"/>
      <c r="P319" s="190" t="str">
        <f>IF(R319 = "", "", COUNT(R$4:$R319))</f>
        <v/>
      </c>
      <c r="Q319" s="190" t="str">
        <f t="shared" si="41"/>
        <v/>
      </c>
      <c r="R319" s="191" t="str">
        <f t="shared" si="42"/>
        <v/>
      </c>
      <c r="S319" s="192" t="str">
        <f t="shared" si="44"/>
        <v/>
      </c>
      <c r="T319" s="193" t="str">
        <f t="shared" si="45"/>
        <v/>
      </c>
      <c r="U319" s="194" t="str">
        <f t="shared" si="46"/>
        <v/>
      </c>
      <c r="V319" s="195" t="str">
        <f t="shared" si="43"/>
        <v/>
      </c>
      <c r="W319" s="336" t="str">
        <f t="shared" si="47"/>
        <v/>
      </c>
      <c r="X319" s="338" t="str">
        <f t="shared" si="48"/>
        <v/>
      </c>
      <c r="Y319" s="274"/>
      <c r="AR319" t="str">
        <f t="shared" si="49"/>
        <v/>
      </c>
      <c r="AS319" t="str">
        <f t="shared" si="50"/>
        <v/>
      </c>
    </row>
    <row r="320" spans="1:45">
      <c r="A320" s="291"/>
      <c r="B320" s="292"/>
      <c r="C320" s="293"/>
      <c r="D320" s="293"/>
      <c r="E320" s="293"/>
      <c r="F320" s="293"/>
      <c r="G320" s="294"/>
      <c r="H320" s="300"/>
      <c r="I320" s="295"/>
      <c r="J320" s="295"/>
      <c r="K320" s="296"/>
      <c r="L320" s="301"/>
      <c r="M320" s="297"/>
      <c r="N320" s="298"/>
      <c r="P320" s="190" t="str">
        <f>IF(R320 = "", "", COUNT(R$4:$R320))</f>
        <v/>
      </c>
      <c r="Q320" s="190" t="str">
        <f t="shared" si="41"/>
        <v/>
      </c>
      <c r="R320" s="191" t="str">
        <f t="shared" si="42"/>
        <v/>
      </c>
      <c r="S320" s="192" t="str">
        <f t="shared" si="44"/>
        <v/>
      </c>
      <c r="T320" s="193" t="str">
        <f t="shared" si="45"/>
        <v/>
      </c>
      <c r="U320" s="194" t="str">
        <f t="shared" si="46"/>
        <v/>
      </c>
      <c r="V320" s="195" t="str">
        <f t="shared" si="43"/>
        <v/>
      </c>
      <c r="W320" s="336" t="str">
        <f t="shared" si="47"/>
        <v/>
      </c>
      <c r="X320" s="338" t="str">
        <f t="shared" si="48"/>
        <v/>
      </c>
      <c r="Y320" s="274"/>
      <c r="AR320" t="str">
        <f t="shared" si="49"/>
        <v/>
      </c>
      <c r="AS320" t="str">
        <f t="shared" si="50"/>
        <v/>
      </c>
    </row>
    <row r="321" spans="1:45">
      <c r="A321" s="291"/>
      <c r="B321" s="292"/>
      <c r="C321" s="293"/>
      <c r="D321" s="293"/>
      <c r="E321" s="293"/>
      <c r="F321" s="293"/>
      <c r="G321" s="294"/>
      <c r="H321" s="300"/>
      <c r="I321" s="295"/>
      <c r="J321" s="295"/>
      <c r="K321" s="296"/>
      <c r="L321" s="301"/>
      <c r="M321" s="297"/>
      <c r="N321" s="298"/>
      <c r="P321" s="190" t="str">
        <f>IF(R321 = "", "", COUNT(R$4:$R321))</f>
        <v/>
      </c>
      <c r="Q321" s="190" t="str">
        <f t="shared" si="41"/>
        <v/>
      </c>
      <c r="R321" s="191" t="str">
        <f t="shared" si="42"/>
        <v/>
      </c>
      <c r="S321" s="192" t="str">
        <f t="shared" si="44"/>
        <v/>
      </c>
      <c r="T321" s="193" t="str">
        <f t="shared" si="45"/>
        <v/>
      </c>
      <c r="U321" s="194" t="str">
        <f t="shared" si="46"/>
        <v/>
      </c>
      <c r="V321" s="195" t="str">
        <f t="shared" si="43"/>
        <v/>
      </c>
      <c r="W321" s="336" t="str">
        <f t="shared" si="47"/>
        <v/>
      </c>
      <c r="X321" s="338" t="str">
        <f t="shared" si="48"/>
        <v/>
      </c>
      <c r="Y321" s="274"/>
      <c r="AR321" t="str">
        <f t="shared" si="49"/>
        <v/>
      </c>
      <c r="AS321" t="str">
        <f t="shared" si="50"/>
        <v/>
      </c>
    </row>
    <row r="322" spans="1:45">
      <c r="A322" s="291"/>
      <c r="B322" s="292"/>
      <c r="C322" s="293"/>
      <c r="D322" s="293"/>
      <c r="E322" s="293"/>
      <c r="F322" s="293"/>
      <c r="G322" s="294"/>
      <c r="H322" s="300"/>
      <c r="I322" s="295"/>
      <c r="J322" s="295"/>
      <c r="K322" s="296"/>
      <c r="L322" s="301"/>
      <c r="M322" s="297"/>
      <c r="N322" s="298"/>
      <c r="P322" s="190" t="str">
        <f>IF(R322 = "", "", COUNT(R$4:$R322))</f>
        <v/>
      </c>
      <c r="Q322" s="190" t="str">
        <f t="shared" si="41"/>
        <v/>
      </c>
      <c r="R322" s="191" t="str">
        <f t="shared" si="42"/>
        <v/>
      </c>
      <c r="S322" s="192" t="str">
        <f t="shared" si="44"/>
        <v/>
      </c>
      <c r="T322" s="193" t="str">
        <f t="shared" si="45"/>
        <v/>
      </c>
      <c r="U322" s="194" t="str">
        <f t="shared" si="46"/>
        <v/>
      </c>
      <c r="V322" s="195" t="str">
        <f t="shared" si="43"/>
        <v/>
      </c>
      <c r="W322" s="336" t="str">
        <f t="shared" si="47"/>
        <v/>
      </c>
      <c r="X322" s="338" t="str">
        <f t="shared" si="48"/>
        <v/>
      </c>
      <c r="Y322" s="274"/>
      <c r="AR322" t="str">
        <f t="shared" si="49"/>
        <v/>
      </c>
      <c r="AS322" t="str">
        <f t="shared" si="50"/>
        <v/>
      </c>
    </row>
    <row r="323" spans="1:45">
      <c r="A323" s="291"/>
      <c r="B323" s="292"/>
      <c r="C323" s="293"/>
      <c r="D323" s="293"/>
      <c r="E323" s="293"/>
      <c r="F323" s="293"/>
      <c r="G323" s="294"/>
      <c r="H323" s="300"/>
      <c r="I323" s="295"/>
      <c r="J323" s="295"/>
      <c r="K323" s="296"/>
      <c r="L323" s="301"/>
      <c r="M323" s="297"/>
      <c r="N323" s="298"/>
      <c r="P323" s="190" t="str">
        <f>IF(R323 = "", "", COUNT(R$4:$R323))</f>
        <v/>
      </c>
      <c r="Q323" s="190" t="str">
        <f t="shared" si="41"/>
        <v/>
      </c>
      <c r="R323" s="191" t="str">
        <f t="shared" si="42"/>
        <v/>
      </c>
      <c r="S323" s="192" t="str">
        <f t="shared" si="44"/>
        <v/>
      </c>
      <c r="T323" s="193" t="str">
        <f t="shared" si="45"/>
        <v/>
      </c>
      <c r="U323" s="194" t="str">
        <f t="shared" si="46"/>
        <v/>
      </c>
      <c r="V323" s="195" t="str">
        <f t="shared" si="43"/>
        <v/>
      </c>
      <c r="W323" s="336" t="str">
        <f t="shared" si="47"/>
        <v/>
      </c>
      <c r="X323" s="338" t="str">
        <f t="shared" si="48"/>
        <v/>
      </c>
      <c r="Y323" s="274"/>
      <c r="AR323" t="str">
        <f t="shared" si="49"/>
        <v/>
      </c>
      <c r="AS323" t="str">
        <f t="shared" si="50"/>
        <v/>
      </c>
    </row>
    <row r="324" spans="1:45">
      <c r="A324" s="291"/>
      <c r="B324" s="292"/>
      <c r="C324" s="293"/>
      <c r="D324" s="293"/>
      <c r="E324" s="293"/>
      <c r="F324" s="293"/>
      <c r="G324" s="294"/>
      <c r="H324" s="300"/>
      <c r="I324" s="295"/>
      <c r="J324" s="295"/>
      <c r="K324" s="296"/>
      <c r="L324" s="301"/>
      <c r="M324" s="297"/>
      <c r="N324" s="298"/>
      <c r="P324" s="190" t="str">
        <f>IF(R324 = "", "", COUNT(R$4:$R324))</f>
        <v/>
      </c>
      <c r="Q324" s="190" t="str">
        <f t="shared" ref="Q324:Q387" si="51">IF(C324 &gt; 0, YEAR(B324), "")</f>
        <v/>
      </c>
      <c r="R324" s="191" t="str">
        <f t="shared" ref="R324:R387" si="52">IF(A324="", "", IF(G324="",1,IF(G324="O",1,IF(G324="C",8.4,IF(G324="B",8.4,IF(G324="A",76.8,IF(G324="K",76.8,"ERR")))))))</f>
        <v/>
      </c>
      <c r="S324" s="192" t="str">
        <f t="shared" si="44"/>
        <v/>
      </c>
      <c r="T324" s="193" t="str">
        <f t="shared" si="45"/>
        <v/>
      </c>
      <c r="U324" s="194" t="str">
        <f t="shared" si="46"/>
        <v/>
      </c>
      <c r="V324" s="195" t="str">
        <f t="shared" ref="V324:V387" si="53">IF(IF(M324&lt;&gt;"",G324,"")=0, "O", IF(M324&lt;&gt;"",G324,""))</f>
        <v/>
      </c>
      <c r="W324" s="336" t="str">
        <f t="shared" si="47"/>
        <v/>
      </c>
      <c r="X324" s="338" t="str">
        <f t="shared" si="48"/>
        <v/>
      </c>
      <c r="Y324" s="274"/>
      <c r="AR324" t="str">
        <f t="shared" si="49"/>
        <v/>
      </c>
      <c r="AS324" t="str">
        <f t="shared" si="50"/>
        <v/>
      </c>
    </row>
    <row r="325" spans="1:45">
      <c r="A325" s="291"/>
      <c r="B325" s="292"/>
      <c r="C325" s="293"/>
      <c r="D325" s="293"/>
      <c r="E325" s="293"/>
      <c r="F325" s="293"/>
      <c r="G325" s="294"/>
      <c r="H325" s="300"/>
      <c r="I325" s="295"/>
      <c r="J325" s="295"/>
      <c r="K325" s="296"/>
      <c r="L325" s="301"/>
      <c r="M325" s="297"/>
      <c r="N325" s="298"/>
      <c r="P325" s="190" t="str">
        <f>IF(R325 = "", "", COUNT(R$4:$R325))</f>
        <v/>
      </c>
      <c r="Q325" s="190" t="str">
        <f t="shared" si="51"/>
        <v/>
      </c>
      <c r="R325" s="191" t="str">
        <f t="shared" si="52"/>
        <v/>
      </c>
      <c r="S325" s="192" t="str">
        <f t="shared" ref="S325:S388" si="54">IF(L325&lt;&gt;"",R325,"")</f>
        <v/>
      </c>
      <c r="T325" s="193" t="str">
        <f t="shared" ref="T325:T388" si="55">IF(IF(L325&lt;&gt;"",G325,"")=0, "O", IF(L325&lt;&gt;"",G325,""))</f>
        <v/>
      </c>
      <c r="U325" s="194" t="str">
        <f t="shared" ref="U325:U388" si="56">IF(M325&lt;&gt;"",R325,"")</f>
        <v/>
      </c>
      <c r="V325" s="195" t="str">
        <f t="shared" si="53"/>
        <v/>
      </c>
      <c r="W325" s="336" t="str">
        <f t="shared" ref="W325:W388" si="57">IF(N325&lt;&gt;"",R325,"")</f>
        <v/>
      </c>
      <c r="X325" s="338" t="str">
        <f t="shared" ref="X325:X388" si="58">IF(IF(N325&lt;&gt;"",G325,"")=0, "O", IF(N325&lt;&gt;"",G325,""))</f>
        <v/>
      </c>
      <c r="Y325" s="274"/>
      <c r="AR325" t="str">
        <f t="shared" ref="AR325:AR388" si="59">IF(P325&gt;0, P325, "")</f>
        <v/>
      </c>
      <c r="AS325" t="str">
        <f t="shared" ref="AS325:AS388" si="60">IF(OR(L325="Y",M325="Y",N325="Y"),"Y","")</f>
        <v/>
      </c>
    </row>
    <row r="326" spans="1:45">
      <c r="A326" s="291"/>
      <c r="B326" s="292"/>
      <c r="C326" s="293"/>
      <c r="D326" s="293"/>
      <c r="E326" s="293"/>
      <c r="F326" s="293"/>
      <c r="G326" s="294"/>
      <c r="H326" s="300"/>
      <c r="I326" s="295"/>
      <c r="J326" s="295"/>
      <c r="K326" s="296"/>
      <c r="L326" s="301"/>
      <c r="M326" s="297"/>
      <c r="N326" s="298"/>
      <c r="P326" s="190" t="str">
        <f>IF(R326 = "", "", COUNT(R$4:$R326))</f>
        <v/>
      </c>
      <c r="Q326" s="190" t="str">
        <f t="shared" si="51"/>
        <v/>
      </c>
      <c r="R326" s="191" t="str">
        <f t="shared" si="52"/>
        <v/>
      </c>
      <c r="S326" s="192" t="str">
        <f t="shared" si="54"/>
        <v/>
      </c>
      <c r="T326" s="193" t="str">
        <f t="shared" si="55"/>
        <v/>
      </c>
      <c r="U326" s="194" t="str">
        <f t="shared" si="56"/>
        <v/>
      </c>
      <c r="V326" s="195" t="str">
        <f t="shared" si="53"/>
        <v/>
      </c>
      <c r="W326" s="336" t="str">
        <f t="shared" si="57"/>
        <v/>
      </c>
      <c r="X326" s="338" t="str">
        <f t="shared" si="58"/>
        <v/>
      </c>
      <c r="Y326" s="274"/>
      <c r="AR326" t="str">
        <f t="shared" si="59"/>
        <v/>
      </c>
      <c r="AS326" t="str">
        <f t="shared" si="60"/>
        <v/>
      </c>
    </row>
    <row r="327" spans="1:45">
      <c r="A327" s="291"/>
      <c r="B327" s="292"/>
      <c r="C327" s="293"/>
      <c r="D327" s="293"/>
      <c r="E327" s="293"/>
      <c r="F327" s="293"/>
      <c r="G327" s="294"/>
      <c r="H327" s="300"/>
      <c r="I327" s="295"/>
      <c r="J327" s="295"/>
      <c r="K327" s="296"/>
      <c r="L327" s="301"/>
      <c r="M327" s="297"/>
      <c r="N327" s="298"/>
      <c r="P327" s="190" t="str">
        <f>IF(R327 = "", "", COUNT(R$4:$R327))</f>
        <v/>
      </c>
      <c r="Q327" s="190" t="str">
        <f t="shared" si="51"/>
        <v/>
      </c>
      <c r="R327" s="191" t="str">
        <f t="shared" si="52"/>
        <v/>
      </c>
      <c r="S327" s="192" t="str">
        <f t="shared" si="54"/>
        <v/>
      </c>
      <c r="T327" s="193" t="str">
        <f t="shared" si="55"/>
        <v/>
      </c>
      <c r="U327" s="194" t="str">
        <f t="shared" si="56"/>
        <v/>
      </c>
      <c r="V327" s="195" t="str">
        <f t="shared" si="53"/>
        <v/>
      </c>
      <c r="W327" s="336" t="str">
        <f t="shared" si="57"/>
        <v/>
      </c>
      <c r="X327" s="338" t="str">
        <f t="shared" si="58"/>
        <v/>
      </c>
      <c r="Y327" s="274"/>
      <c r="AR327" t="str">
        <f t="shared" si="59"/>
        <v/>
      </c>
      <c r="AS327" t="str">
        <f t="shared" si="60"/>
        <v/>
      </c>
    </row>
    <row r="328" spans="1:45">
      <c r="A328" s="291"/>
      <c r="B328" s="292"/>
      <c r="C328" s="293"/>
      <c r="D328" s="293"/>
      <c r="E328" s="293"/>
      <c r="F328" s="293"/>
      <c r="G328" s="294"/>
      <c r="H328" s="300"/>
      <c r="I328" s="295"/>
      <c r="J328" s="295"/>
      <c r="K328" s="296"/>
      <c r="L328" s="301"/>
      <c r="M328" s="297"/>
      <c r="N328" s="298"/>
      <c r="P328" s="190" t="str">
        <f>IF(R328 = "", "", COUNT(R$4:$R328))</f>
        <v/>
      </c>
      <c r="Q328" s="190" t="str">
        <f t="shared" si="51"/>
        <v/>
      </c>
      <c r="R328" s="191" t="str">
        <f t="shared" si="52"/>
        <v/>
      </c>
      <c r="S328" s="192" t="str">
        <f t="shared" si="54"/>
        <v/>
      </c>
      <c r="T328" s="193" t="str">
        <f t="shared" si="55"/>
        <v/>
      </c>
      <c r="U328" s="194" t="str">
        <f t="shared" si="56"/>
        <v/>
      </c>
      <c r="V328" s="195" t="str">
        <f t="shared" si="53"/>
        <v/>
      </c>
      <c r="W328" s="336" t="str">
        <f t="shared" si="57"/>
        <v/>
      </c>
      <c r="X328" s="338" t="str">
        <f t="shared" si="58"/>
        <v/>
      </c>
      <c r="Y328" s="274"/>
      <c r="AR328" t="str">
        <f t="shared" si="59"/>
        <v/>
      </c>
      <c r="AS328" t="str">
        <f t="shared" si="60"/>
        <v/>
      </c>
    </row>
    <row r="329" spans="1:45">
      <c r="A329" s="291"/>
      <c r="B329" s="292"/>
      <c r="C329" s="293"/>
      <c r="D329" s="293"/>
      <c r="E329" s="293"/>
      <c r="F329" s="293"/>
      <c r="G329" s="294"/>
      <c r="H329" s="300"/>
      <c r="I329" s="295"/>
      <c r="J329" s="295"/>
      <c r="K329" s="296"/>
      <c r="L329" s="301"/>
      <c r="M329" s="297"/>
      <c r="N329" s="298"/>
      <c r="P329" s="190" t="str">
        <f>IF(R329 = "", "", COUNT(R$4:$R329))</f>
        <v/>
      </c>
      <c r="Q329" s="190" t="str">
        <f t="shared" si="51"/>
        <v/>
      </c>
      <c r="R329" s="191" t="str">
        <f t="shared" si="52"/>
        <v/>
      </c>
      <c r="S329" s="192" t="str">
        <f t="shared" si="54"/>
        <v/>
      </c>
      <c r="T329" s="193" t="str">
        <f t="shared" si="55"/>
        <v/>
      </c>
      <c r="U329" s="194" t="str">
        <f t="shared" si="56"/>
        <v/>
      </c>
      <c r="V329" s="195" t="str">
        <f t="shared" si="53"/>
        <v/>
      </c>
      <c r="W329" s="336" t="str">
        <f t="shared" si="57"/>
        <v/>
      </c>
      <c r="X329" s="338" t="str">
        <f t="shared" si="58"/>
        <v/>
      </c>
      <c r="Y329" s="274"/>
      <c r="AR329" t="str">
        <f t="shared" si="59"/>
        <v/>
      </c>
      <c r="AS329" t="str">
        <f t="shared" si="60"/>
        <v/>
      </c>
    </row>
    <row r="330" spans="1:45">
      <c r="A330" s="291"/>
      <c r="B330" s="292"/>
      <c r="C330" s="293"/>
      <c r="D330" s="293"/>
      <c r="E330" s="293"/>
      <c r="F330" s="293"/>
      <c r="G330" s="294"/>
      <c r="H330" s="300"/>
      <c r="I330" s="295"/>
      <c r="J330" s="295"/>
      <c r="K330" s="296"/>
      <c r="L330" s="301"/>
      <c r="M330" s="297"/>
      <c r="N330" s="298"/>
      <c r="P330" s="190" t="str">
        <f>IF(R330 = "", "", COUNT(R$4:$R330))</f>
        <v/>
      </c>
      <c r="Q330" s="190" t="str">
        <f t="shared" si="51"/>
        <v/>
      </c>
      <c r="R330" s="191" t="str">
        <f t="shared" si="52"/>
        <v/>
      </c>
      <c r="S330" s="192" t="str">
        <f t="shared" si="54"/>
        <v/>
      </c>
      <c r="T330" s="193" t="str">
        <f t="shared" si="55"/>
        <v/>
      </c>
      <c r="U330" s="194" t="str">
        <f t="shared" si="56"/>
        <v/>
      </c>
      <c r="V330" s="195" t="str">
        <f t="shared" si="53"/>
        <v/>
      </c>
      <c r="W330" s="336" t="str">
        <f t="shared" si="57"/>
        <v/>
      </c>
      <c r="X330" s="338" t="str">
        <f t="shared" si="58"/>
        <v/>
      </c>
      <c r="Y330" s="274"/>
      <c r="AR330" t="str">
        <f t="shared" si="59"/>
        <v/>
      </c>
      <c r="AS330" t="str">
        <f t="shared" si="60"/>
        <v/>
      </c>
    </row>
    <row r="331" spans="1:45">
      <c r="A331" s="291"/>
      <c r="B331" s="292"/>
      <c r="C331" s="293"/>
      <c r="D331" s="293"/>
      <c r="E331" s="293"/>
      <c r="F331" s="293"/>
      <c r="G331" s="294"/>
      <c r="H331" s="300"/>
      <c r="I331" s="295"/>
      <c r="J331" s="295"/>
      <c r="K331" s="296"/>
      <c r="L331" s="301"/>
      <c r="M331" s="297"/>
      <c r="N331" s="298"/>
      <c r="P331" s="190" t="str">
        <f>IF(R331 = "", "", COUNT(R$4:$R331))</f>
        <v/>
      </c>
      <c r="Q331" s="190" t="str">
        <f t="shared" si="51"/>
        <v/>
      </c>
      <c r="R331" s="191" t="str">
        <f t="shared" si="52"/>
        <v/>
      </c>
      <c r="S331" s="192" t="str">
        <f t="shared" si="54"/>
        <v/>
      </c>
      <c r="T331" s="193" t="str">
        <f t="shared" si="55"/>
        <v/>
      </c>
      <c r="U331" s="194" t="str">
        <f t="shared" si="56"/>
        <v/>
      </c>
      <c r="V331" s="195" t="str">
        <f t="shared" si="53"/>
        <v/>
      </c>
      <c r="W331" s="336" t="str">
        <f t="shared" si="57"/>
        <v/>
      </c>
      <c r="X331" s="338" t="str">
        <f t="shared" si="58"/>
        <v/>
      </c>
      <c r="Y331" s="274"/>
      <c r="AR331" t="str">
        <f t="shared" si="59"/>
        <v/>
      </c>
      <c r="AS331" t="str">
        <f t="shared" si="60"/>
        <v/>
      </c>
    </row>
    <row r="332" spans="1:45">
      <c r="A332" s="291"/>
      <c r="B332" s="292"/>
      <c r="C332" s="293"/>
      <c r="D332" s="293"/>
      <c r="E332" s="293"/>
      <c r="F332" s="293"/>
      <c r="G332" s="294"/>
      <c r="H332" s="300"/>
      <c r="I332" s="295"/>
      <c r="J332" s="295"/>
      <c r="K332" s="296"/>
      <c r="L332" s="301"/>
      <c r="M332" s="297"/>
      <c r="N332" s="298"/>
      <c r="P332" s="190" t="str">
        <f>IF(R332 = "", "", COUNT(R$4:$R332))</f>
        <v/>
      </c>
      <c r="Q332" s="190" t="str">
        <f t="shared" si="51"/>
        <v/>
      </c>
      <c r="R332" s="191" t="str">
        <f t="shared" si="52"/>
        <v/>
      </c>
      <c r="S332" s="192" t="str">
        <f t="shared" si="54"/>
        <v/>
      </c>
      <c r="T332" s="193" t="str">
        <f t="shared" si="55"/>
        <v/>
      </c>
      <c r="U332" s="194" t="str">
        <f t="shared" si="56"/>
        <v/>
      </c>
      <c r="V332" s="195" t="str">
        <f t="shared" si="53"/>
        <v/>
      </c>
      <c r="W332" s="336" t="str">
        <f t="shared" si="57"/>
        <v/>
      </c>
      <c r="X332" s="338" t="str">
        <f t="shared" si="58"/>
        <v/>
      </c>
      <c r="Y332" s="274"/>
      <c r="AR332" t="str">
        <f t="shared" si="59"/>
        <v/>
      </c>
      <c r="AS332" t="str">
        <f t="shared" si="60"/>
        <v/>
      </c>
    </row>
    <row r="333" spans="1:45">
      <c r="A333" s="291"/>
      <c r="B333" s="292"/>
      <c r="C333" s="293"/>
      <c r="D333" s="293"/>
      <c r="E333" s="293"/>
      <c r="F333" s="293"/>
      <c r="G333" s="294"/>
      <c r="H333" s="300"/>
      <c r="I333" s="295"/>
      <c r="J333" s="295"/>
      <c r="K333" s="296"/>
      <c r="L333" s="301"/>
      <c r="M333" s="297"/>
      <c r="N333" s="298"/>
      <c r="P333" s="190" t="str">
        <f>IF(R333 = "", "", COUNT(R$4:$R333))</f>
        <v/>
      </c>
      <c r="Q333" s="190" t="str">
        <f t="shared" si="51"/>
        <v/>
      </c>
      <c r="R333" s="191" t="str">
        <f t="shared" si="52"/>
        <v/>
      </c>
      <c r="S333" s="192" t="str">
        <f t="shared" si="54"/>
        <v/>
      </c>
      <c r="T333" s="193" t="str">
        <f t="shared" si="55"/>
        <v/>
      </c>
      <c r="U333" s="194" t="str">
        <f t="shared" si="56"/>
        <v/>
      </c>
      <c r="V333" s="195" t="str">
        <f t="shared" si="53"/>
        <v/>
      </c>
      <c r="W333" s="336" t="str">
        <f t="shared" si="57"/>
        <v/>
      </c>
      <c r="X333" s="338" t="str">
        <f t="shared" si="58"/>
        <v/>
      </c>
      <c r="Y333" s="274"/>
      <c r="AR333" t="str">
        <f t="shared" si="59"/>
        <v/>
      </c>
      <c r="AS333" t="str">
        <f t="shared" si="60"/>
        <v/>
      </c>
    </row>
    <row r="334" spans="1:45">
      <c r="A334" s="291"/>
      <c r="B334" s="292"/>
      <c r="C334" s="293"/>
      <c r="D334" s="293"/>
      <c r="E334" s="293"/>
      <c r="F334" s="293"/>
      <c r="G334" s="294"/>
      <c r="H334" s="300"/>
      <c r="I334" s="295"/>
      <c r="J334" s="295"/>
      <c r="K334" s="296"/>
      <c r="L334" s="301"/>
      <c r="M334" s="297"/>
      <c r="N334" s="298"/>
      <c r="P334" s="190" t="str">
        <f>IF(R334 = "", "", COUNT(R$4:$R334))</f>
        <v/>
      </c>
      <c r="Q334" s="190" t="str">
        <f t="shared" si="51"/>
        <v/>
      </c>
      <c r="R334" s="191" t="str">
        <f t="shared" si="52"/>
        <v/>
      </c>
      <c r="S334" s="192" t="str">
        <f t="shared" si="54"/>
        <v/>
      </c>
      <c r="T334" s="193" t="str">
        <f t="shared" si="55"/>
        <v/>
      </c>
      <c r="U334" s="194" t="str">
        <f t="shared" si="56"/>
        <v/>
      </c>
      <c r="V334" s="195" t="str">
        <f t="shared" si="53"/>
        <v/>
      </c>
      <c r="W334" s="336" t="str">
        <f t="shared" si="57"/>
        <v/>
      </c>
      <c r="X334" s="338" t="str">
        <f t="shared" si="58"/>
        <v/>
      </c>
      <c r="Y334" s="274"/>
      <c r="AR334" t="str">
        <f t="shared" si="59"/>
        <v/>
      </c>
      <c r="AS334" t="str">
        <f t="shared" si="60"/>
        <v/>
      </c>
    </row>
    <row r="335" spans="1:45">
      <c r="A335" s="291"/>
      <c r="B335" s="292"/>
      <c r="C335" s="293"/>
      <c r="D335" s="293"/>
      <c r="E335" s="293"/>
      <c r="F335" s="293"/>
      <c r="G335" s="294"/>
      <c r="H335" s="300"/>
      <c r="I335" s="295"/>
      <c r="J335" s="295"/>
      <c r="K335" s="296"/>
      <c r="L335" s="301"/>
      <c r="M335" s="297"/>
      <c r="N335" s="298"/>
      <c r="P335" s="190" t="str">
        <f>IF(R335 = "", "", COUNT(R$4:$R335))</f>
        <v/>
      </c>
      <c r="Q335" s="190" t="str">
        <f t="shared" si="51"/>
        <v/>
      </c>
      <c r="R335" s="191" t="str">
        <f t="shared" si="52"/>
        <v/>
      </c>
      <c r="S335" s="192" t="str">
        <f t="shared" si="54"/>
        <v/>
      </c>
      <c r="T335" s="193" t="str">
        <f t="shared" si="55"/>
        <v/>
      </c>
      <c r="U335" s="194" t="str">
        <f t="shared" si="56"/>
        <v/>
      </c>
      <c r="V335" s="195" t="str">
        <f t="shared" si="53"/>
        <v/>
      </c>
      <c r="W335" s="336" t="str">
        <f t="shared" si="57"/>
        <v/>
      </c>
      <c r="X335" s="338" t="str">
        <f t="shared" si="58"/>
        <v/>
      </c>
      <c r="Y335" s="274"/>
      <c r="AR335" t="str">
        <f t="shared" si="59"/>
        <v/>
      </c>
      <c r="AS335" t="str">
        <f t="shared" si="60"/>
        <v/>
      </c>
    </row>
    <row r="336" spans="1:45">
      <c r="A336" s="291"/>
      <c r="B336" s="292"/>
      <c r="C336" s="293"/>
      <c r="D336" s="293"/>
      <c r="E336" s="293"/>
      <c r="F336" s="293"/>
      <c r="G336" s="294"/>
      <c r="H336" s="300"/>
      <c r="I336" s="295"/>
      <c r="J336" s="295"/>
      <c r="K336" s="296"/>
      <c r="L336" s="301"/>
      <c r="M336" s="297"/>
      <c r="N336" s="298"/>
      <c r="P336" s="190" t="str">
        <f>IF(R336 = "", "", COUNT(R$4:$R336))</f>
        <v/>
      </c>
      <c r="Q336" s="190" t="str">
        <f t="shared" si="51"/>
        <v/>
      </c>
      <c r="R336" s="191" t="str">
        <f t="shared" si="52"/>
        <v/>
      </c>
      <c r="S336" s="192" t="str">
        <f t="shared" si="54"/>
        <v/>
      </c>
      <c r="T336" s="193" t="str">
        <f t="shared" si="55"/>
        <v/>
      </c>
      <c r="U336" s="194" t="str">
        <f t="shared" si="56"/>
        <v/>
      </c>
      <c r="V336" s="195" t="str">
        <f t="shared" si="53"/>
        <v/>
      </c>
      <c r="W336" s="336" t="str">
        <f t="shared" si="57"/>
        <v/>
      </c>
      <c r="X336" s="338" t="str">
        <f t="shared" si="58"/>
        <v/>
      </c>
      <c r="Y336" s="274"/>
      <c r="AR336" t="str">
        <f t="shared" si="59"/>
        <v/>
      </c>
      <c r="AS336" t="str">
        <f t="shared" si="60"/>
        <v/>
      </c>
    </row>
    <row r="337" spans="1:45">
      <c r="A337" s="291"/>
      <c r="B337" s="292"/>
      <c r="C337" s="293"/>
      <c r="D337" s="293"/>
      <c r="E337" s="293"/>
      <c r="F337" s="293"/>
      <c r="G337" s="294"/>
      <c r="H337" s="300"/>
      <c r="I337" s="295"/>
      <c r="J337" s="295"/>
      <c r="K337" s="296"/>
      <c r="L337" s="301"/>
      <c r="M337" s="297"/>
      <c r="N337" s="298"/>
      <c r="P337" s="190" t="str">
        <f>IF(R337 = "", "", COUNT(R$4:$R337))</f>
        <v/>
      </c>
      <c r="Q337" s="190" t="str">
        <f t="shared" si="51"/>
        <v/>
      </c>
      <c r="R337" s="191" t="str">
        <f t="shared" si="52"/>
        <v/>
      </c>
      <c r="S337" s="192" t="str">
        <f t="shared" si="54"/>
        <v/>
      </c>
      <c r="T337" s="193" t="str">
        <f t="shared" si="55"/>
        <v/>
      </c>
      <c r="U337" s="194" t="str">
        <f t="shared" si="56"/>
        <v/>
      </c>
      <c r="V337" s="195" t="str">
        <f t="shared" si="53"/>
        <v/>
      </c>
      <c r="W337" s="336" t="str">
        <f t="shared" si="57"/>
        <v/>
      </c>
      <c r="X337" s="338" t="str">
        <f t="shared" si="58"/>
        <v/>
      </c>
      <c r="Y337" s="274"/>
      <c r="AR337" t="str">
        <f t="shared" si="59"/>
        <v/>
      </c>
      <c r="AS337" t="str">
        <f t="shared" si="60"/>
        <v/>
      </c>
    </row>
    <row r="338" spans="1:45">
      <c r="A338" s="291"/>
      <c r="B338" s="292"/>
      <c r="C338" s="293"/>
      <c r="D338" s="293"/>
      <c r="E338" s="293"/>
      <c r="F338" s="293"/>
      <c r="G338" s="294"/>
      <c r="H338" s="300"/>
      <c r="I338" s="295"/>
      <c r="J338" s="295"/>
      <c r="K338" s="296"/>
      <c r="L338" s="301"/>
      <c r="M338" s="297"/>
      <c r="N338" s="298"/>
      <c r="P338" s="190" t="str">
        <f>IF(R338 = "", "", COUNT(R$4:$R338))</f>
        <v/>
      </c>
      <c r="Q338" s="190" t="str">
        <f t="shared" si="51"/>
        <v/>
      </c>
      <c r="R338" s="191" t="str">
        <f t="shared" si="52"/>
        <v/>
      </c>
      <c r="S338" s="192" t="str">
        <f t="shared" si="54"/>
        <v/>
      </c>
      <c r="T338" s="193" t="str">
        <f t="shared" si="55"/>
        <v/>
      </c>
      <c r="U338" s="194" t="str">
        <f t="shared" si="56"/>
        <v/>
      </c>
      <c r="V338" s="195" t="str">
        <f t="shared" si="53"/>
        <v/>
      </c>
      <c r="W338" s="336" t="str">
        <f t="shared" si="57"/>
        <v/>
      </c>
      <c r="X338" s="338" t="str">
        <f t="shared" si="58"/>
        <v/>
      </c>
      <c r="Y338" s="274"/>
      <c r="AR338" t="str">
        <f t="shared" si="59"/>
        <v/>
      </c>
      <c r="AS338" t="str">
        <f t="shared" si="60"/>
        <v/>
      </c>
    </row>
    <row r="339" spans="1:45">
      <c r="A339" s="291"/>
      <c r="B339" s="292"/>
      <c r="C339" s="293"/>
      <c r="D339" s="293"/>
      <c r="E339" s="293"/>
      <c r="F339" s="293"/>
      <c r="G339" s="294"/>
      <c r="H339" s="300"/>
      <c r="I339" s="295"/>
      <c r="J339" s="295"/>
      <c r="K339" s="296"/>
      <c r="L339" s="301"/>
      <c r="M339" s="297"/>
      <c r="N339" s="298"/>
      <c r="P339" s="190" t="str">
        <f>IF(R339 = "", "", COUNT(R$4:$R339))</f>
        <v/>
      </c>
      <c r="Q339" s="190" t="str">
        <f t="shared" si="51"/>
        <v/>
      </c>
      <c r="R339" s="191" t="str">
        <f t="shared" si="52"/>
        <v/>
      </c>
      <c r="S339" s="192" t="str">
        <f t="shared" si="54"/>
        <v/>
      </c>
      <c r="T339" s="193" t="str">
        <f t="shared" si="55"/>
        <v/>
      </c>
      <c r="U339" s="194" t="str">
        <f t="shared" si="56"/>
        <v/>
      </c>
      <c r="V339" s="195" t="str">
        <f t="shared" si="53"/>
        <v/>
      </c>
      <c r="W339" s="336" t="str">
        <f t="shared" si="57"/>
        <v/>
      </c>
      <c r="X339" s="338" t="str">
        <f t="shared" si="58"/>
        <v/>
      </c>
      <c r="Y339" s="274"/>
      <c r="AR339" t="str">
        <f t="shared" si="59"/>
        <v/>
      </c>
      <c r="AS339" t="str">
        <f t="shared" si="60"/>
        <v/>
      </c>
    </row>
    <row r="340" spans="1:45">
      <c r="A340" s="291"/>
      <c r="B340" s="292"/>
      <c r="C340" s="293"/>
      <c r="D340" s="293"/>
      <c r="E340" s="293"/>
      <c r="F340" s="293"/>
      <c r="G340" s="294"/>
      <c r="H340" s="300"/>
      <c r="I340" s="295"/>
      <c r="J340" s="295"/>
      <c r="K340" s="296"/>
      <c r="L340" s="301"/>
      <c r="M340" s="297"/>
      <c r="N340" s="298"/>
      <c r="P340" s="190" t="str">
        <f>IF(R340 = "", "", COUNT(R$4:$R340))</f>
        <v/>
      </c>
      <c r="Q340" s="190" t="str">
        <f t="shared" si="51"/>
        <v/>
      </c>
      <c r="R340" s="191" t="str">
        <f t="shared" si="52"/>
        <v/>
      </c>
      <c r="S340" s="192" t="str">
        <f t="shared" si="54"/>
        <v/>
      </c>
      <c r="T340" s="193" t="str">
        <f t="shared" si="55"/>
        <v/>
      </c>
      <c r="U340" s="194" t="str">
        <f t="shared" si="56"/>
        <v/>
      </c>
      <c r="V340" s="195" t="str">
        <f t="shared" si="53"/>
        <v/>
      </c>
      <c r="W340" s="336" t="str">
        <f t="shared" si="57"/>
        <v/>
      </c>
      <c r="X340" s="338" t="str">
        <f t="shared" si="58"/>
        <v/>
      </c>
      <c r="Y340" s="274"/>
      <c r="AR340" t="str">
        <f t="shared" si="59"/>
        <v/>
      </c>
      <c r="AS340" t="str">
        <f t="shared" si="60"/>
        <v/>
      </c>
    </row>
    <row r="341" spans="1:45">
      <c r="A341" s="291"/>
      <c r="B341" s="292"/>
      <c r="C341" s="293"/>
      <c r="D341" s="293"/>
      <c r="E341" s="293"/>
      <c r="F341" s="293"/>
      <c r="G341" s="294"/>
      <c r="H341" s="300"/>
      <c r="I341" s="295"/>
      <c r="J341" s="295"/>
      <c r="K341" s="296"/>
      <c r="L341" s="301"/>
      <c r="M341" s="297"/>
      <c r="N341" s="298"/>
      <c r="P341" s="190" t="str">
        <f>IF(R341 = "", "", COUNT(R$4:$R341))</f>
        <v/>
      </c>
      <c r="Q341" s="190" t="str">
        <f t="shared" si="51"/>
        <v/>
      </c>
      <c r="R341" s="191" t="str">
        <f t="shared" si="52"/>
        <v/>
      </c>
      <c r="S341" s="192" t="str">
        <f t="shared" si="54"/>
        <v/>
      </c>
      <c r="T341" s="193" t="str">
        <f t="shared" si="55"/>
        <v/>
      </c>
      <c r="U341" s="194" t="str">
        <f t="shared" si="56"/>
        <v/>
      </c>
      <c r="V341" s="195" t="str">
        <f t="shared" si="53"/>
        <v/>
      </c>
      <c r="W341" s="336" t="str">
        <f t="shared" si="57"/>
        <v/>
      </c>
      <c r="X341" s="338" t="str">
        <f t="shared" si="58"/>
        <v/>
      </c>
      <c r="Y341" s="274"/>
      <c r="AR341" t="str">
        <f t="shared" si="59"/>
        <v/>
      </c>
      <c r="AS341" t="str">
        <f t="shared" si="60"/>
        <v/>
      </c>
    </row>
    <row r="342" spans="1:45">
      <c r="A342" s="291"/>
      <c r="B342" s="292"/>
      <c r="C342" s="293"/>
      <c r="D342" s="293"/>
      <c r="E342" s="293"/>
      <c r="F342" s="293"/>
      <c r="G342" s="294"/>
      <c r="H342" s="300"/>
      <c r="I342" s="295"/>
      <c r="J342" s="295"/>
      <c r="K342" s="296"/>
      <c r="L342" s="301"/>
      <c r="M342" s="297"/>
      <c r="N342" s="298"/>
      <c r="P342" s="190" t="str">
        <f>IF(R342 = "", "", COUNT(R$4:$R342))</f>
        <v/>
      </c>
      <c r="Q342" s="190" t="str">
        <f t="shared" si="51"/>
        <v/>
      </c>
      <c r="R342" s="191" t="str">
        <f t="shared" si="52"/>
        <v/>
      </c>
      <c r="S342" s="192" t="str">
        <f t="shared" si="54"/>
        <v/>
      </c>
      <c r="T342" s="193" t="str">
        <f t="shared" si="55"/>
        <v/>
      </c>
      <c r="U342" s="194" t="str">
        <f t="shared" si="56"/>
        <v/>
      </c>
      <c r="V342" s="195" t="str">
        <f t="shared" si="53"/>
        <v/>
      </c>
      <c r="W342" s="336" t="str">
        <f t="shared" si="57"/>
        <v/>
      </c>
      <c r="X342" s="338" t="str">
        <f t="shared" si="58"/>
        <v/>
      </c>
      <c r="Y342" s="274"/>
      <c r="AR342" t="str">
        <f t="shared" si="59"/>
        <v/>
      </c>
      <c r="AS342" t="str">
        <f t="shared" si="60"/>
        <v/>
      </c>
    </row>
    <row r="343" spans="1:45">
      <c r="A343" s="291"/>
      <c r="B343" s="292"/>
      <c r="C343" s="293"/>
      <c r="D343" s="293"/>
      <c r="E343" s="293"/>
      <c r="F343" s="293"/>
      <c r="G343" s="294"/>
      <c r="H343" s="300"/>
      <c r="I343" s="295"/>
      <c r="J343" s="295"/>
      <c r="K343" s="296"/>
      <c r="L343" s="301"/>
      <c r="M343" s="297"/>
      <c r="N343" s="298"/>
      <c r="P343" s="190" t="str">
        <f>IF(R343 = "", "", COUNT(R$4:$R343))</f>
        <v/>
      </c>
      <c r="Q343" s="190" t="str">
        <f t="shared" si="51"/>
        <v/>
      </c>
      <c r="R343" s="191" t="str">
        <f t="shared" si="52"/>
        <v/>
      </c>
      <c r="S343" s="192" t="str">
        <f t="shared" si="54"/>
        <v/>
      </c>
      <c r="T343" s="193" t="str">
        <f t="shared" si="55"/>
        <v/>
      </c>
      <c r="U343" s="194" t="str">
        <f t="shared" si="56"/>
        <v/>
      </c>
      <c r="V343" s="195" t="str">
        <f t="shared" si="53"/>
        <v/>
      </c>
      <c r="W343" s="336" t="str">
        <f t="shared" si="57"/>
        <v/>
      </c>
      <c r="X343" s="338" t="str">
        <f t="shared" si="58"/>
        <v/>
      </c>
      <c r="Y343" s="274"/>
      <c r="AR343" t="str">
        <f t="shared" si="59"/>
        <v/>
      </c>
      <c r="AS343" t="str">
        <f t="shared" si="60"/>
        <v/>
      </c>
    </row>
    <row r="344" spans="1:45">
      <c r="A344" s="291"/>
      <c r="B344" s="292"/>
      <c r="C344" s="293"/>
      <c r="D344" s="293"/>
      <c r="E344" s="293"/>
      <c r="F344" s="293"/>
      <c r="G344" s="294"/>
      <c r="H344" s="300"/>
      <c r="I344" s="295"/>
      <c r="J344" s="295"/>
      <c r="K344" s="296"/>
      <c r="L344" s="301"/>
      <c r="M344" s="297"/>
      <c r="N344" s="298"/>
      <c r="P344" s="190" t="str">
        <f>IF(R344 = "", "", COUNT(R$4:$R344))</f>
        <v/>
      </c>
      <c r="Q344" s="190" t="str">
        <f t="shared" si="51"/>
        <v/>
      </c>
      <c r="R344" s="191" t="str">
        <f t="shared" si="52"/>
        <v/>
      </c>
      <c r="S344" s="192" t="str">
        <f t="shared" si="54"/>
        <v/>
      </c>
      <c r="T344" s="193" t="str">
        <f t="shared" si="55"/>
        <v/>
      </c>
      <c r="U344" s="194" t="str">
        <f t="shared" si="56"/>
        <v/>
      </c>
      <c r="V344" s="195" t="str">
        <f t="shared" si="53"/>
        <v/>
      </c>
      <c r="W344" s="336" t="str">
        <f t="shared" si="57"/>
        <v/>
      </c>
      <c r="X344" s="338" t="str">
        <f t="shared" si="58"/>
        <v/>
      </c>
      <c r="Y344" s="274"/>
      <c r="AR344" t="str">
        <f t="shared" si="59"/>
        <v/>
      </c>
      <c r="AS344" t="str">
        <f t="shared" si="60"/>
        <v/>
      </c>
    </row>
    <row r="345" spans="1:45">
      <c r="A345" s="291"/>
      <c r="B345" s="292"/>
      <c r="C345" s="293"/>
      <c r="D345" s="293"/>
      <c r="E345" s="293"/>
      <c r="F345" s="293"/>
      <c r="G345" s="294"/>
      <c r="H345" s="300"/>
      <c r="I345" s="295"/>
      <c r="J345" s="295"/>
      <c r="K345" s="296"/>
      <c r="L345" s="301"/>
      <c r="M345" s="297"/>
      <c r="N345" s="298"/>
      <c r="P345" s="190" t="str">
        <f>IF(R345 = "", "", COUNT(R$4:$R345))</f>
        <v/>
      </c>
      <c r="Q345" s="190" t="str">
        <f t="shared" si="51"/>
        <v/>
      </c>
      <c r="R345" s="191" t="str">
        <f t="shared" si="52"/>
        <v/>
      </c>
      <c r="S345" s="192" t="str">
        <f t="shared" si="54"/>
        <v/>
      </c>
      <c r="T345" s="193" t="str">
        <f t="shared" si="55"/>
        <v/>
      </c>
      <c r="U345" s="194" t="str">
        <f t="shared" si="56"/>
        <v/>
      </c>
      <c r="V345" s="195" t="str">
        <f t="shared" si="53"/>
        <v/>
      </c>
      <c r="W345" s="336" t="str">
        <f t="shared" si="57"/>
        <v/>
      </c>
      <c r="X345" s="338" t="str">
        <f t="shared" si="58"/>
        <v/>
      </c>
      <c r="Y345" s="274"/>
      <c r="AR345" t="str">
        <f t="shared" si="59"/>
        <v/>
      </c>
      <c r="AS345" t="str">
        <f t="shared" si="60"/>
        <v/>
      </c>
    </row>
    <row r="346" spans="1:45">
      <c r="A346" s="291"/>
      <c r="B346" s="292"/>
      <c r="C346" s="293"/>
      <c r="D346" s="293"/>
      <c r="E346" s="293"/>
      <c r="F346" s="293"/>
      <c r="G346" s="294"/>
      <c r="H346" s="300"/>
      <c r="I346" s="295"/>
      <c r="J346" s="295"/>
      <c r="K346" s="296"/>
      <c r="L346" s="301"/>
      <c r="M346" s="297"/>
      <c r="N346" s="298"/>
      <c r="P346" s="190" t="str">
        <f>IF(R346 = "", "", COUNT(R$4:$R346))</f>
        <v/>
      </c>
      <c r="Q346" s="190" t="str">
        <f t="shared" si="51"/>
        <v/>
      </c>
      <c r="R346" s="191" t="str">
        <f t="shared" si="52"/>
        <v/>
      </c>
      <c r="S346" s="192" t="str">
        <f t="shared" si="54"/>
        <v/>
      </c>
      <c r="T346" s="193" t="str">
        <f t="shared" si="55"/>
        <v/>
      </c>
      <c r="U346" s="194" t="str">
        <f t="shared" si="56"/>
        <v/>
      </c>
      <c r="V346" s="195" t="str">
        <f t="shared" si="53"/>
        <v/>
      </c>
      <c r="W346" s="336" t="str">
        <f t="shared" si="57"/>
        <v/>
      </c>
      <c r="X346" s="338" t="str">
        <f t="shared" si="58"/>
        <v/>
      </c>
      <c r="Y346" s="274"/>
      <c r="AR346" t="str">
        <f t="shared" si="59"/>
        <v/>
      </c>
      <c r="AS346" t="str">
        <f t="shared" si="60"/>
        <v/>
      </c>
    </row>
    <row r="347" spans="1:45">
      <c r="A347" s="291"/>
      <c r="B347" s="292"/>
      <c r="C347" s="293"/>
      <c r="D347" s="293"/>
      <c r="E347" s="293"/>
      <c r="F347" s="293"/>
      <c r="G347" s="294"/>
      <c r="H347" s="300"/>
      <c r="I347" s="295"/>
      <c r="J347" s="295"/>
      <c r="K347" s="296"/>
      <c r="L347" s="301"/>
      <c r="M347" s="297"/>
      <c r="N347" s="298"/>
      <c r="P347" s="190" t="str">
        <f>IF(R347 = "", "", COUNT(R$4:$R347))</f>
        <v/>
      </c>
      <c r="Q347" s="190" t="str">
        <f t="shared" si="51"/>
        <v/>
      </c>
      <c r="R347" s="191" t="str">
        <f t="shared" si="52"/>
        <v/>
      </c>
      <c r="S347" s="192" t="str">
        <f t="shared" si="54"/>
        <v/>
      </c>
      <c r="T347" s="193" t="str">
        <f t="shared" si="55"/>
        <v/>
      </c>
      <c r="U347" s="194" t="str">
        <f t="shared" si="56"/>
        <v/>
      </c>
      <c r="V347" s="195" t="str">
        <f t="shared" si="53"/>
        <v/>
      </c>
      <c r="W347" s="336" t="str">
        <f t="shared" si="57"/>
        <v/>
      </c>
      <c r="X347" s="338" t="str">
        <f t="shared" si="58"/>
        <v/>
      </c>
      <c r="Y347" s="274"/>
      <c r="AR347" t="str">
        <f t="shared" si="59"/>
        <v/>
      </c>
      <c r="AS347" t="str">
        <f t="shared" si="60"/>
        <v/>
      </c>
    </row>
    <row r="348" spans="1:45">
      <c r="A348" s="291"/>
      <c r="B348" s="292"/>
      <c r="C348" s="293"/>
      <c r="D348" s="293"/>
      <c r="E348" s="293"/>
      <c r="F348" s="293"/>
      <c r="G348" s="294"/>
      <c r="H348" s="300"/>
      <c r="I348" s="295"/>
      <c r="J348" s="295"/>
      <c r="K348" s="296"/>
      <c r="L348" s="301"/>
      <c r="M348" s="297"/>
      <c r="N348" s="298"/>
      <c r="P348" s="190" t="str">
        <f>IF(R348 = "", "", COUNT(R$4:$R348))</f>
        <v/>
      </c>
      <c r="Q348" s="190" t="str">
        <f t="shared" si="51"/>
        <v/>
      </c>
      <c r="R348" s="191" t="str">
        <f t="shared" si="52"/>
        <v/>
      </c>
      <c r="S348" s="192" t="str">
        <f t="shared" si="54"/>
        <v/>
      </c>
      <c r="T348" s="193" t="str">
        <f t="shared" si="55"/>
        <v/>
      </c>
      <c r="U348" s="194" t="str">
        <f t="shared" si="56"/>
        <v/>
      </c>
      <c r="V348" s="195" t="str">
        <f t="shared" si="53"/>
        <v/>
      </c>
      <c r="W348" s="336" t="str">
        <f t="shared" si="57"/>
        <v/>
      </c>
      <c r="X348" s="338" t="str">
        <f t="shared" si="58"/>
        <v/>
      </c>
      <c r="Y348" s="274"/>
      <c r="AR348" t="str">
        <f t="shared" si="59"/>
        <v/>
      </c>
      <c r="AS348" t="str">
        <f t="shared" si="60"/>
        <v/>
      </c>
    </row>
    <row r="349" spans="1:45">
      <c r="A349" s="291"/>
      <c r="B349" s="292"/>
      <c r="C349" s="293"/>
      <c r="D349" s="293"/>
      <c r="E349" s="293"/>
      <c r="F349" s="293"/>
      <c r="G349" s="294"/>
      <c r="H349" s="300"/>
      <c r="I349" s="295"/>
      <c r="J349" s="295"/>
      <c r="K349" s="296"/>
      <c r="L349" s="301"/>
      <c r="M349" s="297"/>
      <c r="N349" s="298"/>
      <c r="P349" s="190" t="str">
        <f>IF(R349 = "", "", COUNT(R$4:$R349))</f>
        <v/>
      </c>
      <c r="Q349" s="190" t="str">
        <f t="shared" si="51"/>
        <v/>
      </c>
      <c r="R349" s="191" t="str">
        <f t="shared" si="52"/>
        <v/>
      </c>
      <c r="S349" s="192" t="str">
        <f t="shared" si="54"/>
        <v/>
      </c>
      <c r="T349" s="193" t="str">
        <f t="shared" si="55"/>
        <v/>
      </c>
      <c r="U349" s="194" t="str">
        <f t="shared" si="56"/>
        <v/>
      </c>
      <c r="V349" s="195" t="str">
        <f t="shared" si="53"/>
        <v/>
      </c>
      <c r="W349" s="336" t="str">
        <f t="shared" si="57"/>
        <v/>
      </c>
      <c r="X349" s="338" t="str">
        <f t="shared" si="58"/>
        <v/>
      </c>
      <c r="Y349" s="274"/>
      <c r="AR349" t="str">
        <f t="shared" si="59"/>
        <v/>
      </c>
      <c r="AS349" t="str">
        <f t="shared" si="60"/>
        <v/>
      </c>
    </row>
    <row r="350" spans="1:45">
      <c r="A350" s="291"/>
      <c r="B350" s="292"/>
      <c r="C350" s="293"/>
      <c r="D350" s="293"/>
      <c r="E350" s="293"/>
      <c r="F350" s="293"/>
      <c r="G350" s="294"/>
      <c r="H350" s="300"/>
      <c r="I350" s="295"/>
      <c r="J350" s="295"/>
      <c r="K350" s="296"/>
      <c r="L350" s="301"/>
      <c r="M350" s="297"/>
      <c r="N350" s="298"/>
      <c r="P350" s="190" t="str">
        <f>IF(R350 = "", "", COUNT(R$4:$R350))</f>
        <v/>
      </c>
      <c r="Q350" s="190" t="str">
        <f t="shared" si="51"/>
        <v/>
      </c>
      <c r="R350" s="191" t="str">
        <f t="shared" si="52"/>
        <v/>
      </c>
      <c r="S350" s="192" t="str">
        <f t="shared" si="54"/>
        <v/>
      </c>
      <c r="T350" s="193" t="str">
        <f t="shared" si="55"/>
        <v/>
      </c>
      <c r="U350" s="194" t="str">
        <f t="shared" si="56"/>
        <v/>
      </c>
      <c r="V350" s="195" t="str">
        <f t="shared" si="53"/>
        <v/>
      </c>
      <c r="W350" s="336" t="str">
        <f t="shared" si="57"/>
        <v/>
      </c>
      <c r="X350" s="338" t="str">
        <f t="shared" si="58"/>
        <v/>
      </c>
      <c r="Y350" s="274"/>
      <c r="AR350" t="str">
        <f t="shared" si="59"/>
        <v/>
      </c>
      <c r="AS350" t="str">
        <f t="shared" si="60"/>
        <v/>
      </c>
    </row>
    <row r="351" spans="1:45">
      <c r="A351" s="291"/>
      <c r="B351" s="292"/>
      <c r="C351" s="293"/>
      <c r="D351" s="293"/>
      <c r="E351" s="293"/>
      <c r="F351" s="293"/>
      <c r="G351" s="294"/>
      <c r="H351" s="300"/>
      <c r="I351" s="295"/>
      <c r="J351" s="295"/>
      <c r="K351" s="296"/>
      <c r="L351" s="301"/>
      <c r="M351" s="297"/>
      <c r="N351" s="298"/>
      <c r="P351" s="190" t="str">
        <f>IF(R351 = "", "", COUNT(R$4:$R351))</f>
        <v/>
      </c>
      <c r="Q351" s="190" t="str">
        <f t="shared" si="51"/>
        <v/>
      </c>
      <c r="R351" s="191" t="str">
        <f t="shared" si="52"/>
        <v/>
      </c>
      <c r="S351" s="192" t="str">
        <f t="shared" si="54"/>
        <v/>
      </c>
      <c r="T351" s="193" t="str">
        <f t="shared" si="55"/>
        <v/>
      </c>
      <c r="U351" s="194" t="str">
        <f t="shared" si="56"/>
        <v/>
      </c>
      <c r="V351" s="195" t="str">
        <f t="shared" si="53"/>
        <v/>
      </c>
      <c r="W351" s="336" t="str">
        <f t="shared" si="57"/>
        <v/>
      </c>
      <c r="X351" s="338" t="str">
        <f t="shared" si="58"/>
        <v/>
      </c>
      <c r="Y351" s="274"/>
      <c r="AR351" t="str">
        <f t="shared" si="59"/>
        <v/>
      </c>
      <c r="AS351" t="str">
        <f t="shared" si="60"/>
        <v/>
      </c>
    </row>
    <row r="352" spans="1:45">
      <c r="A352" s="291"/>
      <c r="B352" s="292"/>
      <c r="C352" s="293"/>
      <c r="D352" s="293"/>
      <c r="E352" s="293"/>
      <c r="F352" s="293"/>
      <c r="G352" s="294"/>
      <c r="H352" s="300"/>
      <c r="I352" s="295"/>
      <c r="J352" s="295"/>
      <c r="K352" s="296"/>
      <c r="L352" s="301"/>
      <c r="M352" s="297"/>
      <c r="N352" s="298"/>
      <c r="P352" s="190" t="str">
        <f>IF(R352 = "", "", COUNT(R$4:$R352))</f>
        <v/>
      </c>
      <c r="Q352" s="190" t="str">
        <f t="shared" si="51"/>
        <v/>
      </c>
      <c r="R352" s="191" t="str">
        <f t="shared" si="52"/>
        <v/>
      </c>
      <c r="S352" s="192" t="str">
        <f t="shared" si="54"/>
        <v/>
      </c>
      <c r="T352" s="193" t="str">
        <f t="shared" si="55"/>
        <v/>
      </c>
      <c r="U352" s="194" t="str">
        <f t="shared" si="56"/>
        <v/>
      </c>
      <c r="V352" s="195" t="str">
        <f t="shared" si="53"/>
        <v/>
      </c>
      <c r="W352" s="336" t="str">
        <f t="shared" si="57"/>
        <v/>
      </c>
      <c r="X352" s="338" t="str">
        <f t="shared" si="58"/>
        <v/>
      </c>
      <c r="Y352" s="274"/>
      <c r="AR352" t="str">
        <f t="shared" si="59"/>
        <v/>
      </c>
      <c r="AS352" t="str">
        <f t="shared" si="60"/>
        <v/>
      </c>
    </row>
    <row r="353" spans="1:45">
      <c r="A353" s="291"/>
      <c r="B353" s="292"/>
      <c r="C353" s="293"/>
      <c r="D353" s="293"/>
      <c r="E353" s="293"/>
      <c r="F353" s="293"/>
      <c r="G353" s="294"/>
      <c r="H353" s="300"/>
      <c r="I353" s="295"/>
      <c r="J353" s="295"/>
      <c r="K353" s="296"/>
      <c r="L353" s="301"/>
      <c r="M353" s="297"/>
      <c r="N353" s="298"/>
      <c r="P353" s="190" t="str">
        <f>IF(R353 = "", "", COUNT(R$4:$R353))</f>
        <v/>
      </c>
      <c r="Q353" s="190" t="str">
        <f t="shared" si="51"/>
        <v/>
      </c>
      <c r="R353" s="191" t="str">
        <f t="shared" si="52"/>
        <v/>
      </c>
      <c r="S353" s="192" t="str">
        <f t="shared" si="54"/>
        <v/>
      </c>
      <c r="T353" s="193" t="str">
        <f t="shared" si="55"/>
        <v/>
      </c>
      <c r="U353" s="194" t="str">
        <f t="shared" si="56"/>
        <v/>
      </c>
      <c r="V353" s="195" t="str">
        <f t="shared" si="53"/>
        <v/>
      </c>
      <c r="W353" s="336" t="str">
        <f t="shared" si="57"/>
        <v/>
      </c>
      <c r="X353" s="338" t="str">
        <f t="shared" si="58"/>
        <v/>
      </c>
      <c r="Y353" s="274"/>
      <c r="AR353" t="str">
        <f t="shared" si="59"/>
        <v/>
      </c>
      <c r="AS353" t="str">
        <f t="shared" si="60"/>
        <v/>
      </c>
    </row>
    <row r="354" spans="1:45">
      <c r="A354" s="291"/>
      <c r="B354" s="292"/>
      <c r="C354" s="293"/>
      <c r="D354" s="293"/>
      <c r="E354" s="293"/>
      <c r="F354" s="293"/>
      <c r="G354" s="294"/>
      <c r="H354" s="300"/>
      <c r="I354" s="295"/>
      <c r="J354" s="295"/>
      <c r="K354" s="296"/>
      <c r="L354" s="301"/>
      <c r="M354" s="297"/>
      <c r="N354" s="298"/>
      <c r="P354" s="190" t="str">
        <f>IF(R354 = "", "", COUNT(R$4:$R354))</f>
        <v/>
      </c>
      <c r="Q354" s="190" t="str">
        <f t="shared" si="51"/>
        <v/>
      </c>
      <c r="R354" s="191" t="str">
        <f t="shared" si="52"/>
        <v/>
      </c>
      <c r="S354" s="192" t="str">
        <f t="shared" si="54"/>
        <v/>
      </c>
      <c r="T354" s="193" t="str">
        <f t="shared" si="55"/>
        <v/>
      </c>
      <c r="U354" s="194" t="str">
        <f t="shared" si="56"/>
        <v/>
      </c>
      <c r="V354" s="195" t="str">
        <f t="shared" si="53"/>
        <v/>
      </c>
      <c r="W354" s="336" t="str">
        <f t="shared" si="57"/>
        <v/>
      </c>
      <c r="X354" s="338" t="str">
        <f t="shared" si="58"/>
        <v/>
      </c>
      <c r="Y354" s="274"/>
      <c r="AR354" t="str">
        <f t="shared" si="59"/>
        <v/>
      </c>
      <c r="AS354" t="str">
        <f t="shared" si="60"/>
        <v/>
      </c>
    </row>
    <row r="355" spans="1:45">
      <c r="A355" s="291"/>
      <c r="B355" s="292"/>
      <c r="C355" s="293"/>
      <c r="D355" s="293"/>
      <c r="E355" s="293"/>
      <c r="F355" s="293"/>
      <c r="G355" s="294"/>
      <c r="H355" s="300"/>
      <c r="I355" s="295"/>
      <c r="J355" s="295"/>
      <c r="K355" s="296"/>
      <c r="L355" s="301"/>
      <c r="M355" s="297"/>
      <c r="N355" s="298"/>
      <c r="P355" s="190" t="str">
        <f>IF(R355 = "", "", COUNT(R$4:$R355))</f>
        <v/>
      </c>
      <c r="Q355" s="190" t="str">
        <f t="shared" si="51"/>
        <v/>
      </c>
      <c r="R355" s="191" t="str">
        <f t="shared" si="52"/>
        <v/>
      </c>
      <c r="S355" s="192" t="str">
        <f t="shared" si="54"/>
        <v/>
      </c>
      <c r="T355" s="193" t="str">
        <f t="shared" si="55"/>
        <v/>
      </c>
      <c r="U355" s="194" t="str">
        <f t="shared" si="56"/>
        <v/>
      </c>
      <c r="V355" s="195" t="str">
        <f t="shared" si="53"/>
        <v/>
      </c>
      <c r="W355" s="336" t="str">
        <f t="shared" si="57"/>
        <v/>
      </c>
      <c r="X355" s="338" t="str">
        <f t="shared" si="58"/>
        <v/>
      </c>
      <c r="Y355" s="274"/>
      <c r="AR355" t="str">
        <f t="shared" si="59"/>
        <v/>
      </c>
      <c r="AS355" t="str">
        <f t="shared" si="60"/>
        <v/>
      </c>
    </row>
    <row r="356" spans="1:45">
      <c r="A356" s="291"/>
      <c r="B356" s="292"/>
      <c r="C356" s="293"/>
      <c r="D356" s="293"/>
      <c r="E356" s="293"/>
      <c r="F356" s="293"/>
      <c r="G356" s="294"/>
      <c r="H356" s="300"/>
      <c r="I356" s="295"/>
      <c r="J356" s="295"/>
      <c r="K356" s="296"/>
      <c r="L356" s="301"/>
      <c r="M356" s="297"/>
      <c r="N356" s="298"/>
      <c r="P356" s="190" t="str">
        <f>IF(R356 = "", "", COUNT(R$4:$R356))</f>
        <v/>
      </c>
      <c r="Q356" s="190" t="str">
        <f t="shared" si="51"/>
        <v/>
      </c>
      <c r="R356" s="191" t="str">
        <f t="shared" si="52"/>
        <v/>
      </c>
      <c r="S356" s="192" t="str">
        <f t="shared" si="54"/>
        <v/>
      </c>
      <c r="T356" s="193" t="str">
        <f t="shared" si="55"/>
        <v/>
      </c>
      <c r="U356" s="194" t="str">
        <f t="shared" si="56"/>
        <v/>
      </c>
      <c r="V356" s="195" t="str">
        <f t="shared" si="53"/>
        <v/>
      </c>
      <c r="W356" s="336" t="str">
        <f t="shared" si="57"/>
        <v/>
      </c>
      <c r="X356" s="338" t="str">
        <f t="shared" si="58"/>
        <v/>
      </c>
      <c r="Y356" s="274"/>
      <c r="AR356" t="str">
        <f t="shared" si="59"/>
        <v/>
      </c>
      <c r="AS356" t="str">
        <f t="shared" si="60"/>
        <v/>
      </c>
    </row>
    <row r="357" spans="1:45">
      <c r="A357" s="291"/>
      <c r="B357" s="292"/>
      <c r="C357" s="293"/>
      <c r="D357" s="293"/>
      <c r="E357" s="293"/>
      <c r="F357" s="293"/>
      <c r="G357" s="294"/>
      <c r="H357" s="300"/>
      <c r="I357" s="295"/>
      <c r="J357" s="295"/>
      <c r="K357" s="296"/>
      <c r="L357" s="301"/>
      <c r="M357" s="297"/>
      <c r="N357" s="298"/>
      <c r="P357" s="190" t="str">
        <f>IF(R357 = "", "", COUNT(R$4:$R357))</f>
        <v/>
      </c>
      <c r="Q357" s="190" t="str">
        <f t="shared" si="51"/>
        <v/>
      </c>
      <c r="R357" s="191" t="str">
        <f t="shared" si="52"/>
        <v/>
      </c>
      <c r="S357" s="192" t="str">
        <f t="shared" si="54"/>
        <v/>
      </c>
      <c r="T357" s="193" t="str">
        <f t="shared" si="55"/>
        <v/>
      </c>
      <c r="U357" s="194" t="str">
        <f t="shared" si="56"/>
        <v/>
      </c>
      <c r="V357" s="195" t="str">
        <f t="shared" si="53"/>
        <v/>
      </c>
      <c r="W357" s="336" t="str">
        <f t="shared" si="57"/>
        <v/>
      </c>
      <c r="X357" s="338" t="str">
        <f t="shared" si="58"/>
        <v/>
      </c>
      <c r="Y357" s="274"/>
      <c r="AR357" t="str">
        <f t="shared" si="59"/>
        <v/>
      </c>
      <c r="AS357" t="str">
        <f t="shared" si="60"/>
        <v/>
      </c>
    </row>
    <row r="358" spans="1:45">
      <c r="A358" s="291"/>
      <c r="B358" s="292"/>
      <c r="C358" s="293"/>
      <c r="D358" s="293"/>
      <c r="E358" s="293"/>
      <c r="F358" s="293"/>
      <c r="G358" s="294"/>
      <c r="H358" s="300"/>
      <c r="I358" s="295"/>
      <c r="J358" s="295"/>
      <c r="K358" s="296"/>
      <c r="L358" s="301"/>
      <c r="M358" s="297"/>
      <c r="N358" s="298"/>
      <c r="P358" s="190" t="str">
        <f>IF(R358 = "", "", COUNT(R$4:$R358))</f>
        <v/>
      </c>
      <c r="Q358" s="190" t="str">
        <f t="shared" si="51"/>
        <v/>
      </c>
      <c r="R358" s="191" t="str">
        <f t="shared" si="52"/>
        <v/>
      </c>
      <c r="S358" s="192" t="str">
        <f t="shared" si="54"/>
        <v/>
      </c>
      <c r="T358" s="193" t="str">
        <f t="shared" si="55"/>
        <v/>
      </c>
      <c r="U358" s="194" t="str">
        <f t="shared" si="56"/>
        <v/>
      </c>
      <c r="V358" s="195" t="str">
        <f t="shared" si="53"/>
        <v/>
      </c>
      <c r="W358" s="336" t="str">
        <f t="shared" si="57"/>
        <v/>
      </c>
      <c r="X358" s="338" t="str">
        <f t="shared" si="58"/>
        <v/>
      </c>
      <c r="Y358" s="274"/>
      <c r="AR358" t="str">
        <f t="shared" si="59"/>
        <v/>
      </c>
      <c r="AS358" t="str">
        <f t="shared" si="60"/>
        <v/>
      </c>
    </row>
    <row r="359" spans="1:45">
      <c r="A359" s="291"/>
      <c r="B359" s="292"/>
      <c r="C359" s="293"/>
      <c r="D359" s="293"/>
      <c r="E359" s="293"/>
      <c r="F359" s="293"/>
      <c r="G359" s="294"/>
      <c r="H359" s="300"/>
      <c r="I359" s="295"/>
      <c r="J359" s="295"/>
      <c r="K359" s="296"/>
      <c r="L359" s="301"/>
      <c r="M359" s="297"/>
      <c r="N359" s="298"/>
      <c r="P359" s="190" t="str">
        <f>IF(R359 = "", "", COUNT(R$4:$R359))</f>
        <v/>
      </c>
      <c r="Q359" s="190" t="str">
        <f t="shared" si="51"/>
        <v/>
      </c>
      <c r="R359" s="191" t="str">
        <f t="shared" si="52"/>
        <v/>
      </c>
      <c r="S359" s="192" t="str">
        <f t="shared" si="54"/>
        <v/>
      </c>
      <c r="T359" s="193" t="str">
        <f t="shared" si="55"/>
        <v/>
      </c>
      <c r="U359" s="194" t="str">
        <f t="shared" si="56"/>
        <v/>
      </c>
      <c r="V359" s="195" t="str">
        <f t="shared" si="53"/>
        <v/>
      </c>
      <c r="W359" s="336" t="str">
        <f t="shared" si="57"/>
        <v/>
      </c>
      <c r="X359" s="338" t="str">
        <f t="shared" si="58"/>
        <v/>
      </c>
      <c r="Y359" s="274"/>
      <c r="AR359" t="str">
        <f t="shared" si="59"/>
        <v/>
      </c>
      <c r="AS359" t="str">
        <f t="shared" si="60"/>
        <v/>
      </c>
    </row>
    <row r="360" spans="1:45">
      <c r="A360" s="291"/>
      <c r="B360" s="292"/>
      <c r="C360" s="293"/>
      <c r="D360" s="293"/>
      <c r="E360" s="293"/>
      <c r="F360" s="293"/>
      <c r="G360" s="294"/>
      <c r="H360" s="300"/>
      <c r="I360" s="295"/>
      <c r="J360" s="295"/>
      <c r="K360" s="296"/>
      <c r="L360" s="301"/>
      <c r="M360" s="297"/>
      <c r="N360" s="298"/>
      <c r="P360" s="190" t="str">
        <f>IF(R360 = "", "", COUNT(R$4:$R360))</f>
        <v/>
      </c>
      <c r="Q360" s="190" t="str">
        <f t="shared" si="51"/>
        <v/>
      </c>
      <c r="R360" s="191" t="str">
        <f t="shared" si="52"/>
        <v/>
      </c>
      <c r="S360" s="192" t="str">
        <f t="shared" si="54"/>
        <v/>
      </c>
      <c r="T360" s="193" t="str">
        <f t="shared" si="55"/>
        <v/>
      </c>
      <c r="U360" s="194" t="str">
        <f t="shared" si="56"/>
        <v/>
      </c>
      <c r="V360" s="195" t="str">
        <f t="shared" si="53"/>
        <v/>
      </c>
      <c r="W360" s="336" t="str">
        <f t="shared" si="57"/>
        <v/>
      </c>
      <c r="X360" s="338" t="str">
        <f t="shared" si="58"/>
        <v/>
      </c>
      <c r="Y360" s="274"/>
      <c r="AR360" t="str">
        <f t="shared" si="59"/>
        <v/>
      </c>
      <c r="AS360" t="str">
        <f t="shared" si="60"/>
        <v/>
      </c>
    </row>
    <row r="361" spans="1:45">
      <c r="A361" s="291"/>
      <c r="B361" s="292"/>
      <c r="C361" s="293"/>
      <c r="D361" s="293"/>
      <c r="E361" s="293"/>
      <c r="F361" s="293"/>
      <c r="G361" s="294"/>
      <c r="H361" s="300"/>
      <c r="I361" s="295"/>
      <c r="J361" s="295"/>
      <c r="K361" s="296"/>
      <c r="L361" s="301"/>
      <c r="M361" s="297"/>
      <c r="N361" s="298"/>
      <c r="P361" s="190" t="str">
        <f>IF(R361 = "", "", COUNT(R$4:$R361))</f>
        <v/>
      </c>
      <c r="Q361" s="190" t="str">
        <f t="shared" si="51"/>
        <v/>
      </c>
      <c r="R361" s="191" t="str">
        <f t="shared" si="52"/>
        <v/>
      </c>
      <c r="S361" s="192" t="str">
        <f t="shared" si="54"/>
        <v/>
      </c>
      <c r="T361" s="193" t="str">
        <f t="shared" si="55"/>
        <v/>
      </c>
      <c r="U361" s="194" t="str">
        <f t="shared" si="56"/>
        <v/>
      </c>
      <c r="V361" s="195" t="str">
        <f t="shared" si="53"/>
        <v/>
      </c>
      <c r="W361" s="336" t="str">
        <f t="shared" si="57"/>
        <v/>
      </c>
      <c r="X361" s="338" t="str">
        <f t="shared" si="58"/>
        <v/>
      </c>
      <c r="Y361" s="274"/>
      <c r="AR361" t="str">
        <f t="shared" si="59"/>
        <v/>
      </c>
      <c r="AS361" t="str">
        <f t="shared" si="60"/>
        <v/>
      </c>
    </row>
    <row r="362" spans="1:45">
      <c r="A362" s="291"/>
      <c r="B362" s="292"/>
      <c r="C362" s="293"/>
      <c r="D362" s="293"/>
      <c r="E362" s="293"/>
      <c r="F362" s="293"/>
      <c r="G362" s="294"/>
      <c r="H362" s="300"/>
      <c r="I362" s="295"/>
      <c r="J362" s="295"/>
      <c r="K362" s="296"/>
      <c r="L362" s="301"/>
      <c r="M362" s="297"/>
      <c r="N362" s="298"/>
      <c r="P362" s="190" t="str">
        <f>IF(R362 = "", "", COUNT(R$4:$R362))</f>
        <v/>
      </c>
      <c r="Q362" s="190" t="str">
        <f t="shared" si="51"/>
        <v/>
      </c>
      <c r="R362" s="191" t="str">
        <f t="shared" si="52"/>
        <v/>
      </c>
      <c r="S362" s="192" t="str">
        <f t="shared" si="54"/>
        <v/>
      </c>
      <c r="T362" s="193" t="str">
        <f t="shared" si="55"/>
        <v/>
      </c>
      <c r="U362" s="194" t="str">
        <f t="shared" si="56"/>
        <v/>
      </c>
      <c r="V362" s="195" t="str">
        <f t="shared" si="53"/>
        <v/>
      </c>
      <c r="W362" s="336" t="str">
        <f t="shared" si="57"/>
        <v/>
      </c>
      <c r="X362" s="338" t="str">
        <f t="shared" si="58"/>
        <v/>
      </c>
      <c r="Y362" s="274"/>
      <c r="AR362" t="str">
        <f t="shared" si="59"/>
        <v/>
      </c>
      <c r="AS362" t="str">
        <f t="shared" si="60"/>
        <v/>
      </c>
    </row>
    <row r="363" spans="1:45">
      <c r="A363" s="291"/>
      <c r="B363" s="292"/>
      <c r="C363" s="293"/>
      <c r="D363" s="293"/>
      <c r="E363" s="293"/>
      <c r="F363" s="293"/>
      <c r="G363" s="294"/>
      <c r="H363" s="300"/>
      <c r="I363" s="295"/>
      <c r="J363" s="295"/>
      <c r="K363" s="296"/>
      <c r="L363" s="301"/>
      <c r="M363" s="297"/>
      <c r="N363" s="298"/>
      <c r="P363" s="190" t="str">
        <f>IF(R363 = "", "", COUNT(R$4:$R363))</f>
        <v/>
      </c>
      <c r="Q363" s="190" t="str">
        <f t="shared" si="51"/>
        <v/>
      </c>
      <c r="R363" s="191" t="str">
        <f t="shared" si="52"/>
        <v/>
      </c>
      <c r="S363" s="192" t="str">
        <f t="shared" si="54"/>
        <v/>
      </c>
      <c r="T363" s="193" t="str">
        <f t="shared" si="55"/>
        <v/>
      </c>
      <c r="U363" s="194" t="str">
        <f t="shared" si="56"/>
        <v/>
      </c>
      <c r="V363" s="195" t="str">
        <f t="shared" si="53"/>
        <v/>
      </c>
      <c r="W363" s="336" t="str">
        <f t="shared" si="57"/>
        <v/>
      </c>
      <c r="X363" s="338" t="str">
        <f t="shared" si="58"/>
        <v/>
      </c>
      <c r="Y363" s="274"/>
      <c r="AR363" t="str">
        <f t="shared" si="59"/>
        <v/>
      </c>
      <c r="AS363" t="str">
        <f t="shared" si="60"/>
        <v/>
      </c>
    </row>
    <row r="364" spans="1:45">
      <c r="A364" s="291"/>
      <c r="B364" s="292"/>
      <c r="C364" s="293"/>
      <c r="D364" s="293"/>
      <c r="E364" s="293"/>
      <c r="F364" s="293"/>
      <c r="G364" s="294"/>
      <c r="H364" s="300"/>
      <c r="I364" s="295"/>
      <c r="J364" s="295"/>
      <c r="K364" s="296"/>
      <c r="L364" s="301"/>
      <c r="M364" s="297"/>
      <c r="N364" s="298"/>
      <c r="P364" s="190" t="str">
        <f>IF(R364 = "", "", COUNT(R$4:$R364))</f>
        <v/>
      </c>
      <c r="Q364" s="190" t="str">
        <f t="shared" si="51"/>
        <v/>
      </c>
      <c r="R364" s="191" t="str">
        <f t="shared" si="52"/>
        <v/>
      </c>
      <c r="S364" s="192" t="str">
        <f t="shared" si="54"/>
        <v/>
      </c>
      <c r="T364" s="193" t="str">
        <f t="shared" si="55"/>
        <v/>
      </c>
      <c r="U364" s="194" t="str">
        <f t="shared" si="56"/>
        <v/>
      </c>
      <c r="V364" s="195" t="str">
        <f t="shared" si="53"/>
        <v/>
      </c>
      <c r="W364" s="336" t="str">
        <f t="shared" si="57"/>
        <v/>
      </c>
      <c r="X364" s="338" t="str">
        <f t="shared" si="58"/>
        <v/>
      </c>
      <c r="Y364" s="274"/>
      <c r="AR364" t="str">
        <f t="shared" si="59"/>
        <v/>
      </c>
      <c r="AS364" t="str">
        <f t="shared" si="60"/>
        <v/>
      </c>
    </row>
    <row r="365" spans="1:45">
      <c r="A365" s="291"/>
      <c r="B365" s="292"/>
      <c r="C365" s="293"/>
      <c r="D365" s="293"/>
      <c r="E365" s="293"/>
      <c r="F365" s="293"/>
      <c r="G365" s="294"/>
      <c r="H365" s="300"/>
      <c r="I365" s="295"/>
      <c r="J365" s="295"/>
      <c r="K365" s="296"/>
      <c r="L365" s="301"/>
      <c r="M365" s="297"/>
      <c r="N365" s="298"/>
      <c r="P365" s="190" t="str">
        <f>IF(R365 = "", "", COUNT(R$4:$R365))</f>
        <v/>
      </c>
      <c r="Q365" s="190" t="str">
        <f t="shared" si="51"/>
        <v/>
      </c>
      <c r="R365" s="191" t="str">
        <f t="shared" si="52"/>
        <v/>
      </c>
      <c r="S365" s="192" t="str">
        <f t="shared" si="54"/>
        <v/>
      </c>
      <c r="T365" s="193" t="str">
        <f t="shared" si="55"/>
        <v/>
      </c>
      <c r="U365" s="194" t="str">
        <f t="shared" si="56"/>
        <v/>
      </c>
      <c r="V365" s="195" t="str">
        <f t="shared" si="53"/>
        <v/>
      </c>
      <c r="W365" s="336" t="str">
        <f t="shared" si="57"/>
        <v/>
      </c>
      <c r="X365" s="338" t="str">
        <f t="shared" si="58"/>
        <v/>
      </c>
      <c r="Y365" s="274"/>
      <c r="AR365" t="str">
        <f t="shared" si="59"/>
        <v/>
      </c>
      <c r="AS365" t="str">
        <f t="shared" si="60"/>
        <v/>
      </c>
    </row>
    <row r="366" spans="1:45">
      <c r="A366" s="291"/>
      <c r="B366" s="292"/>
      <c r="C366" s="293"/>
      <c r="D366" s="293"/>
      <c r="E366" s="293"/>
      <c r="F366" s="293"/>
      <c r="G366" s="294"/>
      <c r="H366" s="300"/>
      <c r="I366" s="295"/>
      <c r="J366" s="295"/>
      <c r="K366" s="296"/>
      <c r="L366" s="301"/>
      <c r="M366" s="297"/>
      <c r="N366" s="298"/>
      <c r="P366" s="190" t="str">
        <f>IF(R366 = "", "", COUNT(R$4:$R366))</f>
        <v/>
      </c>
      <c r="Q366" s="190" t="str">
        <f t="shared" si="51"/>
        <v/>
      </c>
      <c r="R366" s="191" t="str">
        <f t="shared" si="52"/>
        <v/>
      </c>
      <c r="S366" s="192" t="str">
        <f t="shared" si="54"/>
        <v/>
      </c>
      <c r="T366" s="193" t="str">
        <f t="shared" si="55"/>
        <v/>
      </c>
      <c r="U366" s="194" t="str">
        <f t="shared" si="56"/>
        <v/>
      </c>
      <c r="V366" s="195" t="str">
        <f t="shared" si="53"/>
        <v/>
      </c>
      <c r="W366" s="336" t="str">
        <f t="shared" si="57"/>
        <v/>
      </c>
      <c r="X366" s="338" t="str">
        <f t="shared" si="58"/>
        <v/>
      </c>
      <c r="Y366" s="274"/>
      <c r="AR366" t="str">
        <f t="shared" si="59"/>
        <v/>
      </c>
      <c r="AS366" t="str">
        <f t="shared" si="60"/>
        <v/>
      </c>
    </row>
    <row r="367" spans="1:45">
      <c r="A367" s="291"/>
      <c r="B367" s="292"/>
      <c r="C367" s="293"/>
      <c r="D367" s="293"/>
      <c r="E367" s="293"/>
      <c r="F367" s="293"/>
      <c r="G367" s="294"/>
      <c r="H367" s="300"/>
      <c r="I367" s="295"/>
      <c r="J367" s="295"/>
      <c r="K367" s="296"/>
      <c r="L367" s="301"/>
      <c r="M367" s="297"/>
      <c r="N367" s="298"/>
      <c r="P367" s="190" t="str">
        <f>IF(R367 = "", "", COUNT(R$4:$R367))</f>
        <v/>
      </c>
      <c r="Q367" s="190" t="str">
        <f t="shared" si="51"/>
        <v/>
      </c>
      <c r="R367" s="191" t="str">
        <f t="shared" si="52"/>
        <v/>
      </c>
      <c r="S367" s="192" t="str">
        <f t="shared" si="54"/>
        <v/>
      </c>
      <c r="T367" s="193" t="str">
        <f t="shared" si="55"/>
        <v/>
      </c>
      <c r="U367" s="194" t="str">
        <f t="shared" si="56"/>
        <v/>
      </c>
      <c r="V367" s="195" t="str">
        <f t="shared" si="53"/>
        <v/>
      </c>
      <c r="W367" s="336" t="str">
        <f t="shared" si="57"/>
        <v/>
      </c>
      <c r="X367" s="338" t="str">
        <f t="shared" si="58"/>
        <v/>
      </c>
      <c r="Y367" s="274"/>
      <c r="AR367" t="str">
        <f t="shared" si="59"/>
        <v/>
      </c>
      <c r="AS367" t="str">
        <f t="shared" si="60"/>
        <v/>
      </c>
    </row>
    <row r="368" spans="1:45">
      <c r="A368" s="291"/>
      <c r="B368" s="292"/>
      <c r="C368" s="293"/>
      <c r="D368" s="293"/>
      <c r="E368" s="293"/>
      <c r="F368" s="293"/>
      <c r="G368" s="294"/>
      <c r="H368" s="300"/>
      <c r="I368" s="295"/>
      <c r="J368" s="295"/>
      <c r="K368" s="296"/>
      <c r="L368" s="301"/>
      <c r="M368" s="297"/>
      <c r="N368" s="298"/>
      <c r="P368" s="190" t="str">
        <f>IF(R368 = "", "", COUNT(R$4:$R368))</f>
        <v/>
      </c>
      <c r="Q368" s="190" t="str">
        <f t="shared" si="51"/>
        <v/>
      </c>
      <c r="R368" s="191" t="str">
        <f t="shared" si="52"/>
        <v/>
      </c>
      <c r="S368" s="192" t="str">
        <f t="shared" si="54"/>
        <v/>
      </c>
      <c r="T368" s="193" t="str">
        <f t="shared" si="55"/>
        <v/>
      </c>
      <c r="U368" s="194" t="str">
        <f t="shared" si="56"/>
        <v/>
      </c>
      <c r="V368" s="195" t="str">
        <f t="shared" si="53"/>
        <v/>
      </c>
      <c r="W368" s="336" t="str">
        <f t="shared" si="57"/>
        <v/>
      </c>
      <c r="X368" s="338" t="str">
        <f t="shared" si="58"/>
        <v/>
      </c>
      <c r="Y368" s="274"/>
      <c r="AR368" t="str">
        <f t="shared" si="59"/>
        <v/>
      </c>
      <c r="AS368" t="str">
        <f t="shared" si="60"/>
        <v/>
      </c>
    </row>
    <row r="369" spans="1:45">
      <c r="A369" s="291"/>
      <c r="B369" s="292"/>
      <c r="C369" s="293"/>
      <c r="D369" s="293"/>
      <c r="E369" s="293"/>
      <c r="F369" s="293"/>
      <c r="G369" s="294"/>
      <c r="H369" s="300"/>
      <c r="I369" s="295"/>
      <c r="J369" s="295"/>
      <c r="K369" s="296"/>
      <c r="L369" s="301"/>
      <c r="M369" s="297"/>
      <c r="N369" s="298"/>
      <c r="P369" s="190" t="str">
        <f>IF(R369 = "", "", COUNT(R$4:$R369))</f>
        <v/>
      </c>
      <c r="Q369" s="190" t="str">
        <f t="shared" si="51"/>
        <v/>
      </c>
      <c r="R369" s="191" t="str">
        <f t="shared" si="52"/>
        <v/>
      </c>
      <c r="S369" s="192" t="str">
        <f t="shared" si="54"/>
        <v/>
      </c>
      <c r="T369" s="193" t="str">
        <f t="shared" si="55"/>
        <v/>
      </c>
      <c r="U369" s="194" t="str">
        <f t="shared" si="56"/>
        <v/>
      </c>
      <c r="V369" s="195" t="str">
        <f t="shared" si="53"/>
        <v/>
      </c>
      <c r="W369" s="336" t="str">
        <f t="shared" si="57"/>
        <v/>
      </c>
      <c r="X369" s="338" t="str">
        <f t="shared" si="58"/>
        <v/>
      </c>
      <c r="Y369" s="274"/>
      <c r="AR369" t="str">
        <f t="shared" si="59"/>
        <v/>
      </c>
      <c r="AS369" t="str">
        <f t="shared" si="60"/>
        <v/>
      </c>
    </row>
    <row r="370" spans="1:45">
      <c r="A370" s="291"/>
      <c r="B370" s="292"/>
      <c r="C370" s="293"/>
      <c r="D370" s="293"/>
      <c r="E370" s="293"/>
      <c r="F370" s="293"/>
      <c r="G370" s="294"/>
      <c r="H370" s="300"/>
      <c r="I370" s="295"/>
      <c r="J370" s="295"/>
      <c r="K370" s="296"/>
      <c r="L370" s="301"/>
      <c r="M370" s="297"/>
      <c r="N370" s="298"/>
      <c r="P370" s="190" t="str">
        <f>IF(R370 = "", "", COUNT(R$4:$R370))</f>
        <v/>
      </c>
      <c r="Q370" s="190" t="str">
        <f t="shared" si="51"/>
        <v/>
      </c>
      <c r="R370" s="191" t="str">
        <f t="shared" si="52"/>
        <v/>
      </c>
      <c r="S370" s="192" t="str">
        <f t="shared" si="54"/>
        <v/>
      </c>
      <c r="T370" s="193" t="str">
        <f t="shared" si="55"/>
        <v/>
      </c>
      <c r="U370" s="194" t="str">
        <f t="shared" si="56"/>
        <v/>
      </c>
      <c r="V370" s="195" t="str">
        <f t="shared" si="53"/>
        <v/>
      </c>
      <c r="W370" s="336" t="str">
        <f t="shared" si="57"/>
        <v/>
      </c>
      <c r="X370" s="338" t="str">
        <f t="shared" si="58"/>
        <v/>
      </c>
      <c r="Y370" s="274"/>
      <c r="AR370" t="str">
        <f t="shared" si="59"/>
        <v/>
      </c>
      <c r="AS370" t="str">
        <f t="shared" si="60"/>
        <v/>
      </c>
    </row>
    <row r="371" spans="1:45">
      <c r="A371" s="291"/>
      <c r="B371" s="292"/>
      <c r="C371" s="293"/>
      <c r="D371" s="293"/>
      <c r="E371" s="293"/>
      <c r="F371" s="293"/>
      <c r="G371" s="294"/>
      <c r="H371" s="300"/>
      <c r="I371" s="295"/>
      <c r="J371" s="295"/>
      <c r="K371" s="296"/>
      <c r="L371" s="301"/>
      <c r="M371" s="297"/>
      <c r="N371" s="298"/>
      <c r="P371" s="190" t="str">
        <f>IF(R371 = "", "", COUNT(R$4:$R371))</f>
        <v/>
      </c>
      <c r="Q371" s="190" t="str">
        <f t="shared" si="51"/>
        <v/>
      </c>
      <c r="R371" s="191" t="str">
        <f t="shared" si="52"/>
        <v/>
      </c>
      <c r="S371" s="192" t="str">
        <f t="shared" si="54"/>
        <v/>
      </c>
      <c r="T371" s="193" t="str">
        <f t="shared" si="55"/>
        <v/>
      </c>
      <c r="U371" s="194" t="str">
        <f t="shared" si="56"/>
        <v/>
      </c>
      <c r="V371" s="195" t="str">
        <f t="shared" si="53"/>
        <v/>
      </c>
      <c r="W371" s="336" t="str">
        <f t="shared" si="57"/>
        <v/>
      </c>
      <c r="X371" s="338" t="str">
        <f t="shared" si="58"/>
        <v/>
      </c>
      <c r="Y371" s="274"/>
      <c r="AR371" t="str">
        <f t="shared" si="59"/>
        <v/>
      </c>
      <c r="AS371" t="str">
        <f t="shared" si="60"/>
        <v/>
      </c>
    </row>
    <row r="372" spans="1:45">
      <c r="A372" s="291"/>
      <c r="B372" s="292"/>
      <c r="C372" s="293"/>
      <c r="D372" s="293"/>
      <c r="E372" s="293"/>
      <c r="F372" s="293"/>
      <c r="G372" s="294"/>
      <c r="H372" s="300"/>
      <c r="I372" s="295"/>
      <c r="J372" s="295"/>
      <c r="K372" s="296"/>
      <c r="L372" s="301"/>
      <c r="M372" s="297"/>
      <c r="N372" s="298"/>
      <c r="P372" s="190" t="str">
        <f>IF(R372 = "", "", COUNT(R$4:$R372))</f>
        <v/>
      </c>
      <c r="Q372" s="190" t="str">
        <f t="shared" si="51"/>
        <v/>
      </c>
      <c r="R372" s="191" t="str">
        <f t="shared" si="52"/>
        <v/>
      </c>
      <c r="S372" s="192" t="str">
        <f t="shared" si="54"/>
        <v/>
      </c>
      <c r="T372" s="193" t="str">
        <f t="shared" si="55"/>
        <v/>
      </c>
      <c r="U372" s="194" t="str">
        <f t="shared" si="56"/>
        <v/>
      </c>
      <c r="V372" s="195" t="str">
        <f t="shared" si="53"/>
        <v/>
      </c>
      <c r="W372" s="336" t="str">
        <f t="shared" si="57"/>
        <v/>
      </c>
      <c r="X372" s="338" t="str">
        <f t="shared" si="58"/>
        <v/>
      </c>
      <c r="Y372" s="274"/>
      <c r="AR372" t="str">
        <f t="shared" si="59"/>
        <v/>
      </c>
      <c r="AS372" t="str">
        <f t="shared" si="60"/>
        <v/>
      </c>
    </row>
    <row r="373" spans="1:45">
      <c r="A373" s="291"/>
      <c r="B373" s="292"/>
      <c r="C373" s="293"/>
      <c r="D373" s="293"/>
      <c r="E373" s="293"/>
      <c r="F373" s="293"/>
      <c r="G373" s="294"/>
      <c r="H373" s="300"/>
      <c r="I373" s="295"/>
      <c r="J373" s="295"/>
      <c r="K373" s="296"/>
      <c r="L373" s="301"/>
      <c r="M373" s="297"/>
      <c r="N373" s="298"/>
      <c r="P373" s="190" t="str">
        <f>IF(R373 = "", "", COUNT(R$4:$R373))</f>
        <v/>
      </c>
      <c r="Q373" s="190" t="str">
        <f t="shared" si="51"/>
        <v/>
      </c>
      <c r="R373" s="191" t="str">
        <f t="shared" si="52"/>
        <v/>
      </c>
      <c r="S373" s="192" t="str">
        <f t="shared" si="54"/>
        <v/>
      </c>
      <c r="T373" s="193" t="str">
        <f t="shared" si="55"/>
        <v/>
      </c>
      <c r="U373" s="194" t="str">
        <f t="shared" si="56"/>
        <v/>
      </c>
      <c r="V373" s="195" t="str">
        <f t="shared" si="53"/>
        <v/>
      </c>
      <c r="W373" s="336" t="str">
        <f t="shared" si="57"/>
        <v/>
      </c>
      <c r="X373" s="338" t="str">
        <f t="shared" si="58"/>
        <v/>
      </c>
      <c r="Y373" s="274"/>
      <c r="AR373" t="str">
        <f t="shared" si="59"/>
        <v/>
      </c>
      <c r="AS373" t="str">
        <f t="shared" si="60"/>
        <v/>
      </c>
    </row>
    <row r="374" spans="1:45">
      <c r="A374" s="291"/>
      <c r="B374" s="292"/>
      <c r="C374" s="293"/>
      <c r="D374" s="293"/>
      <c r="E374" s="293"/>
      <c r="F374" s="293"/>
      <c r="G374" s="294"/>
      <c r="H374" s="300"/>
      <c r="I374" s="295"/>
      <c r="J374" s="295"/>
      <c r="K374" s="296"/>
      <c r="L374" s="301"/>
      <c r="M374" s="297"/>
      <c r="N374" s="298"/>
      <c r="P374" s="190" t="str">
        <f>IF(R374 = "", "", COUNT(R$4:$R374))</f>
        <v/>
      </c>
      <c r="Q374" s="190" t="str">
        <f t="shared" si="51"/>
        <v/>
      </c>
      <c r="R374" s="191" t="str">
        <f t="shared" si="52"/>
        <v/>
      </c>
      <c r="S374" s="192" t="str">
        <f t="shared" si="54"/>
        <v/>
      </c>
      <c r="T374" s="193" t="str">
        <f t="shared" si="55"/>
        <v/>
      </c>
      <c r="U374" s="194" t="str">
        <f t="shared" si="56"/>
        <v/>
      </c>
      <c r="V374" s="195" t="str">
        <f t="shared" si="53"/>
        <v/>
      </c>
      <c r="W374" s="336" t="str">
        <f t="shared" si="57"/>
        <v/>
      </c>
      <c r="X374" s="338" t="str">
        <f t="shared" si="58"/>
        <v/>
      </c>
      <c r="Y374" s="274"/>
      <c r="AR374" t="str">
        <f t="shared" si="59"/>
        <v/>
      </c>
      <c r="AS374" t="str">
        <f t="shared" si="60"/>
        <v/>
      </c>
    </row>
    <row r="375" spans="1:45">
      <c r="A375" s="291"/>
      <c r="B375" s="292"/>
      <c r="C375" s="293"/>
      <c r="D375" s="293"/>
      <c r="E375" s="293"/>
      <c r="F375" s="293"/>
      <c r="G375" s="294"/>
      <c r="H375" s="300"/>
      <c r="I375" s="295"/>
      <c r="J375" s="295"/>
      <c r="K375" s="296"/>
      <c r="L375" s="301"/>
      <c r="M375" s="297"/>
      <c r="N375" s="298"/>
      <c r="P375" s="190" t="str">
        <f>IF(R375 = "", "", COUNT(R$4:$R375))</f>
        <v/>
      </c>
      <c r="Q375" s="190" t="str">
        <f t="shared" si="51"/>
        <v/>
      </c>
      <c r="R375" s="191" t="str">
        <f t="shared" si="52"/>
        <v/>
      </c>
      <c r="S375" s="192" t="str">
        <f t="shared" si="54"/>
        <v/>
      </c>
      <c r="T375" s="193" t="str">
        <f t="shared" si="55"/>
        <v/>
      </c>
      <c r="U375" s="194" t="str">
        <f t="shared" si="56"/>
        <v/>
      </c>
      <c r="V375" s="195" t="str">
        <f t="shared" si="53"/>
        <v/>
      </c>
      <c r="W375" s="336" t="str">
        <f t="shared" si="57"/>
        <v/>
      </c>
      <c r="X375" s="338" t="str">
        <f t="shared" si="58"/>
        <v/>
      </c>
      <c r="Y375" s="274"/>
      <c r="AR375" t="str">
        <f t="shared" si="59"/>
        <v/>
      </c>
      <c r="AS375" t="str">
        <f t="shared" si="60"/>
        <v/>
      </c>
    </row>
    <row r="376" spans="1:45">
      <c r="A376" s="291"/>
      <c r="B376" s="292"/>
      <c r="C376" s="293"/>
      <c r="D376" s="293"/>
      <c r="E376" s="293"/>
      <c r="F376" s="293"/>
      <c r="G376" s="294"/>
      <c r="H376" s="300"/>
      <c r="I376" s="295"/>
      <c r="J376" s="295"/>
      <c r="K376" s="296"/>
      <c r="L376" s="301"/>
      <c r="M376" s="297"/>
      <c r="N376" s="298"/>
      <c r="P376" s="190" t="str">
        <f>IF(R376 = "", "", COUNT(R$4:$R376))</f>
        <v/>
      </c>
      <c r="Q376" s="190" t="str">
        <f t="shared" si="51"/>
        <v/>
      </c>
      <c r="R376" s="191" t="str">
        <f t="shared" si="52"/>
        <v/>
      </c>
      <c r="S376" s="192" t="str">
        <f t="shared" si="54"/>
        <v/>
      </c>
      <c r="T376" s="193" t="str">
        <f t="shared" si="55"/>
        <v/>
      </c>
      <c r="U376" s="194" t="str">
        <f t="shared" si="56"/>
        <v/>
      </c>
      <c r="V376" s="195" t="str">
        <f t="shared" si="53"/>
        <v/>
      </c>
      <c r="W376" s="336" t="str">
        <f t="shared" si="57"/>
        <v/>
      </c>
      <c r="X376" s="338" t="str">
        <f t="shared" si="58"/>
        <v/>
      </c>
      <c r="Y376" s="274"/>
      <c r="AR376" t="str">
        <f t="shared" si="59"/>
        <v/>
      </c>
      <c r="AS376" t="str">
        <f t="shared" si="60"/>
        <v/>
      </c>
    </row>
    <row r="377" spans="1:45">
      <c r="A377" s="291"/>
      <c r="B377" s="292"/>
      <c r="C377" s="293"/>
      <c r="D377" s="293"/>
      <c r="E377" s="293"/>
      <c r="F377" s="293"/>
      <c r="G377" s="294"/>
      <c r="H377" s="300"/>
      <c r="I377" s="295"/>
      <c r="J377" s="295"/>
      <c r="K377" s="296"/>
      <c r="L377" s="301"/>
      <c r="M377" s="297"/>
      <c r="N377" s="298"/>
      <c r="P377" s="190" t="str">
        <f>IF(R377 = "", "", COUNT(R$4:$R377))</f>
        <v/>
      </c>
      <c r="Q377" s="190" t="str">
        <f t="shared" si="51"/>
        <v/>
      </c>
      <c r="R377" s="191" t="str">
        <f t="shared" si="52"/>
        <v/>
      </c>
      <c r="S377" s="192" t="str">
        <f t="shared" si="54"/>
        <v/>
      </c>
      <c r="T377" s="193" t="str">
        <f t="shared" si="55"/>
        <v/>
      </c>
      <c r="U377" s="194" t="str">
        <f t="shared" si="56"/>
        <v/>
      </c>
      <c r="V377" s="195" t="str">
        <f t="shared" si="53"/>
        <v/>
      </c>
      <c r="W377" s="336" t="str">
        <f t="shared" si="57"/>
        <v/>
      </c>
      <c r="X377" s="338" t="str">
        <f t="shared" si="58"/>
        <v/>
      </c>
      <c r="Y377" s="274"/>
      <c r="AR377" t="str">
        <f t="shared" si="59"/>
        <v/>
      </c>
      <c r="AS377" t="str">
        <f t="shared" si="60"/>
        <v/>
      </c>
    </row>
    <row r="378" spans="1:45">
      <c r="A378" s="291"/>
      <c r="B378" s="292"/>
      <c r="C378" s="293"/>
      <c r="D378" s="293"/>
      <c r="E378" s="293"/>
      <c r="F378" s="293"/>
      <c r="G378" s="294"/>
      <c r="H378" s="300"/>
      <c r="I378" s="295"/>
      <c r="J378" s="295"/>
      <c r="K378" s="296"/>
      <c r="L378" s="301"/>
      <c r="M378" s="297"/>
      <c r="N378" s="298"/>
      <c r="P378" s="190" t="str">
        <f>IF(R378 = "", "", COUNT(R$4:$R378))</f>
        <v/>
      </c>
      <c r="Q378" s="190" t="str">
        <f t="shared" si="51"/>
        <v/>
      </c>
      <c r="R378" s="191" t="str">
        <f t="shared" si="52"/>
        <v/>
      </c>
      <c r="S378" s="192" t="str">
        <f t="shared" si="54"/>
        <v/>
      </c>
      <c r="T378" s="193" t="str">
        <f t="shared" si="55"/>
        <v/>
      </c>
      <c r="U378" s="194" t="str">
        <f t="shared" si="56"/>
        <v/>
      </c>
      <c r="V378" s="195" t="str">
        <f t="shared" si="53"/>
        <v/>
      </c>
      <c r="W378" s="336" t="str">
        <f t="shared" si="57"/>
        <v/>
      </c>
      <c r="X378" s="338" t="str">
        <f t="shared" si="58"/>
        <v/>
      </c>
      <c r="Y378" s="274"/>
      <c r="AR378" t="str">
        <f t="shared" si="59"/>
        <v/>
      </c>
      <c r="AS378" t="str">
        <f t="shared" si="60"/>
        <v/>
      </c>
    </row>
    <row r="379" spans="1:45">
      <c r="A379" s="291"/>
      <c r="B379" s="292"/>
      <c r="C379" s="293"/>
      <c r="D379" s="293"/>
      <c r="E379" s="293"/>
      <c r="F379" s="293"/>
      <c r="G379" s="294"/>
      <c r="H379" s="300"/>
      <c r="I379" s="295"/>
      <c r="J379" s="295"/>
      <c r="K379" s="296"/>
      <c r="L379" s="301"/>
      <c r="M379" s="297"/>
      <c r="N379" s="298"/>
      <c r="P379" s="190" t="str">
        <f>IF(R379 = "", "", COUNT(R$4:$R379))</f>
        <v/>
      </c>
      <c r="Q379" s="190" t="str">
        <f t="shared" si="51"/>
        <v/>
      </c>
      <c r="R379" s="191" t="str">
        <f t="shared" si="52"/>
        <v/>
      </c>
      <c r="S379" s="192" t="str">
        <f t="shared" si="54"/>
        <v/>
      </c>
      <c r="T379" s="193" t="str">
        <f t="shared" si="55"/>
        <v/>
      </c>
      <c r="U379" s="194" t="str">
        <f t="shared" si="56"/>
        <v/>
      </c>
      <c r="V379" s="195" t="str">
        <f t="shared" si="53"/>
        <v/>
      </c>
      <c r="W379" s="336" t="str">
        <f t="shared" si="57"/>
        <v/>
      </c>
      <c r="X379" s="338" t="str">
        <f t="shared" si="58"/>
        <v/>
      </c>
      <c r="Y379" s="274"/>
      <c r="AR379" t="str">
        <f t="shared" si="59"/>
        <v/>
      </c>
      <c r="AS379" t="str">
        <f t="shared" si="60"/>
        <v/>
      </c>
    </row>
    <row r="380" spans="1:45">
      <c r="A380" s="291"/>
      <c r="B380" s="292"/>
      <c r="C380" s="293"/>
      <c r="D380" s="293"/>
      <c r="E380" s="293"/>
      <c r="F380" s="293"/>
      <c r="G380" s="294"/>
      <c r="H380" s="300"/>
      <c r="I380" s="295"/>
      <c r="J380" s="295"/>
      <c r="K380" s="296"/>
      <c r="L380" s="301"/>
      <c r="M380" s="297"/>
      <c r="N380" s="298"/>
      <c r="P380" s="190" t="str">
        <f>IF(R380 = "", "", COUNT(R$4:$R380))</f>
        <v/>
      </c>
      <c r="Q380" s="190" t="str">
        <f t="shared" si="51"/>
        <v/>
      </c>
      <c r="R380" s="191" t="str">
        <f t="shared" si="52"/>
        <v/>
      </c>
      <c r="S380" s="192" t="str">
        <f t="shared" si="54"/>
        <v/>
      </c>
      <c r="T380" s="193" t="str">
        <f t="shared" si="55"/>
        <v/>
      </c>
      <c r="U380" s="194" t="str">
        <f t="shared" si="56"/>
        <v/>
      </c>
      <c r="V380" s="195" t="str">
        <f t="shared" si="53"/>
        <v/>
      </c>
      <c r="W380" s="336" t="str">
        <f t="shared" si="57"/>
        <v/>
      </c>
      <c r="X380" s="338" t="str">
        <f t="shared" si="58"/>
        <v/>
      </c>
      <c r="Y380" s="274"/>
      <c r="AR380" t="str">
        <f t="shared" si="59"/>
        <v/>
      </c>
      <c r="AS380" t="str">
        <f t="shared" si="60"/>
        <v/>
      </c>
    </row>
    <row r="381" spans="1:45">
      <c r="A381" s="291"/>
      <c r="B381" s="292"/>
      <c r="C381" s="293"/>
      <c r="D381" s="293"/>
      <c r="E381" s="293"/>
      <c r="F381" s="293"/>
      <c r="G381" s="294"/>
      <c r="H381" s="300"/>
      <c r="I381" s="295"/>
      <c r="J381" s="295"/>
      <c r="K381" s="296"/>
      <c r="L381" s="301"/>
      <c r="M381" s="297"/>
      <c r="N381" s="298"/>
      <c r="P381" s="190" t="str">
        <f>IF(R381 = "", "", COUNT(R$4:$R381))</f>
        <v/>
      </c>
      <c r="Q381" s="190" t="str">
        <f t="shared" si="51"/>
        <v/>
      </c>
      <c r="R381" s="191" t="str">
        <f t="shared" si="52"/>
        <v/>
      </c>
      <c r="S381" s="192" t="str">
        <f t="shared" si="54"/>
        <v/>
      </c>
      <c r="T381" s="193" t="str">
        <f t="shared" si="55"/>
        <v/>
      </c>
      <c r="U381" s="194" t="str">
        <f t="shared" si="56"/>
        <v/>
      </c>
      <c r="V381" s="195" t="str">
        <f t="shared" si="53"/>
        <v/>
      </c>
      <c r="W381" s="336" t="str">
        <f t="shared" si="57"/>
        <v/>
      </c>
      <c r="X381" s="338" t="str">
        <f t="shared" si="58"/>
        <v/>
      </c>
      <c r="Y381" s="274"/>
      <c r="AR381" t="str">
        <f t="shared" si="59"/>
        <v/>
      </c>
      <c r="AS381" t="str">
        <f t="shared" si="60"/>
        <v/>
      </c>
    </row>
    <row r="382" spans="1:45">
      <c r="A382" s="291"/>
      <c r="B382" s="292"/>
      <c r="C382" s="293"/>
      <c r="D382" s="293"/>
      <c r="E382" s="293"/>
      <c r="F382" s="293"/>
      <c r="G382" s="294"/>
      <c r="H382" s="300"/>
      <c r="I382" s="295"/>
      <c r="J382" s="295"/>
      <c r="K382" s="296"/>
      <c r="L382" s="301"/>
      <c r="M382" s="297"/>
      <c r="N382" s="298"/>
      <c r="P382" s="190" t="str">
        <f>IF(R382 = "", "", COUNT(R$4:$R382))</f>
        <v/>
      </c>
      <c r="Q382" s="190" t="str">
        <f t="shared" si="51"/>
        <v/>
      </c>
      <c r="R382" s="191" t="str">
        <f t="shared" si="52"/>
        <v/>
      </c>
      <c r="S382" s="192" t="str">
        <f t="shared" si="54"/>
        <v/>
      </c>
      <c r="T382" s="193" t="str">
        <f t="shared" si="55"/>
        <v/>
      </c>
      <c r="U382" s="194" t="str">
        <f t="shared" si="56"/>
        <v/>
      </c>
      <c r="V382" s="195" t="str">
        <f t="shared" si="53"/>
        <v/>
      </c>
      <c r="W382" s="336" t="str">
        <f t="shared" si="57"/>
        <v/>
      </c>
      <c r="X382" s="338" t="str">
        <f t="shared" si="58"/>
        <v/>
      </c>
      <c r="Y382" s="274"/>
      <c r="AR382" t="str">
        <f t="shared" si="59"/>
        <v/>
      </c>
      <c r="AS382" t="str">
        <f t="shared" si="60"/>
        <v/>
      </c>
    </row>
    <row r="383" spans="1:45">
      <c r="A383" s="291"/>
      <c r="B383" s="292"/>
      <c r="C383" s="293"/>
      <c r="D383" s="293"/>
      <c r="E383" s="293"/>
      <c r="F383" s="293"/>
      <c r="G383" s="294"/>
      <c r="H383" s="300"/>
      <c r="I383" s="295"/>
      <c r="J383" s="295"/>
      <c r="K383" s="296"/>
      <c r="L383" s="301"/>
      <c r="M383" s="297"/>
      <c r="N383" s="298"/>
      <c r="P383" s="190" t="str">
        <f>IF(R383 = "", "", COUNT(R$4:$R383))</f>
        <v/>
      </c>
      <c r="Q383" s="190" t="str">
        <f t="shared" si="51"/>
        <v/>
      </c>
      <c r="R383" s="191" t="str">
        <f t="shared" si="52"/>
        <v/>
      </c>
      <c r="S383" s="192" t="str">
        <f t="shared" si="54"/>
        <v/>
      </c>
      <c r="T383" s="193" t="str">
        <f t="shared" si="55"/>
        <v/>
      </c>
      <c r="U383" s="194" t="str">
        <f t="shared" si="56"/>
        <v/>
      </c>
      <c r="V383" s="195" t="str">
        <f t="shared" si="53"/>
        <v/>
      </c>
      <c r="W383" s="336" t="str">
        <f t="shared" si="57"/>
        <v/>
      </c>
      <c r="X383" s="338" t="str">
        <f t="shared" si="58"/>
        <v/>
      </c>
      <c r="Y383" s="274"/>
      <c r="AR383" t="str">
        <f t="shared" si="59"/>
        <v/>
      </c>
      <c r="AS383" t="str">
        <f t="shared" si="60"/>
        <v/>
      </c>
    </row>
    <row r="384" spans="1:45">
      <c r="A384" s="291"/>
      <c r="B384" s="292"/>
      <c r="C384" s="293"/>
      <c r="D384" s="293"/>
      <c r="E384" s="293"/>
      <c r="F384" s="293"/>
      <c r="G384" s="294"/>
      <c r="H384" s="300"/>
      <c r="I384" s="295"/>
      <c r="J384" s="295"/>
      <c r="K384" s="296"/>
      <c r="L384" s="301"/>
      <c r="M384" s="297"/>
      <c r="N384" s="298"/>
      <c r="P384" s="190" t="str">
        <f>IF(R384 = "", "", COUNT(R$4:$R384))</f>
        <v/>
      </c>
      <c r="Q384" s="190" t="str">
        <f t="shared" si="51"/>
        <v/>
      </c>
      <c r="R384" s="191" t="str">
        <f t="shared" si="52"/>
        <v/>
      </c>
      <c r="S384" s="192" t="str">
        <f t="shared" si="54"/>
        <v/>
      </c>
      <c r="T384" s="193" t="str">
        <f t="shared" si="55"/>
        <v/>
      </c>
      <c r="U384" s="194" t="str">
        <f t="shared" si="56"/>
        <v/>
      </c>
      <c r="V384" s="195" t="str">
        <f t="shared" si="53"/>
        <v/>
      </c>
      <c r="W384" s="336" t="str">
        <f t="shared" si="57"/>
        <v/>
      </c>
      <c r="X384" s="338" t="str">
        <f t="shared" si="58"/>
        <v/>
      </c>
      <c r="Y384" s="274"/>
      <c r="AR384" t="str">
        <f t="shared" si="59"/>
        <v/>
      </c>
      <c r="AS384" t="str">
        <f t="shared" si="60"/>
        <v/>
      </c>
    </row>
    <row r="385" spans="1:45">
      <c r="A385" s="291"/>
      <c r="B385" s="292"/>
      <c r="C385" s="293"/>
      <c r="D385" s="293"/>
      <c r="E385" s="293"/>
      <c r="F385" s="293"/>
      <c r="G385" s="294"/>
      <c r="H385" s="300"/>
      <c r="I385" s="295"/>
      <c r="J385" s="295"/>
      <c r="K385" s="296"/>
      <c r="L385" s="301"/>
      <c r="M385" s="297"/>
      <c r="N385" s="298"/>
      <c r="P385" s="190" t="str">
        <f>IF(R385 = "", "", COUNT(R$4:$R385))</f>
        <v/>
      </c>
      <c r="Q385" s="190" t="str">
        <f t="shared" si="51"/>
        <v/>
      </c>
      <c r="R385" s="191" t="str">
        <f t="shared" si="52"/>
        <v/>
      </c>
      <c r="S385" s="192" t="str">
        <f t="shared" si="54"/>
        <v/>
      </c>
      <c r="T385" s="193" t="str">
        <f t="shared" si="55"/>
        <v/>
      </c>
      <c r="U385" s="194" t="str">
        <f t="shared" si="56"/>
        <v/>
      </c>
      <c r="V385" s="195" t="str">
        <f t="shared" si="53"/>
        <v/>
      </c>
      <c r="W385" s="336" t="str">
        <f t="shared" si="57"/>
        <v/>
      </c>
      <c r="X385" s="338" t="str">
        <f t="shared" si="58"/>
        <v/>
      </c>
      <c r="Y385" s="274"/>
      <c r="AR385" t="str">
        <f t="shared" si="59"/>
        <v/>
      </c>
      <c r="AS385" t="str">
        <f t="shared" si="60"/>
        <v/>
      </c>
    </row>
    <row r="386" spans="1:45">
      <c r="A386" s="291"/>
      <c r="B386" s="292"/>
      <c r="C386" s="293"/>
      <c r="D386" s="293"/>
      <c r="E386" s="293"/>
      <c r="F386" s="293"/>
      <c r="G386" s="294"/>
      <c r="H386" s="300"/>
      <c r="I386" s="295"/>
      <c r="J386" s="295"/>
      <c r="K386" s="296"/>
      <c r="L386" s="301"/>
      <c r="M386" s="297"/>
      <c r="N386" s="298"/>
      <c r="P386" s="190" t="str">
        <f>IF(R386 = "", "", COUNT(R$4:$R386))</f>
        <v/>
      </c>
      <c r="Q386" s="190" t="str">
        <f t="shared" si="51"/>
        <v/>
      </c>
      <c r="R386" s="191" t="str">
        <f t="shared" si="52"/>
        <v/>
      </c>
      <c r="S386" s="192" t="str">
        <f t="shared" si="54"/>
        <v/>
      </c>
      <c r="T386" s="193" t="str">
        <f t="shared" si="55"/>
        <v/>
      </c>
      <c r="U386" s="194" t="str">
        <f t="shared" si="56"/>
        <v/>
      </c>
      <c r="V386" s="195" t="str">
        <f t="shared" si="53"/>
        <v/>
      </c>
      <c r="W386" s="336" t="str">
        <f t="shared" si="57"/>
        <v/>
      </c>
      <c r="X386" s="338" t="str">
        <f t="shared" si="58"/>
        <v/>
      </c>
      <c r="Y386" s="274"/>
      <c r="AR386" t="str">
        <f t="shared" si="59"/>
        <v/>
      </c>
      <c r="AS386" t="str">
        <f t="shared" si="60"/>
        <v/>
      </c>
    </row>
    <row r="387" spans="1:45">
      <c r="A387" s="291"/>
      <c r="B387" s="292"/>
      <c r="C387" s="293"/>
      <c r="D387" s="293"/>
      <c r="E387" s="293"/>
      <c r="F387" s="293"/>
      <c r="G387" s="294"/>
      <c r="H387" s="300"/>
      <c r="I387" s="295"/>
      <c r="J387" s="295"/>
      <c r="K387" s="296"/>
      <c r="L387" s="301"/>
      <c r="M387" s="297"/>
      <c r="N387" s="298"/>
      <c r="P387" s="190" t="str">
        <f>IF(R387 = "", "", COUNT(R$4:$R387))</f>
        <v/>
      </c>
      <c r="Q387" s="190" t="str">
        <f t="shared" si="51"/>
        <v/>
      </c>
      <c r="R387" s="191" t="str">
        <f t="shared" si="52"/>
        <v/>
      </c>
      <c r="S387" s="192" t="str">
        <f t="shared" si="54"/>
        <v/>
      </c>
      <c r="T387" s="193" t="str">
        <f t="shared" si="55"/>
        <v/>
      </c>
      <c r="U387" s="194" t="str">
        <f t="shared" si="56"/>
        <v/>
      </c>
      <c r="V387" s="195" t="str">
        <f t="shared" si="53"/>
        <v/>
      </c>
      <c r="W387" s="336" t="str">
        <f t="shared" si="57"/>
        <v/>
      </c>
      <c r="X387" s="338" t="str">
        <f t="shared" si="58"/>
        <v/>
      </c>
      <c r="Y387" s="274"/>
      <c r="AR387" t="str">
        <f t="shared" si="59"/>
        <v/>
      </c>
      <c r="AS387" t="str">
        <f t="shared" si="60"/>
        <v/>
      </c>
    </row>
    <row r="388" spans="1:45">
      <c r="A388" s="291"/>
      <c r="B388" s="292"/>
      <c r="C388" s="293"/>
      <c r="D388" s="293"/>
      <c r="E388" s="293"/>
      <c r="F388" s="293"/>
      <c r="G388" s="294"/>
      <c r="H388" s="300"/>
      <c r="I388" s="295"/>
      <c r="J388" s="295"/>
      <c r="K388" s="296"/>
      <c r="L388" s="301"/>
      <c r="M388" s="297"/>
      <c r="N388" s="298"/>
      <c r="P388" s="190" t="str">
        <f>IF(R388 = "", "", COUNT(R$4:$R388))</f>
        <v/>
      </c>
      <c r="Q388" s="190" t="str">
        <f t="shared" ref="Q388:Q451" si="61">IF(C388 &gt; 0, YEAR(B388), "")</f>
        <v/>
      </c>
      <c r="R388" s="191" t="str">
        <f t="shared" ref="R388:R451" si="62">IF(A388="", "", IF(G388="",1,IF(G388="O",1,IF(G388="C",8.4,IF(G388="B",8.4,IF(G388="A",76.8,IF(G388="K",76.8,"ERR")))))))</f>
        <v/>
      </c>
      <c r="S388" s="192" t="str">
        <f t="shared" si="54"/>
        <v/>
      </c>
      <c r="T388" s="193" t="str">
        <f t="shared" si="55"/>
        <v/>
      </c>
      <c r="U388" s="194" t="str">
        <f t="shared" si="56"/>
        <v/>
      </c>
      <c r="V388" s="195" t="str">
        <f t="shared" ref="V388:V451" si="63">IF(IF(M388&lt;&gt;"",G388,"")=0, "O", IF(M388&lt;&gt;"",G388,""))</f>
        <v/>
      </c>
      <c r="W388" s="336" t="str">
        <f t="shared" si="57"/>
        <v/>
      </c>
      <c r="X388" s="338" t="str">
        <f t="shared" si="58"/>
        <v/>
      </c>
      <c r="Y388" s="274"/>
      <c r="AR388" t="str">
        <f t="shared" si="59"/>
        <v/>
      </c>
      <c r="AS388" t="str">
        <f t="shared" si="60"/>
        <v/>
      </c>
    </row>
    <row r="389" spans="1:45">
      <c r="A389" s="291"/>
      <c r="B389" s="292"/>
      <c r="C389" s="293"/>
      <c r="D389" s="293"/>
      <c r="E389" s="293"/>
      <c r="F389" s="293"/>
      <c r="G389" s="294"/>
      <c r="H389" s="300"/>
      <c r="I389" s="295"/>
      <c r="J389" s="295"/>
      <c r="K389" s="296"/>
      <c r="L389" s="301"/>
      <c r="M389" s="297"/>
      <c r="N389" s="298"/>
      <c r="P389" s="190" t="str">
        <f>IF(R389 = "", "", COUNT(R$4:$R389))</f>
        <v/>
      </c>
      <c r="Q389" s="190" t="str">
        <f t="shared" si="61"/>
        <v/>
      </c>
      <c r="R389" s="191" t="str">
        <f t="shared" si="62"/>
        <v/>
      </c>
      <c r="S389" s="192" t="str">
        <f t="shared" ref="S389:S452" si="64">IF(L389&lt;&gt;"",R389,"")</f>
        <v/>
      </c>
      <c r="T389" s="193" t="str">
        <f t="shared" ref="T389:T452" si="65">IF(IF(L389&lt;&gt;"",G389,"")=0, "O", IF(L389&lt;&gt;"",G389,""))</f>
        <v/>
      </c>
      <c r="U389" s="194" t="str">
        <f t="shared" ref="U389:U452" si="66">IF(M389&lt;&gt;"",R389,"")</f>
        <v/>
      </c>
      <c r="V389" s="195" t="str">
        <f t="shared" si="63"/>
        <v/>
      </c>
      <c r="W389" s="336" t="str">
        <f t="shared" ref="W389:W452" si="67">IF(N389&lt;&gt;"",R389,"")</f>
        <v/>
      </c>
      <c r="X389" s="338" t="str">
        <f t="shared" ref="X389:X452" si="68">IF(IF(N389&lt;&gt;"",G389,"")=0, "O", IF(N389&lt;&gt;"",G389,""))</f>
        <v/>
      </c>
      <c r="Y389" s="274"/>
      <c r="AR389" t="str">
        <f t="shared" ref="AR389:AR452" si="69">IF(P389&gt;0, P389, "")</f>
        <v/>
      </c>
      <c r="AS389" t="str">
        <f t="shared" ref="AS389:AS452" si="70">IF(OR(L389="Y",M389="Y",N389="Y"),"Y","")</f>
        <v/>
      </c>
    </row>
    <row r="390" spans="1:45">
      <c r="A390" s="291"/>
      <c r="B390" s="292"/>
      <c r="C390" s="293"/>
      <c r="D390" s="293"/>
      <c r="E390" s="293"/>
      <c r="F390" s="293"/>
      <c r="G390" s="294"/>
      <c r="H390" s="300"/>
      <c r="I390" s="295"/>
      <c r="J390" s="295"/>
      <c r="K390" s="296"/>
      <c r="L390" s="301"/>
      <c r="M390" s="297"/>
      <c r="N390" s="298"/>
      <c r="P390" s="190" t="str">
        <f>IF(R390 = "", "", COUNT(R$4:$R390))</f>
        <v/>
      </c>
      <c r="Q390" s="190" t="str">
        <f t="shared" si="61"/>
        <v/>
      </c>
      <c r="R390" s="191" t="str">
        <f t="shared" si="62"/>
        <v/>
      </c>
      <c r="S390" s="192" t="str">
        <f t="shared" si="64"/>
        <v/>
      </c>
      <c r="T390" s="193" t="str">
        <f t="shared" si="65"/>
        <v/>
      </c>
      <c r="U390" s="194" t="str">
        <f t="shared" si="66"/>
        <v/>
      </c>
      <c r="V390" s="195" t="str">
        <f t="shared" si="63"/>
        <v/>
      </c>
      <c r="W390" s="336" t="str">
        <f t="shared" si="67"/>
        <v/>
      </c>
      <c r="X390" s="338" t="str">
        <f t="shared" si="68"/>
        <v/>
      </c>
      <c r="Y390" s="274"/>
      <c r="AR390" t="str">
        <f t="shared" si="69"/>
        <v/>
      </c>
      <c r="AS390" t="str">
        <f t="shared" si="70"/>
        <v/>
      </c>
    </row>
    <row r="391" spans="1:45">
      <c r="A391" s="291"/>
      <c r="B391" s="292"/>
      <c r="C391" s="293"/>
      <c r="D391" s="293"/>
      <c r="E391" s="293"/>
      <c r="F391" s="293"/>
      <c r="G391" s="294"/>
      <c r="H391" s="300"/>
      <c r="I391" s="295"/>
      <c r="J391" s="295"/>
      <c r="K391" s="296"/>
      <c r="L391" s="301"/>
      <c r="M391" s="297"/>
      <c r="N391" s="298"/>
      <c r="P391" s="190" t="str">
        <f>IF(R391 = "", "", COUNT(R$4:$R391))</f>
        <v/>
      </c>
      <c r="Q391" s="190" t="str">
        <f t="shared" si="61"/>
        <v/>
      </c>
      <c r="R391" s="191" t="str">
        <f t="shared" si="62"/>
        <v/>
      </c>
      <c r="S391" s="192" t="str">
        <f t="shared" si="64"/>
        <v/>
      </c>
      <c r="T391" s="193" t="str">
        <f t="shared" si="65"/>
        <v/>
      </c>
      <c r="U391" s="194" t="str">
        <f t="shared" si="66"/>
        <v/>
      </c>
      <c r="V391" s="195" t="str">
        <f t="shared" si="63"/>
        <v/>
      </c>
      <c r="W391" s="336" t="str">
        <f t="shared" si="67"/>
        <v/>
      </c>
      <c r="X391" s="338" t="str">
        <f t="shared" si="68"/>
        <v/>
      </c>
      <c r="Y391" s="274"/>
      <c r="AR391" t="str">
        <f t="shared" si="69"/>
        <v/>
      </c>
      <c r="AS391" t="str">
        <f t="shared" si="70"/>
        <v/>
      </c>
    </row>
    <row r="392" spans="1:45">
      <c r="A392" s="291"/>
      <c r="B392" s="292"/>
      <c r="C392" s="293"/>
      <c r="D392" s="293"/>
      <c r="E392" s="293"/>
      <c r="F392" s="293"/>
      <c r="G392" s="294"/>
      <c r="H392" s="300"/>
      <c r="I392" s="295"/>
      <c r="J392" s="295"/>
      <c r="K392" s="296"/>
      <c r="L392" s="301"/>
      <c r="M392" s="297"/>
      <c r="N392" s="298"/>
      <c r="P392" s="190" t="str">
        <f>IF(R392 = "", "", COUNT(R$4:$R392))</f>
        <v/>
      </c>
      <c r="Q392" s="190" t="str">
        <f t="shared" si="61"/>
        <v/>
      </c>
      <c r="R392" s="191" t="str">
        <f t="shared" si="62"/>
        <v/>
      </c>
      <c r="S392" s="192" t="str">
        <f t="shared" si="64"/>
        <v/>
      </c>
      <c r="T392" s="193" t="str">
        <f t="shared" si="65"/>
        <v/>
      </c>
      <c r="U392" s="194" t="str">
        <f t="shared" si="66"/>
        <v/>
      </c>
      <c r="V392" s="195" t="str">
        <f t="shared" si="63"/>
        <v/>
      </c>
      <c r="W392" s="336" t="str">
        <f t="shared" si="67"/>
        <v/>
      </c>
      <c r="X392" s="338" t="str">
        <f t="shared" si="68"/>
        <v/>
      </c>
      <c r="Y392" s="274"/>
      <c r="AR392" t="str">
        <f t="shared" si="69"/>
        <v/>
      </c>
      <c r="AS392" t="str">
        <f t="shared" si="70"/>
        <v/>
      </c>
    </row>
    <row r="393" spans="1:45">
      <c r="A393" s="291"/>
      <c r="B393" s="292"/>
      <c r="C393" s="293"/>
      <c r="D393" s="293"/>
      <c r="E393" s="293"/>
      <c r="F393" s="293"/>
      <c r="G393" s="294"/>
      <c r="H393" s="300"/>
      <c r="I393" s="295"/>
      <c r="J393" s="295"/>
      <c r="K393" s="296"/>
      <c r="L393" s="301"/>
      <c r="M393" s="297"/>
      <c r="N393" s="298"/>
      <c r="P393" s="190" t="str">
        <f>IF(R393 = "", "", COUNT(R$4:$R393))</f>
        <v/>
      </c>
      <c r="Q393" s="190" t="str">
        <f t="shared" si="61"/>
        <v/>
      </c>
      <c r="R393" s="191" t="str">
        <f t="shared" si="62"/>
        <v/>
      </c>
      <c r="S393" s="192" t="str">
        <f t="shared" si="64"/>
        <v/>
      </c>
      <c r="T393" s="193" t="str">
        <f t="shared" si="65"/>
        <v/>
      </c>
      <c r="U393" s="194" t="str">
        <f t="shared" si="66"/>
        <v/>
      </c>
      <c r="V393" s="195" t="str">
        <f t="shared" si="63"/>
        <v/>
      </c>
      <c r="W393" s="336" t="str">
        <f t="shared" si="67"/>
        <v/>
      </c>
      <c r="X393" s="338" t="str">
        <f t="shared" si="68"/>
        <v/>
      </c>
      <c r="Y393" s="274"/>
      <c r="AR393" t="str">
        <f t="shared" si="69"/>
        <v/>
      </c>
      <c r="AS393" t="str">
        <f t="shared" si="70"/>
        <v/>
      </c>
    </row>
    <row r="394" spans="1:45">
      <c r="A394" s="291"/>
      <c r="B394" s="292"/>
      <c r="C394" s="293"/>
      <c r="D394" s="293"/>
      <c r="E394" s="293"/>
      <c r="F394" s="293"/>
      <c r="G394" s="294"/>
      <c r="H394" s="300"/>
      <c r="I394" s="295"/>
      <c r="J394" s="295"/>
      <c r="K394" s="296"/>
      <c r="L394" s="301"/>
      <c r="M394" s="297"/>
      <c r="N394" s="298"/>
      <c r="P394" s="190" t="str">
        <f>IF(R394 = "", "", COUNT(R$4:$R394))</f>
        <v/>
      </c>
      <c r="Q394" s="190" t="str">
        <f t="shared" si="61"/>
        <v/>
      </c>
      <c r="R394" s="191" t="str">
        <f t="shared" si="62"/>
        <v/>
      </c>
      <c r="S394" s="192" t="str">
        <f t="shared" si="64"/>
        <v/>
      </c>
      <c r="T394" s="193" t="str">
        <f t="shared" si="65"/>
        <v/>
      </c>
      <c r="U394" s="194" t="str">
        <f t="shared" si="66"/>
        <v/>
      </c>
      <c r="V394" s="195" t="str">
        <f t="shared" si="63"/>
        <v/>
      </c>
      <c r="W394" s="336" t="str">
        <f t="shared" si="67"/>
        <v/>
      </c>
      <c r="X394" s="338" t="str">
        <f t="shared" si="68"/>
        <v/>
      </c>
      <c r="Y394" s="274"/>
      <c r="AR394" t="str">
        <f t="shared" si="69"/>
        <v/>
      </c>
      <c r="AS394" t="str">
        <f t="shared" si="70"/>
        <v/>
      </c>
    </row>
    <row r="395" spans="1:45">
      <c r="A395" s="291"/>
      <c r="B395" s="292"/>
      <c r="C395" s="293"/>
      <c r="D395" s="293"/>
      <c r="E395" s="293"/>
      <c r="F395" s="293"/>
      <c r="G395" s="294"/>
      <c r="H395" s="300"/>
      <c r="I395" s="295"/>
      <c r="J395" s="295"/>
      <c r="K395" s="296"/>
      <c r="L395" s="301"/>
      <c r="M395" s="297"/>
      <c r="N395" s="298"/>
      <c r="P395" s="190" t="str">
        <f>IF(R395 = "", "", COUNT(R$4:$R395))</f>
        <v/>
      </c>
      <c r="Q395" s="190" t="str">
        <f t="shared" si="61"/>
        <v/>
      </c>
      <c r="R395" s="191" t="str">
        <f t="shared" si="62"/>
        <v/>
      </c>
      <c r="S395" s="192" t="str">
        <f t="shared" si="64"/>
        <v/>
      </c>
      <c r="T395" s="193" t="str">
        <f t="shared" si="65"/>
        <v/>
      </c>
      <c r="U395" s="194" t="str">
        <f t="shared" si="66"/>
        <v/>
      </c>
      <c r="V395" s="195" t="str">
        <f t="shared" si="63"/>
        <v/>
      </c>
      <c r="W395" s="336" t="str">
        <f t="shared" si="67"/>
        <v/>
      </c>
      <c r="X395" s="338" t="str">
        <f t="shared" si="68"/>
        <v/>
      </c>
      <c r="Y395" s="274"/>
      <c r="AR395" t="str">
        <f t="shared" si="69"/>
        <v/>
      </c>
      <c r="AS395" t="str">
        <f t="shared" si="70"/>
        <v/>
      </c>
    </row>
    <row r="396" spans="1:45">
      <c r="A396" s="291"/>
      <c r="B396" s="292"/>
      <c r="C396" s="293"/>
      <c r="D396" s="293"/>
      <c r="E396" s="293"/>
      <c r="F396" s="293"/>
      <c r="G396" s="294"/>
      <c r="H396" s="300"/>
      <c r="I396" s="295"/>
      <c r="J396" s="295"/>
      <c r="K396" s="296"/>
      <c r="L396" s="301"/>
      <c r="M396" s="297"/>
      <c r="N396" s="298"/>
      <c r="P396" s="190" t="str">
        <f>IF(R396 = "", "", COUNT(R$4:$R396))</f>
        <v/>
      </c>
      <c r="Q396" s="190" t="str">
        <f t="shared" si="61"/>
        <v/>
      </c>
      <c r="R396" s="191" t="str">
        <f t="shared" si="62"/>
        <v/>
      </c>
      <c r="S396" s="192" t="str">
        <f t="shared" si="64"/>
        <v/>
      </c>
      <c r="T396" s="193" t="str">
        <f t="shared" si="65"/>
        <v/>
      </c>
      <c r="U396" s="194" t="str">
        <f t="shared" si="66"/>
        <v/>
      </c>
      <c r="V396" s="195" t="str">
        <f t="shared" si="63"/>
        <v/>
      </c>
      <c r="W396" s="336" t="str">
        <f t="shared" si="67"/>
        <v/>
      </c>
      <c r="X396" s="338" t="str">
        <f t="shared" si="68"/>
        <v/>
      </c>
      <c r="Y396" s="274"/>
      <c r="AR396" t="str">
        <f t="shared" si="69"/>
        <v/>
      </c>
      <c r="AS396" t="str">
        <f t="shared" si="70"/>
        <v/>
      </c>
    </row>
    <row r="397" spans="1:45">
      <c r="A397" s="291"/>
      <c r="B397" s="292"/>
      <c r="C397" s="293"/>
      <c r="D397" s="293"/>
      <c r="E397" s="293"/>
      <c r="F397" s="293"/>
      <c r="G397" s="294"/>
      <c r="H397" s="300"/>
      <c r="I397" s="295"/>
      <c r="J397" s="295"/>
      <c r="K397" s="296"/>
      <c r="L397" s="301"/>
      <c r="M397" s="297"/>
      <c r="N397" s="298"/>
      <c r="P397" s="190" t="str">
        <f>IF(R397 = "", "", COUNT(R$4:$R397))</f>
        <v/>
      </c>
      <c r="Q397" s="190" t="str">
        <f t="shared" si="61"/>
        <v/>
      </c>
      <c r="R397" s="191" t="str">
        <f t="shared" si="62"/>
        <v/>
      </c>
      <c r="S397" s="192" t="str">
        <f t="shared" si="64"/>
        <v/>
      </c>
      <c r="T397" s="193" t="str">
        <f t="shared" si="65"/>
        <v/>
      </c>
      <c r="U397" s="194" t="str">
        <f t="shared" si="66"/>
        <v/>
      </c>
      <c r="V397" s="195" t="str">
        <f t="shared" si="63"/>
        <v/>
      </c>
      <c r="W397" s="336" t="str">
        <f t="shared" si="67"/>
        <v/>
      </c>
      <c r="X397" s="338" t="str">
        <f t="shared" si="68"/>
        <v/>
      </c>
      <c r="Y397" s="274"/>
      <c r="AR397" t="str">
        <f t="shared" si="69"/>
        <v/>
      </c>
      <c r="AS397" t="str">
        <f t="shared" si="70"/>
        <v/>
      </c>
    </row>
    <row r="398" spans="1:45">
      <c r="A398" s="291"/>
      <c r="B398" s="292"/>
      <c r="C398" s="293"/>
      <c r="D398" s="293"/>
      <c r="E398" s="293"/>
      <c r="F398" s="293"/>
      <c r="G398" s="294"/>
      <c r="H398" s="300"/>
      <c r="I398" s="295"/>
      <c r="J398" s="295"/>
      <c r="K398" s="296"/>
      <c r="L398" s="301"/>
      <c r="M398" s="297"/>
      <c r="N398" s="298"/>
      <c r="P398" s="190" t="str">
        <f>IF(R398 = "", "", COUNT(R$4:$R398))</f>
        <v/>
      </c>
      <c r="Q398" s="190" t="str">
        <f t="shared" si="61"/>
        <v/>
      </c>
      <c r="R398" s="191" t="str">
        <f t="shared" si="62"/>
        <v/>
      </c>
      <c r="S398" s="192" t="str">
        <f t="shared" si="64"/>
        <v/>
      </c>
      <c r="T398" s="193" t="str">
        <f t="shared" si="65"/>
        <v/>
      </c>
      <c r="U398" s="194" t="str">
        <f t="shared" si="66"/>
        <v/>
      </c>
      <c r="V398" s="195" t="str">
        <f t="shared" si="63"/>
        <v/>
      </c>
      <c r="W398" s="336" t="str">
        <f t="shared" si="67"/>
        <v/>
      </c>
      <c r="X398" s="338" t="str">
        <f t="shared" si="68"/>
        <v/>
      </c>
      <c r="Y398" s="274"/>
      <c r="AR398" t="str">
        <f t="shared" si="69"/>
        <v/>
      </c>
      <c r="AS398" t="str">
        <f t="shared" si="70"/>
        <v/>
      </c>
    </row>
    <row r="399" spans="1:45">
      <c r="A399" s="291"/>
      <c r="B399" s="292"/>
      <c r="C399" s="293"/>
      <c r="D399" s="293"/>
      <c r="E399" s="293"/>
      <c r="F399" s="293"/>
      <c r="G399" s="294"/>
      <c r="H399" s="300"/>
      <c r="I399" s="295"/>
      <c r="J399" s="295"/>
      <c r="K399" s="296"/>
      <c r="L399" s="301"/>
      <c r="M399" s="297"/>
      <c r="N399" s="298"/>
      <c r="P399" s="190" t="str">
        <f>IF(R399 = "", "", COUNT(R$4:$R399))</f>
        <v/>
      </c>
      <c r="Q399" s="190" t="str">
        <f t="shared" si="61"/>
        <v/>
      </c>
      <c r="R399" s="191" t="str">
        <f t="shared" si="62"/>
        <v/>
      </c>
      <c r="S399" s="192" t="str">
        <f t="shared" si="64"/>
        <v/>
      </c>
      <c r="T399" s="193" t="str">
        <f t="shared" si="65"/>
        <v/>
      </c>
      <c r="U399" s="194" t="str">
        <f t="shared" si="66"/>
        <v/>
      </c>
      <c r="V399" s="195" t="str">
        <f t="shared" si="63"/>
        <v/>
      </c>
      <c r="W399" s="336" t="str">
        <f t="shared" si="67"/>
        <v/>
      </c>
      <c r="X399" s="338" t="str">
        <f t="shared" si="68"/>
        <v/>
      </c>
      <c r="Y399" s="274"/>
      <c r="AR399" t="str">
        <f t="shared" si="69"/>
        <v/>
      </c>
      <c r="AS399" t="str">
        <f t="shared" si="70"/>
        <v/>
      </c>
    </row>
    <row r="400" spans="1:45">
      <c r="A400" s="291"/>
      <c r="B400" s="292"/>
      <c r="C400" s="293"/>
      <c r="D400" s="293"/>
      <c r="E400" s="293"/>
      <c r="F400" s="293"/>
      <c r="G400" s="294"/>
      <c r="H400" s="300"/>
      <c r="I400" s="295"/>
      <c r="J400" s="295"/>
      <c r="K400" s="296"/>
      <c r="L400" s="301"/>
      <c r="M400" s="297"/>
      <c r="N400" s="298"/>
      <c r="P400" s="190" t="str">
        <f>IF(R400 = "", "", COUNT(R$4:$R400))</f>
        <v/>
      </c>
      <c r="Q400" s="190" t="str">
        <f t="shared" si="61"/>
        <v/>
      </c>
      <c r="R400" s="191" t="str">
        <f t="shared" si="62"/>
        <v/>
      </c>
      <c r="S400" s="192" t="str">
        <f t="shared" si="64"/>
        <v/>
      </c>
      <c r="T400" s="193" t="str">
        <f t="shared" si="65"/>
        <v/>
      </c>
      <c r="U400" s="194" t="str">
        <f t="shared" si="66"/>
        <v/>
      </c>
      <c r="V400" s="195" t="str">
        <f t="shared" si="63"/>
        <v/>
      </c>
      <c r="W400" s="336" t="str">
        <f t="shared" si="67"/>
        <v/>
      </c>
      <c r="X400" s="338" t="str">
        <f t="shared" si="68"/>
        <v/>
      </c>
      <c r="Y400" s="274"/>
      <c r="AR400" t="str">
        <f t="shared" si="69"/>
        <v/>
      </c>
      <c r="AS400" t="str">
        <f t="shared" si="70"/>
        <v/>
      </c>
    </row>
    <row r="401" spans="1:45">
      <c r="A401" s="291"/>
      <c r="B401" s="292"/>
      <c r="C401" s="293"/>
      <c r="D401" s="293"/>
      <c r="E401" s="293"/>
      <c r="F401" s="293"/>
      <c r="G401" s="294"/>
      <c r="H401" s="300"/>
      <c r="I401" s="295"/>
      <c r="J401" s="295"/>
      <c r="K401" s="296"/>
      <c r="L401" s="301"/>
      <c r="M401" s="297"/>
      <c r="N401" s="298"/>
      <c r="P401" s="190" t="str">
        <f>IF(R401 = "", "", COUNT(R$4:$R401))</f>
        <v/>
      </c>
      <c r="Q401" s="190" t="str">
        <f t="shared" si="61"/>
        <v/>
      </c>
      <c r="R401" s="191" t="str">
        <f t="shared" si="62"/>
        <v/>
      </c>
      <c r="S401" s="192" t="str">
        <f t="shared" si="64"/>
        <v/>
      </c>
      <c r="T401" s="193" t="str">
        <f t="shared" si="65"/>
        <v/>
      </c>
      <c r="U401" s="194" t="str">
        <f t="shared" si="66"/>
        <v/>
      </c>
      <c r="V401" s="195" t="str">
        <f t="shared" si="63"/>
        <v/>
      </c>
      <c r="W401" s="336" t="str">
        <f t="shared" si="67"/>
        <v/>
      </c>
      <c r="X401" s="338" t="str">
        <f t="shared" si="68"/>
        <v/>
      </c>
      <c r="Y401" s="274"/>
      <c r="AR401" t="str">
        <f t="shared" si="69"/>
        <v/>
      </c>
      <c r="AS401" t="str">
        <f t="shared" si="70"/>
        <v/>
      </c>
    </row>
    <row r="402" spans="1:45">
      <c r="A402" s="291"/>
      <c r="B402" s="292"/>
      <c r="C402" s="293"/>
      <c r="D402" s="293"/>
      <c r="E402" s="293"/>
      <c r="F402" s="293"/>
      <c r="G402" s="294"/>
      <c r="H402" s="300"/>
      <c r="I402" s="295"/>
      <c r="J402" s="295"/>
      <c r="K402" s="296"/>
      <c r="L402" s="301"/>
      <c r="M402" s="297"/>
      <c r="N402" s="298"/>
      <c r="P402" s="190" t="str">
        <f>IF(R402 = "", "", COUNT(R$4:$R402))</f>
        <v/>
      </c>
      <c r="Q402" s="190" t="str">
        <f t="shared" si="61"/>
        <v/>
      </c>
      <c r="R402" s="191" t="str">
        <f t="shared" si="62"/>
        <v/>
      </c>
      <c r="S402" s="192" t="str">
        <f t="shared" si="64"/>
        <v/>
      </c>
      <c r="T402" s="193" t="str">
        <f t="shared" si="65"/>
        <v/>
      </c>
      <c r="U402" s="194" t="str">
        <f t="shared" si="66"/>
        <v/>
      </c>
      <c r="V402" s="195" t="str">
        <f t="shared" si="63"/>
        <v/>
      </c>
      <c r="W402" s="336" t="str">
        <f t="shared" si="67"/>
        <v/>
      </c>
      <c r="X402" s="338" t="str">
        <f t="shared" si="68"/>
        <v/>
      </c>
      <c r="Y402" s="274"/>
      <c r="AR402" t="str">
        <f t="shared" si="69"/>
        <v/>
      </c>
      <c r="AS402" t="str">
        <f t="shared" si="70"/>
        <v/>
      </c>
    </row>
    <row r="403" spans="1:45">
      <c r="A403" s="291"/>
      <c r="B403" s="292"/>
      <c r="C403" s="293"/>
      <c r="D403" s="293"/>
      <c r="E403" s="293"/>
      <c r="F403" s="293"/>
      <c r="G403" s="294"/>
      <c r="H403" s="300"/>
      <c r="I403" s="295"/>
      <c r="J403" s="295"/>
      <c r="K403" s="296"/>
      <c r="L403" s="301"/>
      <c r="M403" s="297"/>
      <c r="N403" s="298"/>
      <c r="P403" s="190" t="str">
        <f>IF(R403 = "", "", COUNT(R$4:$R403))</f>
        <v/>
      </c>
      <c r="Q403" s="190" t="str">
        <f t="shared" si="61"/>
        <v/>
      </c>
      <c r="R403" s="191" t="str">
        <f t="shared" si="62"/>
        <v/>
      </c>
      <c r="S403" s="192" t="str">
        <f t="shared" si="64"/>
        <v/>
      </c>
      <c r="T403" s="193" t="str">
        <f t="shared" si="65"/>
        <v/>
      </c>
      <c r="U403" s="194" t="str">
        <f t="shared" si="66"/>
        <v/>
      </c>
      <c r="V403" s="195" t="str">
        <f t="shared" si="63"/>
        <v/>
      </c>
      <c r="W403" s="336" t="str">
        <f t="shared" si="67"/>
        <v/>
      </c>
      <c r="X403" s="338" t="str">
        <f t="shared" si="68"/>
        <v/>
      </c>
      <c r="Y403" s="274"/>
      <c r="AR403" t="str">
        <f t="shared" si="69"/>
        <v/>
      </c>
      <c r="AS403" t="str">
        <f t="shared" si="70"/>
        <v/>
      </c>
    </row>
    <row r="404" spans="1:45">
      <c r="A404" s="291"/>
      <c r="B404" s="292"/>
      <c r="C404" s="293"/>
      <c r="D404" s="293"/>
      <c r="E404" s="293"/>
      <c r="F404" s="293"/>
      <c r="G404" s="294"/>
      <c r="H404" s="300"/>
      <c r="I404" s="295"/>
      <c r="J404" s="295"/>
      <c r="K404" s="296"/>
      <c r="L404" s="301"/>
      <c r="M404" s="297"/>
      <c r="N404" s="298"/>
      <c r="P404" s="190" t="str">
        <f>IF(R404 = "", "", COUNT(R$4:$R404))</f>
        <v/>
      </c>
      <c r="Q404" s="190" t="str">
        <f t="shared" si="61"/>
        <v/>
      </c>
      <c r="R404" s="191" t="str">
        <f t="shared" si="62"/>
        <v/>
      </c>
      <c r="S404" s="192" t="str">
        <f t="shared" si="64"/>
        <v/>
      </c>
      <c r="T404" s="193" t="str">
        <f t="shared" si="65"/>
        <v/>
      </c>
      <c r="U404" s="194" t="str">
        <f t="shared" si="66"/>
        <v/>
      </c>
      <c r="V404" s="195" t="str">
        <f t="shared" si="63"/>
        <v/>
      </c>
      <c r="W404" s="336" t="str">
        <f t="shared" si="67"/>
        <v/>
      </c>
      <c r="X404" s="338" t="str">
        <f t="shared" si="68"/>
        <v/>
      </c>
      <c r="Y404" s="274"/>
      <c r="AR404" t="str">
        <f t="shared" si="69"/>
        <v/>
      </c>
      <c r="AS404" t="str">
        <f t="shared" si="70"/>
        <v/>
      </c>
    </row>
    <row r="405" spans="1:45">
      <c r="A405" s="291"/>
      <c r="B405" s="292"/>
      <c r="C405" s="293"/>
      <c r="D405" s="293"/>
      <c r="E405" s="293"/>
      <c r="F405" s="293"/>
      <c r="G405" s="294"/>
      <c r="H405" s="300"/>
      <c r="I405" s="295"/>
      <c r="J405" s="295"/>
      <c r="K405" s="296"/>
      <c r="L405" s="301"/>
      <c r="M405" s="297"/>
      <c r="N405" s="298"/>
      <c r="P405" s="190" t="str">
        <f>IF(R405 = "", "", COUNT(R$4:$R405))</f>
        <v/>
      </c>
      <c r="Q405" s="190" t="str">
        <f t="shared" si="61"/>
        <v/>
      </c>
      <c r="R405" s="191" t="str">
        <f t="shared" si="62"/>
        <v/>
      </c>
      <c r="S405" s="192" t="str">
        <f t="shared" si="64"/>
        <v/>
      </c>
      <c r="T405" s="193" t="str">
        <f t="shared" si="65"/>
        <v/>
      </c>
      <c r="U405" s="194" t="str">
        <f t="shared" si="66"/>
        <v/>
      </c>
      <c r="V405" s="195" t="str">
        <f t="shared" si="63"/>
        <v/>
      </c>
      <c r="W405" s="336" t="str">
        <f t="shared" si="67"/>
        <v/>
      </c>
      <c r="X405" s="338" t="str">
        <f t="shared" si="68"/>
        <v/>
      </c>
      <c r="Y405" s="274"/>
      <c r="AR405" t="str">
        <f t="shared" si="69"/>
        <v/>
      </c>
      <c r="AS405" t="str">
        <f t="shared" si="70"/>
        <v/>
      </c>
    </row>
    <row r="406" spans="1:45">
      <c r="A406" s="291"/>
      <c r="B406" s="292"/>
      <c r="C406" s="293"/>
      <c r="D406" s="293"/>
      <c r="E406" s="293"/>
      <c r="F406" s="293"/>
      <c r="G406" s="294"/>
      <c r="H406" s="300"/>
      <c r="I406" s="295"/>
      <c r="J406" s="295"/>
      <c r="K406" s="296"/>
      <c r="L406" s="301"/>
      <c r="M406" s="297"/>
      <c r="N406" s="298"/>
      <c r="P406" s="190" t="str">
        <f>IF(R406 = "", "", COUNT(R$4:$R406))</f>
        <v/>
      </c>
      <c r="Q406" s="190" t="str">
        <f t="shared" si="61"/>
        <v/>
      </c>
      <c r="R406" s="191" t="str">
        <f t="shared" si="62"/>
        <v/>
      </c>
      <c r="S406" s="192" t="str">
        <f t="shared" si="64"/>
        <v/>
      </c>
      <c r="T406" s="193" t="str">
        <f t="shared" si="65"/>
        <v/>
      </c>
      <c r="U406" s="194" t="str">
        <f t="shared" si="66"/>
        <v/>
      </c>
      <c r="V406" s="195" t="str">
        <f t="shared" si="63"/>
        <v/>
      </c>
      <c r="W406" s="336" t="str">
        <f t="shared" si="67"/>
        <v/>
      </c>
      <c r="X406" s="338" t="str">
        <f t="shared" si="68"/>
        <v/>
      </c>
      <c r="Y406" s="274"/>
      <c r="AR406" t="str">
        <f t="shared" si="69"/>
        <v/>
      </c>
      <c r="AS406" t="str">
        <f t="shared" si="70"/>
        <v/>
      </c>
    </row>
    <row r="407" spans="1:45">
      <c r="A407" s="291"/>
      <c r="B407" s="292"/>
      <c r="C407" s="293"/>
      <c r="D407" s="293"/>
      <c r="E407" s="293"/>
      <c r="F407" s="293"/>
      <c r="G407" s="294"/>
      <c r="H407" s="300"/>
      <c r="I407" s="295"/>
      <c r="J407" s="295"/>
      <c r="K407" s="296"/>
      <c r="L407" s="301"/>
      <c r="M407" s="297"/>
      <c r="N407" s="298"/>
      <c r="P407" s="190" t="str">
        <f>IF(R407 = "", "", COUNT(R$4:$R407))</f>
        <v/>
      </c>
      <c r="Q407" s="190" t="str">
        <f t="shared" si="61"/>
        <v/>
      </c>
      <c r="R407" s="191" t="str">
        <f t="shared" si="62"/>
        <v/>
      </c>
      <c r="S407" s="192" t="str">
        <f t="shared" si="64"/>
        <v/>
      </c>
      <c r="T407" s="193" t="str">
        <f t="shared" si="65"/>
        <v/>
      </c>
      <c r="U407" s="194" t="str">
        <f t="shared" si="66"/>
        <v/>
      </c>
      <c r="V407" s="195" t="str">
        <f t="shared" si="63"/>
        <v/>
      </c>
      <c r="W407" s="336" t="str">
        <f t="shared" si="67"/>
        <v/>
      </c>
      <c r="X407" s="338" t="str">
        <f t="shared" si="68"/>
        <v/>
      </c>
      <c r="Y407" s="274"/>
      <c r="AR407" t="str">
        <f t="shared" si="69"/>
        <v/>
      </c>
      <c r="AS407" t="str">
        <f t="shared" si="70"/>
        <v/>
      </c>
    </row>
    <row r="408" spans="1:45">
      <c r="A408" s="291"/>
      <c r="B408" s="292"/>
      <c r="C408" s="293"/>
      <c r="D408" s="293"/>
      <c r="E408" s="293"/>
      <c r="F408" s="293"/>
      <c r="G408" s="294"/>
      <c r="H408" s="300"/>
      <c r="I408" s="295"/>
      <c r="J408" s="295"/>
      <c r="K408" s="296"/>
      <c r="L408" s="301"/>
      <c r="M408" s="297"/>
      <c r="N408" s="298"/>
      <c r="P408" s="190" t="str">
        <f>IF(R408 = "", "", COUNT(R$4:$R408))</f>
        <v/>
      </c>
      <c r="Q408" s="190" t="str">
        <f t="shared" si="61"/>
        <v/>
      </c>
      <c r="R408" s="191" t="str">
        <f t="shared" si="62"/>
        <v/>
      </c>
      <c r="S408" s="192" t="str">
        <f t="shared" si="64"/>
        <v/>
      </c>
      <c r="T408" s="193" t="str">
        <f t="shared" si="65"/>
        <v/>
      </c>
      <c r="U408" s="194" t="str">
        <f t="shared" si="66"/>
        <v/>
      </c>
      <c r="V408" s="195" t="str">
        <f t="shared" si="63"/>
        <v/>
      </c>
      <c r="W408" s="336" t="str">
        <f t="shared" si="67"/>
        <v/>
      </c>
      <c r="X408" s="338" t="str">
        <f t="shared" si="68"/>
        <v/>
      </c>
      <c r="Y408" s="274"/>
      <c r="AR408" t="str">
        <f t="shared" si="69"/>
        <v/>
      </c>
      <c r="AS408" t="str">
        <f t="shared" si="70"/>
        <v/>
      </c>
    </row>
    <row r="409" spans="1:45">
      <c r="A409" s="291"/>
      <c r="B409" s="292"/>
      <c r="C409" s="293"/>
      <c r="D409" s="293"/>
      <c r="E409" s="293"/>
      <c r="F409" s="293"/>
      <c r="G409" s="294"/>
      <c r="H409" s="300"/>
      <c r="I409" s="295"/>
      <c r="J409" s="295"/>
      <c r="K409" s="296"/>
      <c r="L409" s="301"/>
      <c r="M409" s="297"/>
      <c r="N409" s="298"/>
      <c r="P409" s="190" t="str">
        <f>IF(R409 = "", "", COUNT(R$4:$R409))</f>
        <v/>
      </c>
      <c r="Q409" s="190" t="str">
        <f t="shared" si="61"/>
        <v/>
      </c>
      <c r="R409" s="191" t="str">
        <f t="shared" si="62"/>
        <v/>
      </c>
      <c r="S409" s="192" t="str">
        <f t="shared" si="64"/>
        <v/>
      </c>
      <c r="T409" s="193" t="str">
        <f t="shared" si="65"/>
        <v/>
      </c>
      <c r="U409" s="194" t="str">
        <f t="shared" si="66"/>
        <v/>
      </c>
      <c r="V409" s="195" t="str">
        <f t="shared" si="63"/>
        <v/>
      </c>
      <c r="W409" s="336" t="str">
        <f t="shared" si="67"/>
        <v/>
      </c>
      <c r="X409" s="338" t="str">
        <f t="shared" si="68"/>
        <v/>
      </c>
      <c r="Y409" s="274"/>
      <c r="AR409" t="str">
        <f t="shared" si="69"/>
        <v/>
      </c>
      <c r="AS409" t="str">
        <f t="shared" si="70"/>
        <v/>
      </c>
    </row>
    <row r="410" spans="1:45">
      <c r="A410" s="291"/>
      <c r="B410" s="292"/>
      <c r="C410" s="293"/>
      <c r="D410" s="293"/>
      <c r="E410" s="293"/>
      <c r="F410" s="293"/>
      <c r="G410" s="294"/>
      <c r="H410" s="300"/>
      <c r="I410" s="295"/>
      <c r="J410" s="295"/>
      <c r="K410" s="296"/>
      <c r="L410" s="301"/>
      <c r="M410" s="297"/>
      <c r="N410" s="298"/>
      <c r="P410" s="190" t="str">
        <f>IF(R410 = "", "", COUNT(R$4:$R410))</f>
        <v/>
      </c>
      <c r="Q410" s="190" t="str">
        <f t="shared" si="61"/>
        <v/>
      </c>
      <c r="R410" s="191" t="str">
        <f t="shared" si="62"/>
        <v/>
      </c>
      <c r="S410" s="192" t="str">
        <f t="shared" si="64"/>
        <v/>
      </c>
      <c r="T410" s="193" t="str">
        <f t="shared" si="65"/>
        <v/>
      </c>
      <c r="U410" s="194" t="str">
        <f t="shared" si="66"/>
        <v/>
      </c>
      <c r="V410" s="195" t="str">
        <f t="shared" si="63"/>
        <v/>
      </c>
      <c r="W410" s="336" t="str">
        <f t="shared" si="67"/>
        <v/>
      </c>
      <c r="X410" s="338" t="str">
        <f t="shared" si="68"/>
        <v/>
      </c>
      <c r="Y410" s="274"/>
      <c r="AR410" t="str">
        <f t="shared" si="69"/>
        <v/>
      </c>
      <c r="AS410" t="str">
        <f t="shared" si="70"/>
        <v/>
      </c>
    </row>
    <row r="411" spans="1:45">
      <c r="A411" s="291"/>
      <c r="B411" s="292"/>
      <c r="C411" s="293"/>
      <c r="D411" s="293"/>
      <c r="E411" s="293"/>
      <c r="F411" s="293"/>
      <c r="G411" s="294"/>
      <c r="H411" s="300"/>
      <c r="I411" s="295"/>
      <c r="J411" s="295"/>
      <c r="K411" s="296"/>
      <c r="L411" s="301"/>
      <c r="M411" s="297"/>
      <c r="N411" s="298"/>
      <c r="P411" s="190" t="str">
        <f>IF(R411 = "", "", COUNT(R$4:$R411))</f>
        <v/>
      </c>
      <c r="Q411" s="190" t="str">
        <f t="shared" si="61"/>
        <v/>
      </c>
      <c r="R411" s="191" t="str">
        <f t="shared" si="62"/>
        <v/>
      </c>
      <c r="S411" s="192" t="str">
        <f t="shared" si="64"/>
        <v/>
      </c>
      <c r="T411" s="193" t="str">
        <f t="shared" si="65"/>
        <v/>
      </c>
      <c r="U411" s="194" t="str">
        <f t="shared" si="66"/>
        <v/>
      </c>
      <c r="V411" s="195" t="str">
        <f t="shared" si="63"/>
        <v/>
      </c>
      <c r="W411" s="336" t="str">
        <f t="shared" si="67"/>
        <v/>
      </c>
      <c r="X411" s="338" t="str">
        <f t="shared" si="68"/>
        <v/>
      </c>
      <c r="Y411" s="274"/>
      <c r="AR411" t="str">
        <f t="shared" si="69"/>
        <v/>
      </c>
      <c r="AS411" t="str">
        <f t="shared" si="70"/>
        <v/>
      </c>
    </row>
    <row r="412" spans="1:45">
      <c r="A412" s="291"/>
      <c r="B412" s="292"/>
      <c r="C412" s="293"/>
      <c r="D412" s="293"/>
      <c r="E412" s="293"/>
      <c r="F412" s="293"/>
      <c r="G412" s="294"/>
      <c r="H412" s="300"/>
      <c r="I412" s="295"/>
      <c r="J412" s="295"/>
      <c r="K412" s="296"/>
      <c r="L412" s="301"/>
      <c r="M412" s="297"/>
      <c r="N412" s="298"/>
      <c r="P412" s="190" t="str">
        <f>IF(R412 = "", "", COUNT(R$4:$R412))</f>
        <v/>
      </c>
      <c r="Q412" s="190" t="str">
        <f t="shared" si="61"/>
        <v/>
      </c>
      <c r="R412" s="191" t="str">
        <f t="shared" si="62"/>
        <v/>
      </c>
      <c r="S412" s="192" t="str">
        <f t="shared" si="64"/>
        <v/>
      </c>
      <c r="T412" s="193" t="str">
        <f t="shared" si="65"/>
        <v/>
      </c>
      <c r="U412" s="194" t="str">
        <f t="shared" si="66"/>
        <v/>
      </c>
      <c r="V412" s="195" t="str">
        <f t="shared" si="63"/>
        <v/>
      </c>
      <c r="W412" s="336" t="str">
        <f t="shared" si="67"/>
        <v/>
      </c>
      <c r="X412" s="338" t="str">
        <f t="shared" si="68"/>
        <v/>
      </c>
      <c r="Y412" s="274"/>
      <c r="AR412" t="str">
        <f t="shared" si="69"/>
        <v/>
      </c>
      <c r="AS412" t="str">
        <f t="shared" si="70"/>
        <v/>
      </c>
    </row>
    <row r="413" spans="1:45">
      <c r="A413" s="291"/>
      <c r="B413" s="292"/>
      <c r="C413" s="293"/>
      <c r="D413" s="293"/>
      <c r="E413" s="293"/>
      <c r="F413" s="293"/>
      <c r="G413" s="294"/>
      <c r="H413" s="300"/>
      <c r="I413" s="295"/>
      <c r="J413" s="295"/>
      <c r="K413" s="296"/>
      <c r="L413" s="301"/>
      <c r="M413" s="297"/>
      <c r="N413" s="298"/>
      <c r="P413" s="190" t="str">
        <f>IF(R413 = "", "", COUNT(R$4:$R413))</f>
        <v/>
      </c>
      <c r="Q413" s="190" t="str">
        <f t="shared" si="61"/>
        <v/>
      </c>
      <c r="R413" s="191" t="str">
        <f t="shared" si="62"/>
        <v/>
      </c>
      <c r="S413" s="192" t="str">
        <f t="shared" si="64"/>
        <v/>
      </c>
      <c r="T413" s="193" t="str">
        <f t="shared" si="65"/>
        <v/>
      </c>
      <c r="U413" s="194" t="str">
        <f t="shared" si="66"/>
        <v/>
      </c>
      <c r="V413" s="195" t="str">
        <f t="shared" si="63"/>
        <v/>
      </c>
      <c r="W413" s="336" t="str">
        <f t="shared" si="67"/>
        <v/>
      </c>
      <c r="X413" s="338" t="str">
        <f t="shared" si="68"/>
        <v/>
      </c>
      <c r="Y413" s="274"/>
      <c r="AR413" t="str">
        <f t="shared" si="69"/>
        <v/>
      </c>
      <c r="AS413" t="str">
        <f t="shared" si="70"/>
        <v/>
      </c>
    </row>
    <row r="414" spans="1:45">
      <c r="A414" s="291"/>
      <c r="B414" s="292"/>
      <c r="C414" s="293"/>
      <c r="D414" s="293"/>
      <c r="E414" s="293"/>
      <c r="F414" s="293"/>
      <c r="G414" s="294"/>
      <c r="H414" s="300"/>
      <c r="I414" s="295"/>
      <c r="J414" s="295"/>
      <c r="K414" s="296"/>
      <c r="L414" s="301"/>
      <c r="M414" s="297"/>
      <c r="N414" s="298"/>
      <c r="P414" s="190" t="str">
        <f>IF(R414 = "", "", COUNT(R$4:$R414))</f>
        <v/>
      </c>
      <c r="Q414" s="190" t="str">
        <f t="shared" si="61"/>
        <v/>
      </c>
      <c r="R414" s="191" t="str">
        <f t="shared" si="62"/>
        <v/>
      </c>
      <c r="S414" s="192" t="str">
        <f t="shared" si="64"/>
        <v/>
      </c>
      <c r="T414" s="193" t="str">
        <f t="shared" si="65"/>
        <v/>
      </c>
      <c r="U414" s="194" t="str">
        <f t="shared" si="66"/>
        <v/>
      </c>
      <c r="V414" s="195" t="str">
        <f t="shared" si="63"/>
        <v/>
      </c>
      <c r="W414" s="336" t="str">
        <f t="shared" si="67"/>
        <v/>
      </c>
      <c r="X414" s="338" t="str">
        <f t="shared" si="68"/>
        <v/>
      </c>
      <c r="Y414" s="274"/>
      <c r="AR414" t="str">
        <f t="shared" si="69"/>
        <v/>
      </c>
      <c r="AS414" t="str">
        <f t="shared" si="70"/>
        <v/>
      </c>
    </row>
    <row r="415" spans="1:45">
      <c r="A415" s="291"/>
      <c r="B415" s="292"/>
      <c r="C415" s="293"/>
      <c r="D415" s="293"/>
      <c r="E415" s="293"/>
      <c r="F415" s="293"/>
      <c r="G415" s="294"/>
      <c r="H415" s="300"/>
      <c r="I415" s="295"/>
      <c r="J415" s="295"/>
      <c r="K415" s="296"/>
      <c r="L415" s="301"/>
      <c r="M415" s="297"/>
      <c r="N415" s="298"/>
      <c r="P415" s="190" t="str">
        <f>IF(R415 = "", "", COUNT(R$4:$R415))</f>
        <v/>
      </c>
      <c r="Q415" s="190" t="str">
        <f t="shared" si="61"/>
        <v/>
      </c>
      <c r="R415" s="191" t="str">
        <f t="shared" si="62"/>
        <v/>
      </c>
      <c r="S415" s="192" t="str">
        <f t="shared" si="64"/>
        <v/>
      </c>
      <c r="T415" s="193" t="str">
        <f t="shared" si="65"/>
        <v/>
      </c>
      <c r="U415" s="194" t="str">
        <f t="shared" si="66"/>
        <v/>
      </c>
      <c r="V415" s="195" t="str">
        <f t="shared" si="63"/>
        <v/>
      </c>
      <c r="W415" s="336" t="str">
        <f t="shared" si="67"/>
        <v/>
      </c>
      <c r="X415" s="338" t="str">
        <f t="shared" si="68"/>
        <v/>
      </c>
      <c r="Y415" s="274"/>
      <c r="AR415" t="str">
        <f t="shared" si="69"/>
        <v/>
      </c>
      <c r="AS415" t="str">
        <f t="shared" si="70"/>
        <v/>
      </c>
    </row>
    <row r="416" spans="1:45">
      <c r="A416" s="291"/>
      <c r="B416" s="292"/>
      <c r="C416" s="293"/>
      <c r="D416" s="293"/>
      <c r="E416" s="293"/>
      <c r="F416" s="293"/>
      <c r="G416" s="294"/>
      <c r="H416" s="300"/>
      <c r="I416" s="295"/>
      <c r="J416" s="295"/>
      <c r="K416" s="296"/>
      <c r="L416" s="301"/>
      <c r="M416" s="297"/>
      <c r="N416" s="298"/>
      <c r="P416" s="190" t="str">
        <f>IF(R416 = "", "", COUNT(R$4:$R416))</f>
        <v/>
      </c>
      <c r="Q416" s="190" t="str">
        <f t="shared" si="61"/>
        <v/>
      </c>
      <c r="R416" s="191" t="str">
        <f t="shared" si="62"/>
        <v/>
      </c>
      <c r="S416" s="192" t="str">
        <f t="shared" si="64"/>
        <v/>
      </c>
      <c r="T416" s="193" t="str">
        <f t="shared" si="65"/>
        <v/>
      </c>
      <c r="U416" s="194" t="str">
        <f t="shared" si="66"/>
        <v/>
      </c>
      <c r="V416" s="195" t="str">
        <f t="shared" si="63"/>
        <v/>
      </c>
      <c r="W416" s="336" t="str">
        <f t="shared" si="67"/>
        <v/>
      </c>
      <c r="X416" s="338" t="str">
        <f t="shared" si="68"/>
        <v/>
      </c>
      <c r="Y416" s="274"/>
      <c r="AR416" t="str">
        <f t="shared" si="69"/>
        <v/>
      </c>
      <c r="AS416" t="str">
        <f t="shared" si="70"/>
        <v/>
      </c>
    </row>
    <row r="417" spans="1:45">
      <c r="A417" s="291"/>
      <c r="B417" s="292"/>
      <c r="C417" s="293"/>
      <c r="D417" s="293"/>
      <c r="E417" s="293"/>
      <c r="F417" s="293"/>
      <c r="G417" s="294"/>
      <c r="H417" s="300"/>
      <c r="I417" s="295"/>
      <c r="J417" s="295"/>
      <c r="K417" s="296"/>
      <c r="L417" s="301"/>
      <c r="M417" s="297"/>
      <c r="N417" s="298"/>
      <c r="P417" s="190" t="str">
        <f>IF(R417 = "", "", COUNT(R$4:$R417))</f>
        <v/>
      </c>
      <c r="Q417" s="190" t="str">
        <f t="shared" si="61"/>
        <v/>
      </c>
      <c r="R417" s="191" t="str">
        <f t="shared" si="62"/>
        <v/>
      </c>
      <c r="S417" s="192" t="str">
        <f t="shared" si="64"/>
        <v/>
      </c>
      <c r="T417" s="193" t="str">
        <f t="shared" si="65"/>
        <v/>
      </c>
      <c r="U417" s="194" t="str">
        <f t="shared" si="66"/>
        <v/>
      </c>
      <c r="V417" s="195" t="str">
        <f t="shared" si="63"/>
        <v/>
      </c>
      <c r="W417" s="336" t="str">
        <f t="shared" si="67"/>
        <v/>
      </c>
      <c r="X417" s="338" t="str">
        <f t="shared" si="68"/>
        <v/>
      </c>
      <c r="Y417" s="274"/>
      <c r="AR417" t="str">
        <f t="shared" si="69"/>
        <v/>
      </c>
      <c r="AS417" t="str">
        <f t="shared" si="70"/>
        <v/>
      </c>
    </row>
    <row r="418" spans="1:45">
      <c r="A418" s="291"/>
      <c r="B418" s="292"/>
      <c r="C418" s="293"/>
      <c r="D418" s="293"/>
      <c r="E418" s="293"/>
      <c r="F418" s="293"/>
      <c r="G418" s="294"/>
      <c r="H418" s="300"/>
      <c r="I418" s="295"/>
      <c r="J418" s="295"/>
      <c r="K418" s="296"/>
      <c r="L418" s="301"/>
      <c r="M418" s="297"/>
      <c r="N418" s="298"/>
      <c r="P418" s="190" t="str">
        <f>IF(R418 = "", "", COUNT(R$4:$R418))</f>
        <v/>
      </c>
      <c r="Q418" s="190" t="str">
        <f t="shared" si="61"/>
        <v/>
      </c>
      <c r="R418" s="191" t="str">
        <f t="shared" si="62"/>
        <v/>
      </c>
      <c r="S418" s="192" t="str">
        <f t="shared" si="64"/>
        <v/>
      </c>
      <c r="T418" s="193" t="str">
        <f t="shared" si="65"/>
        <v/>
      </c>
      <c r="U418" s="194" t="str">
        <f t="shared" si="66"/>
        <v/>
      </c>
      <c r="V418" s="195" t="str">
        <f t="shared" si="63"/>
        <v/>
      </c>
      <c r="W418" s="336" t="str">
        <f t="shared" si="67"/>
        <v/>
      </c>
      <c r="X418" s="338" t="str">
        <f t="shared" si="68"/>
        <v/>
      </c>
      <c r="Y418" s="274"/>
      <c r="AR418" t="str">
        <f t="shared" si="69"/>
        <v/>
      </c>
      <c r="AS418" t="str">
        <f t="shared" si="70"/>
        <v/>
      </c>
    </row>
    <row r="419" spans="1:45">
      <c r="A419" s="291"/>
      <c r="B419" s="292"/>
      <c r="C419" s="293"/>
      <c r="D419" s="293"/>
      <c r="E419" s="293"/>
      <c r="F419" s="293"/>
      <c r="G419" s="294"/>
      <c r="H419" s="300"/>
      <c r="I419" s="295"/>
      <c r="J419" s="295"/>
      <c r="K419" s="296"/>
      <c r="L419" s="301"/>
      <c r="M419" s="297"/>
      <c r="N419" s="298"/>
      <c r="P419" s="190" t="str">
        <f>IF(R419 = "", "", COUNT(R$4:$R419))</f>
        <v/>
      </c>
      <c r="Q419" s="190" t="str">
        <f t="shared" si="61"/>
        <v/>
      </c>
      <c r="R419" s="191" t="str">
        <f t="shared" si="62"/>
        <v/>
      </c>
      <c r="S419" s="192" t="str">
        <f t="shared" si="64"/>
        <v/>
      </c>
      <c r="T419" s="193" t="str">
        <f t="shared" si="65"/>
        <v/>
      </c>
      <c r="U419" s="194" t="str">
        <f t="shared" si="66"/>
        <v/>
      </c>
      <c r="V419" s="195" t="str">
        <f t="shared" si="63"/>
        <v/>
      </c>
      <c r="W419" s="336" t="str">
        <f t="shared" si="67"/>
        <v/>
      </c>
      <c r="X419" s="338" t="str">
        <f t="shared" si="68"/>
        <v/>
      </c>
      <c r="Y419" s="274"/>
      <c r="AR419" t="str">
        <f t="shared" si="69"/>
        <v/>
      </c>
      <c r="AS419" t="str">
        <f t="shared" si="70"/>
        <v/>
      </c>
    </row>
    <row r="420" spans="1:45">
      <c r="A420" s="291"/>
      <c r="B420" s="292"/>
      <c r="C420" s="293"/>
      <c r="D420" s="293"/>
      <c r="E420" s="293"/>
      <c r="F420" s="293"/>
      <c r="G420" s="294"/>
      <c r="H420" s="300"/>
      <c r="I420" s="295"/>
      <c r="J420" s="295"/>
      <c r="K420" s="296"/>
      <c r="L420" s="301"/>
      <c r="M420" s="297"/>
      <c r="N420" s="298"/>
      <c r="P420" s="190" t="str">
        <f>IF(R420 = "", "", COUNT(R$4:$R420))</f>
        <v/>
      </c>
      <c r="Q420" s="190" t="str">
        <f t="shared" si="61"/>
        <v/>
      </c>
      <c r="R420" s="191" t="str">
        <f t="shared" si="62"/>
        <v/>
      </c>
      <c r="S420" s="192" t="str">
        <f t="shared" si="64"/>
        <v/>
      </c>
      <c r="T420" s="193" t="str">
        <f t="shared" si="65"/>
        <v/>
      </c>
      <c r="U420" s="194" t="str">
        <f t="shared" si="66"/>
        <v/>
      </c>
      <c r="V420" s="195" t="str">
        <f t="shared" si="63"/>
        <v/>
      </c>
      <c r="W420" s="336" t="str">
        <f t="shared" si="67"/>
        <v/>
      </c>
      <c r="X420" s="338" t="str">
        <f t="shared" si="68"/>
        <v/>
      </c>
      <c r="Y420" s="274"/>
      <c r="AR420" t="str">
        <f t="shared" si="69"/>
        <v/>
      </c>
      <c r="AS420" t="str">
        <f t="shared" si="70"/>
        <v/>
      </c>
    </row>
    <row r="421" spans="1:45">
      <c r="A421" s="291"/>
      <c r="B421" s="292"/>
      <c r="C421" s="293"/>
      <c r="D421" s="293"/>
      <c r="E421" s="293"/>
      <c r="F421" s="293"/>
      <c r="G421" s="294"/>
      <c r="H421" s="300"/>
      <c r="I421" s="295"/>
      <c r="J421" s="295"/>
      <c r="K421" s="296"/>
      <c r="L421" s="301"/>
      <c r="M421" s="297"/>
      <c r="N421" s="298"/>
      <c r="P421" s="190" t="str">
        <f>IF(R421 = "", "", COUNT(R$4:$R421))</f>
        <v/>
      </c>
      <c r="Q421" s="190" t="str">
        <f t="shared" si="61"/>
        <v/>
      </c>
      <c r="R421" s="191" t="str">
        <f t="shared" si="62"/>
        <v/>
      </c>
      <c r="S421" s="192" t="str">
        <f t="shared" si="64"/>
        <v/>
      </c>
      <c r="T421" s="193" t="str">
        <f t="shared" si="65"/>
        <v/>
      </c>
      <c r="U421" s="194" t="str">
        <f t="shared" si="66"/>
        <v/>
      </c>
      <c r="V421" s="195" t="str">
        <f t="shared" si="63"/>
        <v/>
      </c>
      <c r="W421" s="336" t="str">
        <f t="shared" si="67"/>
        <v/>
      </c>
      <c r="X421" s="338" t="str">
        <f t="shared" si="68"/>
        <v/>
      </c>
      <c r="Y421" s="274"/>
      <c r="AR421" t="str">
        <f t="shared" si="69"/>
        <v/>
      </c>
      <c r="AS421" t="str">
        <f t="shared" si="70"/>
        <v/>
      </c>
    </row>
    <row r="422" spans="1:45">
      <c r="A422" s="291"/>
      <c r="B422" s="292"/>
      <c r="C422" s="293"/>
      <c r="D422" s="293"/>
      <c r="E422" s="293"/>
      <c r="F422" s="293"/>
      <c r="G422" s="294"/>
      <c r="H422" s="300"/>
      <c r="I422" s="295"/>
      <c r="J422" s="295"/>
      <c r="K422" s="296"/>
      <c r="L422" s="301"/>
      <c r="M422" s="297"/>
      <c r="N422" s="298"/>
      <c r="P422" s="190" t="str">
        <f>IF(R422 = "", "", COUNT(R$4:$R422))</f>
        <v/>
      </c>
      <c r="Q422" s="190" t="str">
        <f t="shared" si="61"/>
        <v/>
      </c>
      <c r="R422" s="191" t="str">
        <f t="shared" si="62"/>
        <v/>
      </c>
      <c r="S422" s="192" t="str">
        <f t="shared" si="64"/>
        <v/>
      </c>
      <c r="T422" s="193" t="str">
        <f t="shared" si="65"/>
        <v/>
      </c>
      <c r="U422" s="194" t="str">
        <f t="shared" si="66"/>
        <v/>
      </c>
      <c r="V422" s="195" t="str">
        <f t="shared" si="63"/>
        <v/>
      </c>
      <c r="W422" s="336" t="str">
        <f t="shared" si="67"/>
        <v/>
      </c>
      <c r="X422" s="338" t="str">
        <f t="shared" si="68"/>
        <v/>
      </c>
      <c r="Y422" s="274"/>
      <c r="AR422" t="str">
        <f t="shared" si="69"/>
        <v/>
      </c>
      <c r="AS422" t="str">
        <f t="shared" si="70"/>
        <v/>
      </c>
    </row>
    <row r="423" spans="1:45">
      <c r="A423" s="291"/>
      <c r="B423" s="292"/>
      <c r="C423" s="293"/>
      <c r="D423" s="293"/>
      <c r="E423" s="293"/>
      <c r="F423" s="293"/>
      <c r="G423" s="294"/>
      <c r="H423" s="300"/>
      <c r="I423" s="295"/>
      <c r="J423" s="295"/>
      <c r="K423" s="296"/>
      <c r="L423" s="301"/>
      <c r="M423" s="297"/>
      <c r="N423" s="298"/>
      <c r="P423" s="190" t="str">
        <f>IF(R423 = "", "", COUNT(R$4:$R423))</f>
        <v/>
      </c>
      <c r="Q423" s="190" t="str">
        <f t="shared" si="61"/>
        <v/>
      </c>
      <c r="R423" s="191" t="str">
        <f t="shared" si="62"/>
        <v/>
      </c>
      <c r="S423" s="192" t="str">
        <f t="shared" si="64"/>
        <v/>
      </c>
      <c r="T423" s="193" t="str">
        <f t="shared" si="65"/>
        <v/>
      </c>
      <c r="U423" s="194" t="str">
        <f t="shared" si="66"/>
        <v/>
      </c>
      <c r="V423" s="195" t="str">
        <f t="shared" si="63"/>
        <v/>
      </c>
      <c r="W423" s="336" t="str">
        <f t="shared" si="67"/>
        <v/>
      </c>
      <c r="X423" s="338" t="str">
        <f t="shared" si="68"/>
        <v/>
      </c>
      <c r="Y423" s="274"/>
      <c r="AR423" t="str">
        <f t="shared" si="69"/>
        <v/>
      </c>
      <c r="AS423" t="str">
        <f t="shared" si="70"/>
        <v/>
      </c>
    </row>
    <row r="424" spans="1:45">
      <c r="A424" s="291"/>
      <c r="B424" s="292"/>
      <c r="C424" s="293"/>
      <c r="D424" s="293"/>
      <c r="E424" s="293"/>
      <c r="F424" s="293"/>
      <c r="G424" s="294"/>
      <c r="H424" s="300"/>
      <c r="I424" s="295"/>
      <c r="J424" s="295"/>
      <c r="K424" s="296"/>
      <c r="L424" s="301"/>
      <c r="M424" s="297"/>
      <c r="N424" s="298"/>
      <c r="P424" s="190" t="str">
        <f>IF(R424 = "", "", COUNT(R$4:$R424))</f>
        <v/>
      </c>
      <c r="Q424" s="190" t="str">
        <f t="shared" si="61"/>
        <v/>
      </c>
      <c r="R424" s="191" t="str">
        <f t="shared" si="62"/>
        <v/>
      </c>
      <c r="S424" s="192" t="str">
        <f t="shared" si="64"/>
        <v/>
      </c>
      <c r="T424" s="193" t="str">
        <f t="shared" si="65"/>
        <v/>
      </c>
      <c r="U424" s="194" t="str">
        <f t="shared" si="66"/>
        <v/>
      </c>
      <c r="V424" s="195" t="str">
        <f t="shared" si="63"/>
        <v/>
      </c>
      <c r="W424" s="336" t="str">
        <f t="shared" si="67"/>
        <v/>
      </c>
      <c r="X424" s="338" t="str">
        <f t="shared" si="68"/>
        <v/>
      </c>
      <c r="Y424" s="274"/>
      <c r="AR424" t="str">
        <f t="shared" si="69"/>
        <v/>
      </c>
      <c r="AS424" t="str">
        <f t="shared" si="70"/>
        <v/>
      </c>
    </row>
    <row r="425" spans="1:45">
      <c r="A425" s="291"/>
      <c r="B425" s="292"/>
      <c r="C425" s="293"/>
      <c r="D425" s="293"/>
      <c r="E425" s="293"/>
      <c r="F425" s="293"/>
      <c r="G425" s="294"/>
      <c r="H425" s="300"/>
      <c r="I425" s="295"/>
      <c r="J425" s="295"/>
      <c r="K425" s="296"/>
      <c r="L425" s="301"/>
      <c r="M425" s="297"/>
      <c r="N425" s="298"/>
      <c r="P425" s="190" t="str">
        <f>IF(R425 = "", "", COUNT(R$4:$R425))</f>
        <v/>
      </c>
      <c r="Q425" s="190" t="str">
        <f t="shared" si="61"/>
        <v/>
      </c>
      <c r="R425" s="191" t="str">
        <f t="shared" si="62"/>
        <v/>
      </c>
      <c r="S425" s="192" t="str">
        <f t="shared" si="64"/>
        <v/>
      </c>
      <c r="T425" s="193" t="str">
        <f t="shared" si="65"/>
        <v/>
      </c>
      <c r="U425" s="194" t="str">
        <f t="shared" si="66"/>
        <v/>
      </c>
      <c r="V425" s="195" t="str">
        <f t="shared" si="63"/>
        <v/>
      </c>
      <c r="W425" s="336" t="str">
        <f t="shared" si="67"/>
        <v/>
      </c>
      <c r="X425" s="338" t="str">
        <f t="shared" si="68"/>
        <v/>
      </c>
      <c r="Y425" s="274"/>
      <c r="AR425" t="str">
        <f t="shared" si="69"/>
        <v/>
      </c>
      <c r="AS425" t="str">
        <f t="shared" si="70"/>
        <v/>
      </c>
    </row>
    <row r="426" spans="1:45">
      <c r="A426" s="291"/>
      <c r="B426" s="292"/>
      <c r="C426" s="293"/>
      <c r="D426" s="293"/>
      <c r="E426" s="293"/>
      <c r="F426" s="293"/>
      <c r="G426" s="294"/>
      <c r="H426" s="300"/>
      <c r="I426" s="295"/>
      <c r="J426" s="295"/>
      <c r="K426" s="296"/>
      <c r="L426" s="301"/>
      <c r="M426" s="297"/>
      <c r="N426" s="298"/>
      <c r="P426" s="190" t="str">
        <f>IF(R426 = "", "", COUNT(R$4:$R426))</f>
        <v/>
      </c>
      <c r="Q426" s="190" t="str">
        <f t="shared" si="61"/>
        <v/>
      </c>
      <c r="R426" s="191" t="str">
        <f t="shared" si="62"/>
        <v/>
      </c>
      <c r="S426" s="192" t="str">
        <f t="shared" si="64"/>
        <v/>
      </c>
      <c r="T426" s="193" t="str">
        <f t="shared" si="65"/>
        <v/>
      </c>
      <c r="U426" s="194" t="str">
        <f t="shared" si="66"/>
        <v/>
      </c>
      <c r="V426" s="195" t="str">
        <f t="shared" si="63"/>
        <v/>
      </c>
      <c r="W426" s="336" t="str">
        <f t="shared" si="67"/>
        <v/>
      </c>
      <c r="X426" s="338" t="str">
        <f t="shared" si="68"/>
        <v/>
      </c>
      <c r="Y426" s="274"/>
      <c r="AR426" t="str">
        <f t="shared" si="69"/>
        <v/>
      </c>
      <c r="AS426" t="str">
        <f t="shared" si="70"/>
        <v/>
      </c>
    </row>
    <row r="427" spans="1:45">
      <c r="A427" s="291"/>
      <c r="B427" s="292"/>
      <c r="C427" s="293"/>
      <c r="D427" s="293"/>
      <c r="E427" s="293"/>
      <c r="F427" s="293"/>
      <c r="G427" s="294"/>
      <c r="H427" s="300"/>
      <c r="I427" s="295"/>
      <c r="J427" s="295"/>
      <c r="K427" s="296"/>
      <c r="L427" s="301"/>
      <c r="M427" s="297"/>
      <c r="N427" s="298"/>
      <c r="P427" s="190" t="str">
        <f>IF(R427 = "", "", COUNT(R$4:$R427))</f>
        <v/>
      </c>
      <c r="Q427" s="190" t="str">
        <f t="shared" si="61"/>
        <v/>
      </c>
      <c r="R427" s="191" t="str">
        <f t="shared" si="62"/>
        <v/>
      </c>
      <c r="S427" s="192" t="str">
        <f t="shared" si="64"/>
        <v/>
      </c>
      <c r="T427" s="193" t="str">
        <f t="shared" si="65"/>
        <v/>
      </c>
      <c r="U427" s="194" t="str">
        <f t="shared" si="66"/>
        <v/>
      </c>
      <c r="V427" s="195" t="str">
        <f t="shared" si="63"/>
        <v/>
      </c>
      <c r="W427" s="336" t="str">
        <f t="shared" si="67"/>
        <v/>
      </c>
      <c r="X427" s="338" t="str">
        <f t="shared" si="68"/>
        <v/>
      </c>
      <c r="Y427" s="274"/>
      <c r="AR427" t="str">
        <f t="shared" si="69"/>
        <v/>
      </c>
      <c r="AS427" t="str">
        <f t="shared" si="70"/>
        <v/>
      </c>
    </row>
    <row r="428" spans="1:45">
      <c r="A428" s="291"/>
      <c r="B428" s="292"/>
      <c r="C428" s="293"/>
      <c r="D428" s="293"/>
      <c r="E428" s="293"/>
      <c r="F428" s="293"/>
      <c r="G428" s="294"/>
      <c r="H428" s="300"/>
      <c r="I428" s="295"/>
      <c r="J428" s="295"/>
      <c r="K428" s="296"/>
      <c r="L428" s="301"/>
      <c r="M428" s="297"/>
      <c r="N428" s="298"/>
      <c r="P428" s="190" t="str">
        <f>IF(R428 = "", "", COUNT(R$4:$R428))</f>
        <v/>
      </c>
      <c r="Q428" s="190" t="str">
        <f t="shared" si="61"/>
        <v/>
      </c>
      <c r="R428" s="191" t="str">
        <f t="shared" si="62"/>
        <v/>
      </c>
      <c r="S428" s="192" t="str">
        <f t="shared" si="64"/>
        <v/>
      </c>
      <c r="T428" s="193" t="str">
        <f t="shared" si="65"/>
        <v/>
      </c>
      <c r="U428" s="194" t="str">
        <f t="shared" si="66"/>
        <v/>
      </c>
      <c r="V428" s="195" t="str">
        <f t="shared" si="63"/>
        <v/>
      </c>
      <c r="W428" s="336" t="str">
        <f t="shared" si="67"/>
        <v/>
      </c>
      <c r="X428" s="338" t="str">
        <f t="shared" si="68"/>
        <v/>
      </c>
      <c r="Y428" s="274"/>
      <c r="AR428" t="str">
        <f t="shared" si="69"/>
        <v/>
      </c>
      <c r="AS428" t="str">
        <f t="shared" si="70"/>
        <v/>
      </c>
    </row>
    <row r="429" spans="1:45">
      <c r="A429" s="291"/>
      <c r="B429" s="292"/>
      <c r="C429" s="293"/>
      <c r="D429" s="293"/>
      <c r="E429" s="293"/>
      <c r="F429" s="293"/>
      <c r="G429" s="294"/>
      <c r="H429" s="300"/>
      <c r="I429" s="295"/>
      <c r="J429" s="295"/>
      <c r="K429" s="296"/>
      <c r="L429" s="301"/>
      <c r="M429" s="297"/>
      <c r="N429" s="298"/>
      <c r="P429" s="190" t="str">
        <f>IF(R429 = "", "", COUNT(R$4:$R429))</f>
        <v/>
      </c>
      <c r="Q429" s="190" t="str">
        <f t="shared" si="61"/>
        <v/>
      </c>
      <c r="R429" s="191" t="str">
        <f t="shared" si="62"/>
        <v/>
      </c>
      <c r="S429" s="192" t="str">
        <f t="shared" si="64"/>
        <v/>
      </c>
      <c r="T429" s="193" t="str">
        <f t="shared" si="65"/>
        <v/>
      </c>
      <c r="U429" s="194" t="str">
        <f t="shared" si="66"/>
        <v/>
      </c>
      <c r="V429" s="195" t="str">
        <f t="shared" si="63"/>
        <v/>
      </c>
      <c r="W429" s="336" t="str">
        <f t="shared" si="67"/>
        <v/>
      </c>
      <c r="X429" s="338" t="str">
        <f t="shared" si="68"/>
        <v/>
      </c>
      <c r="Y429" s="274"/>
      <c r="AR429" t="str">
        <f t="shared" si="69"/>
        <v/>
      </c>
      <c r="AS429" t="str">
        <f t="shared" si="70"/>
        <v/>
      </c>
    </row>
    <row r="430" spans="1:45">
      <c r="A430" s="291"/>
      <c r="B430" s="292"/>
      <c r="C430" s="293"/>
      <c r="D430" s="293"/>
      <c r="E430" s="293"/>
      <c r="F430" s="293"/>
      <c r="G430" s="294"/>
      <c r="H430" s="300"/>
      <c r="I430" s="295"/>
      <c r="J430" s="295"/>
      <c r="K430" s="296"/>
      <c r="L430" s="301"/>
      <c r="M430" s="297"/>
      <c r="N430" s="298"/>
      <c r="P430" s="190" t="str">
        <f>IF(R430 = "", "", COUNT(R$4:$R430))</f>
        <v/>
      </c>
      <c r="Q430" s="190" t="str">
        <f t="shared" si="61"/>
        <v/>
      </c>
      <c r="R430" s="191" t="str">
        <f t="shared" si="62"/>
        <v/>
      </c>
      <c r="S430" s="192" t="str">
        <f t="shared" si="64"/>
        <v/>
      </c>
      <c r="T430" s="193" t="str">
        <f t="shared" si="65"/>
        <v/>
      </c>
      <c r="U430" s="194" t="str">
        <f t="shared" si="66"/>
        <v/>
      </c>
      <c r="V430" s="195" t="str">
        <f t="shared" si="63"/>
        <v/>
      </c>
      <c r="W430" s="336" t="str">
        <f t="shared" si="67"/>
        <v/>
      </c>
      <c r="X430" s="338" t="str">
        <f t="shared" si="68"/>
        <v/>
      </c>
      <c r="Y430" s="274"/>
      <c r="AR430" t="str">
        <f t="shared" si="69"/>
        <v/>
      </c>
      <c r="AS430" t="str">
        <f t="shared" si="70"/>
        <v/>
      </c>
    </row>
    <row r="431" spans="1:45">
      <c r="A431" s="291"/>
      <c r="B431" s="292"/>
      <c r="C431" s="293"/>
      <c r="D431" s="293"/>
      <c r="E431" s="293"/>
      <c r="F431" s="293"/>
      <c r="G431" s="294"/>
      <c r="H431" s="300"/>
      <c r="I431" s="295"/>
      <c r="J431" s="295"/>
      <c r="K431" s="296"/>
      <c r="L431" s="301"/>
      <c r="M431" s="297"/>
      <c r="N431" s="298"/>
      <c r="P431" s="190" t="str">
        <f>IF(R431 = "", "", COUNT(R$4:$R431))</f>
        <v/>
      </c>
      <c r="Q431" s="190" t="str">
        <f t="shared" si="61"/>
        <v/>
      </c>
      <c r="R431" s="191" t="str">
        <f t="shared" si="62"/>
        <v/>
      </c>
      <c r="S431" s="192" t="str">
        <f t="shared" si="64"/>
        <v/>
      </c>
      <c r="T431" s="193" t="str">
        <f t="shared" si="65"/>
        <v/>
      </c>
      <c r="U431" s="194" t="str">
        <f t="shared" si="66"/>
        <v/>
      </c>
      <c r="V431" s="195" t="str">
        <f t="shared" si="63"/>
        <v/>
      </c>
      <c r="W431" s="336" t="str">
        <f t="shared" si="67"/>
        <v/>
      </c>
      <c r="X431" s="338" t="str">
        <f t="shared" si="68"/>
        <v/>
      </c>
      <c r="Y431" s="274"/>
      <c r="AR431" t="str">
        <f t="shared" si="69"/>
        <v/>
      </c>
      <c r="AS431" t="str">
        <f t="shared" si="70"/>
        <v/>
      </c>
    </row>
    <row r="432" spans="1:45">
      <c r="A432" s="291"/>
      <c r="B432" s="292"/>
      <c r="C432" s="293"/>
      <c r="D432" s="293"/>
      <c r="E432" s="293"/>
      <c r="F432" s="293"/>
      <c r="G432" s="294"/>
      <c r="H432" s="300"/>
      <c r="I432" s="295"/>
      <c r="J432" s="295"/>
      <c r="K432" s="296"/>
      <c r="L432" s="301"/>
      <c r="M432" s="297"/>
      <c r="N432" s="298"/>
      <c r="P432" s="190" t="str">
        <f>IF(R432 = "", "", COUNT(R$4:$R432))</f>
        <v/>
      </c>
      <c r="Q432" s="190" t="str">
        <f t="shared" si="61"/>
        <v/>
      </c>
      <c r="R432" s="191" t="str">
        <f t="shared" si="62"/>
        <v/>
      </c>
      <c r="S432" s="192" t="str">
        <f t="shared" si="64"/>
        <v/>
      </c>
      <c r="T432" s="193" t="str">
        <f t="shared" si="65"/>
        <v/>
      </c>
      <c r="U432" s="194" t="str">
        <f t="shared" si="66"/>
        <v/>
      </c>
      <c r="V432" s="195" t="str">
        <f t="shared" si="63"/>
        <v/>
      </c>
      <c r="W432" s="336" t="str">
        <f t="shared" si="67"/>
        <v/>
      </c>
      <c r="X432" s="338" t="str">
        <f t="shared" si="68"/>
        <v/>
      </c>
      <c r="Y432" s="274"/>
      <c r="AR432" t="str">
        <f t="shared" si="69"/>
        <v/>
      </c>
      <c r="AS432" t="str">
        <f t="shared" si="70"/>
        <v/>
      </c>
    </row>
    <row r="433" spans="1:45">
      <c r="A433" s="291"/>
      <c r="B433" s="292"/>
      <c r="C433" s="293"/>
      <c r="D433" s="293"/>
      <c r="E433" s="293"/>
      <c r="F433" s="293"/>
      <c r="G433" s="294"/>
      <c r="H433" s="300"/>
      <c r="I433" s="295"/>
      <c r="J433" s="295"/>
      <c r="K433" s="296"/>
      <c r="L433" s="301"/>
      <c r="M433" s="297"/>
      <c r="N433" s="298"/>
      <c r="P433" s="190" t="str">
        <f>IF(R433 = "", "", COUNT(R$4:$R433))</f>
        <v/>
      </c>
      <c r="Q433" s="190" t="str">
        <f t="shared" si="61"/>
        <v/>
      </c>
      <c r="R433" s="191" t="str">
        <f t="shared" si="62"/>
        <v/>
      </c>
      <c r="S433" s="192" t="str">
        <f t="shared" si="64"/>
        <v/>
      </c>
      <c r="T433" s="193" t="str">
        <f t="shared" si="65"/>
        <v/>
      </c>
      <c r="U433" s="194" t="str">
        <f t="shared" si="66"/>
        <v/>
      </c>
      <c r="V433" s="195" t="str">
        <f t="shared" si="63"/>
        <v/>
      </c>
      <c r="W433" s="336" t="str">
        <f t="shared" si="67"/>
        <v/>
      </c>
      <c r="X433" s="338" t="str">
        <f t="shared" si="68"/>
        <v/>
      </c>
      <c r="Y433" s="274"/>
      <c r="AR433" t="str">
        <f t="shared" si="69"/>
        <v/>
      </c>
      <c r="AS433" t="str">
        <f t="shared" si="70"/>
        <v/>
      </c>
    </row>
    <row r="434" spans="1:45">
      <c r="A434" s="291"/>
      <c r="B434" s="292"/>
      <c r="C434" s="293"/>
      <c r="D434" s="293"/>
      <c r="E434" s="293"/>
      <c r="F434" s="293"/>
      <c r="G434" s="294"/>
      <c r="H434" s="300"/>
      <c r="I434" s="295"/>
      <c r="J434" s="295"/>
      <c r="K434" s="296"/>
      <c r="L434" s="301"/>
      <c r="M434" s="297"/>
      <c r="N434" s="298"/>
      <c r="P434" s="190" t="str">
        <f>IF(R434 = "", "", COUNT(R$4:$R434))</f>
        <v/>
      </c>
      <c r="Q434" s="190" t="str">
        <f t="shared" si="61"/>
        <v/>
      </c>
      <c r="R434" s="191" t="str">
        <f t="shared" si="62"/>
        <v/>
      </c>
      <c r="S434" s="192" t="str">
        <f t="shared" si="64"/>
        <v/>
      </c>
      <c r="T434" s="193" t="str">
        <f t="shared" si="65"/>
        <v/>
      </c>
      <c r="U434" s="194" t="str">
        <f t="shared" si="66"/>
        <v/>
      </c>
      <c r="V434" s="195" t="str">
        <f t="shared" si="63"/>
        <v/>
      </c>
      <c r="W434" s="336" t="str">
        <f t="shared" si="67"/>
        <v/>
      </c>
      <c r="X434" s="338" t="str">
        <f t="shared" si="68"/>
        <v/>
      </c>
      <c r="Y434" s="274"/>
      <c r="AR434" t="str">
        <f t="shared" si="69"/>
        <v/>
      </c>
      <c r="AS434" t="str">
        <f t="shared" si="70"/>
        <v/>
      </c>
    </row>
    <row r="435" spans="1:45">
      <c r="A435" s="291"/>
      <c r="B435" s="292"/>
      <c r="C435" s="293"/>
      <c r="D435" s="293"/>
      <c r="E435" s="293"/>
      <c r="F435" s="293"/>
      <c r="G435" s="294"/>
      <c r="H435" s="300"/>
      <c r="I435" s="295"/>
      <c r="J435" s="295"/>
      <c r="K435" s="296"/>
      <c r="L435" s="301"/>
      <c r="M435" s="297"/>
      <c r="N435" s="298"/>
      <c r="P435" s="190" t="str">
        <f>IF(R435 = "", "", COUNT(R$4:$R435))</f>
        <v/>
      </c>
      <c r="Q435" s="190" t="str">
        <f t="shared" si="61"/>
        <v/>
      </c>
      <c r="R435" s="191" t="str">
        <f t="shared" si="62"/>
        <v/>
      </c>
      <c r="S435" s="192" t="str">
        <f t="shared" si="64"/>
        <v/>
      </c>
      <c r="T435" s="193" t="str">
        <f t="shared" si="65"/>
        <v/>
      </c>
      <c r="U435" s="194" t="str">
        <f t="shared" si="66"/>
        <v/>
      </c>
      <c r="V435" s="195" t="str">
        <f t="shared" si="63"/>
        <v/>
      </c>
      <c r="W435" s="336" t="str">
        <f t="shared" si="67"/>
        <v/>
      </c>
      <c r="X435" s="338" t="str">
        <f t="shared" si="68"/>
        <v/>
      </c>
      <c r="Y435" s="274"/>
      <c r="AR435" t="str">
        <f t="shared" si="69"/>
        <v/>
      </c>
      <c r="AS435" t="str">
        <f t="shared" si="70"/>
        <v/>
      </c>
    </row>
    <row r="436" spans="1:45">
      <c r="A436" s="291"/>
      <c r="B436" s="292"/>
      <c r="C436" s="293"/>
      <c r="D436" s="293"/>
      <c r="E436" s="293"/>
      <c r="F436" s="293"/>
      <c r="G436" s="294"/>
      <c r="H436" s="300"/>
      <c r="I436" s="295"/>
      <c r="J436" s="295"/>
      <c r="K436" s="296"/>
      <c r="L436" s="301"/>
      <c r="M436" s="297"/>
      <c r="N436" s="298"/>
      <c r="P436" s="190" t="str">
        <f>IF(R436 = "", "", COUNT(R$4:$R436))</f>
        <v/>
      </c>
      <c r="Q436" s="190" t="str">
        <f t="shared" si="61"/>
        <v/>
      </c>
      <c r="R436" s="191" t="str">
        <f t="shared" si="62"/>
        <v/>
      </c>
      <c r="S436" s="192" t="str">
        <f t="shared" si="64"/>
        <v/>
      </c>
      <c r="T436" s="193" t="str">
        <f t="shared" si="65"/>
        <v/>
      </c>
      <c r="U436" s="194" t="str">
        <f t="shared" si="66"/>
        <v/>
      </c>
      <c r="V436" s="195" t="str">
        <f t="shared" si="63"/>
        <v/>
      </c>
      <c r="W436" s="336" t="str">
        <f t="shared" si="67"/>
        <v/>
      </c>
      <c r="X436" s="338" t="str">
        <f t="shared" si="68"/>
        <v/>
      </c>
      <c r="Y436" s="274"/>
      <c r="AR436" t="str">
        <f t="shared" si="69"/>
        <v/>
      </c>
      <c r="AS436" t="str">
        <f t="shared" si="70"/>
        <v/>
      </c>
    </row>
    <row r="437" spans="1:45">
      <c r="A437" s="291"/>
      <c r="B437" s="292"/>
      <c r="C437" s="293"/>
      <c r="D437" s="293"/>
      <c r="E437" s="293"/>
      <c r="F437" s="293"/>
      <c r="G437" s="294"/>
      <c r="H437" s="300"/>
      <c r="I437" s="295"/>
      <c r="J437" s="295"/>
      <c r="K437" s="296"/>
      <c r="L437" s="301"/>
      <c r="M437" s="297"/>
      <c r="N437" s="298"/>
      <c r="P437" s="190" t="str">
        <f>IF(R437 = "", "", COUNT(R$4:$R437))</f>
        <v/>
      </c>
      <c r="Q437" s="190" t="str">
        <f t="shared" si="61"/>
        <v/>
      </c>
      <c r="R437" s="191" t="str">
        <f t="shared" si="62"/>
        <v/>
      </c>
      <c r="S437" s="192" t="str">
        <f t="shared" si="64"/>
        <v/>
      </c>
      <c r="T437" s="193" t="str">
        <f t="shared" si="65"/>
        <v/>
      </c>
      <c r="U437" s="194" t="str">
        <f t="shared" si="66"/>
        <v/>
      </c>
      <c r="V437" s="195" t="str">
        <f t="shared" si="63"/>
        <v/>
      </c>
      <c r="W437" s="336" t="str">
        <f t="shared" si="67"/>
        <v/>
      </c>
      <c r="X437" s="338" t="str">
        <f t="shared" si="68"/>
        <v/>
      </c>
      <c r="Y437" s="274"/>
      <c r="AR437" t="str">
        <f t="shared" si="69"/>
        <v/>
      </c>
      <c r="AS437" t="str">
        <f t="shared" si="70"/>
        <v/>
      </c>
    </row>
    <row r="438" spans="1:45">
      <c r="A438" s="291"/>
      <c r="B438" s="292"/>
      <c r="C438" s="293"/>
      <c r="D438" s="293"/>
      <c r="E438" s="293"/>
      <c r="F438" s="293"/>
      <c r="G438" s="294"/>
      <c r="H438" s="300"/>
      <c r="I438" s="295"/>
      <c r="J438" s="295"/>
      <c r="K438" s="296"/>
      <c r="L438" s="301"/>
      <c r="M438" s="297"/>
      <c r="N438" s="298"/>
      <c r="P438" s="190" t="str">
        <f>IF(R438 = "", "", COUNT(R$4:$R438))</f>
        <v/>
      </c>
      <c r="Q438" s="190" t="str">
        <f t="shared" si="61"/>
        <v/>
      </c>
      <c r="R438" s="191" t="str">
        <f t="shared" si="62"/>
        <v/>
      </c>
      <c r="S438" s="192" t="str">
        <f t="shared" si="64"/>
        <v/>
      </c>
      <c r="T438" s="193" t="str">
        <f t="shared" si="65"/>
        <v/>
      </c>
      <c r="U438" s="194" t="str">
        <f t="shared" si="66"/>
        <v/>
      </c>
      <c r="V438" s="195" t="str">
        <f t="shared" si="63"/>
        <v/>
      </c>
      <c r="W438" s="336" t="str">
        <f t="shared" si="67"/>
        <v/>
      </c>
      <c r="X438" s="338" t="str">
        <f t="shared" si="68"/>
        <v/>
      </c>
      <c r="Y438" s="274"/>
      <c r="AR438" t="str">
        <f t="shared" si="69"/>
        <v/>
      </c>
      <c r="AS438" t="str">
        <f t="shared" si="70"/>
        <v/>
      </c>
    </row>
    <row r="439" spans="1:45">
      <c r="A439" s="291"/>
      <c r="B439" s="292"/>
      <c r="C439" s="293"/>
      <c r="D439" s="293"/>
      <c r="E439" s="293"/>
      <c r="F439" s="293"/>
      <c r="G439" s="294"/>
      <c r="H439" s="300"/>
      <c r="I439" s="295"/>
      <c r="J439" s="295"/>
      <c r="K439" s="296"/>
      <c r="L439" s="301"/>
      <c r="M439" s="297"/>
      <c r="N439" s="298"/>
      <c r="P439" s="190" t="str">
        <f>IF(R439 = "", "", COUNT(R$4:$R439))</f>
        <v/>
      </c>
      <c r="Q439" s="190" t="str">
        <f t="shared" si="61"/>
        <v/>
      </c>
      <c r="R439" s="191" t="str">
        <f t="shared" si="62"/>
        <v/>
      </c>
      <c r="S439" s="192" t="str">
        <f t="shared" si="64"/>
        <v/>
      </c>
      <c r="T439" s="193" t="str">
        <f t="shared" si="65"/>
        <v/>
      </c>
      <c r="U439" s="194" t="str">
        <f t="shared" si="66"/>
        <v/>
      </c>
      <c r="V439" s="195" t="str">
        <f t="shared" si="63"/>
        <v/>
      </c>
      <c r="W439" s="336" t="str">
        <f t="shared" si="67"/>
        <v/>
      </c>
      <c r="X439" s="338" t="str">
        <f t="shared" si="68"/>
        <v/>
      </c>
      <c r="Y439" s="274"/>
      <c r="AR439" t="str">
        <f t="shared" si="69"/>
        <v/>
      </c>
      <c r="AS439" t="str">
        <f t="shared" si="70"/>
        <v/>
      </c>
    </row>
    <row r="440" spans="1:45">
      <c r="A440" s="291"/>
      <c r="B440" s="292"/>
      <c r="C440" s="293"/>
      <c r="D440" s="293"/>
      <c r="E440" s="293"/>
      <c r="F440" s="293"/>
      <c r="G440" s="294"/>
      <c r="H440" s="300"/>
      <c r="I440" s="295"/>
      <c r="J440" s="295"/>
      <c r="K440" s="296"/>
      <c r="L440" s="301"/>
      <c r="M440" s="297"/>
      <c r="N440" s="298"/>
      <c r="P440" s="190" t="str">
        <f>IF(R440 = "", "", COUNT(R$4:$R440))</f>
        <v/>
      </c>
      <c r="Q440" s="190" t="str">
        <f t="shared" si="61"/>
        <v/>
      </c>
      <c r="R440" s="191" t="str">
        <f t="shared" si="62"/>
        <v/>
      </c>
      <c r="S440" s="192" t="str">
        <f t="shared" si="64"/>
        <v/>
      </c>
      <c r="T440" s="193" t="str">
        <f t="shared" si="65"/>
        <v/>
      </c>
      <c r="U440" s="194" t="str">
        <f t="shared" si="66"/>
        <v/>
      </c>
      <c r="V440" s="195" t="str">
        <f t="shared" si="63"/>
        <v/>
      </c>
      <c r="W440" s="336" t="str">
        <f t="shared" si="67"/>
        <v/>
      </c>
      <c r="X440" s="338" t="str">
        <f t="shared" si="68"/>
        <v/>
      </c>
      <c r="Y440" s="274"/>
      <c r="AR440" t="str">
        <f t="shared" si="69"/>
        <v/>
      </c>
      <c r="AS440" t="str">
        <f t="shared" si="70"/>
        <v/>
      </c>
    </row>
    <row r="441" spans="1:45">
      <c r="A441" s="291"/>
      <c r="B441" s="292"/>
      <c r="C441" s="293"/>
      <c r="D441" s="293"/>
      <c r="E441" s="293"/>
      <c r="F441" s="293"/>
      <c r="G441" s="294"/>
      <c r="H441" s="300"/>
      <c r="I441" s="295"/>
      <c r="J441" s="295"/>
      <c r="K441" s="296"/>
      <c r="L441" s="301"/>
      <c r="M441" s="297"/>
      <c r="N441" s="298"/>
      <c r="P441" s="190" t="str">
        <f>IF(R441 = "", "", COUNT(R$4:$R441))</f>
        <v/>
      </c>
      <c r="Q441" s="190" t="str">
        <f t="shared" si="61"/>
        <v/>
      </c>
      <c r="R441" s="191" t="str">
        <f t="shared" si="62"/>
        <v/>
      </c>
      <c r="S441" s="192" t="str">
        <f t="shared" si="64"/>
        <v/>
      </c>
      <c r="T441" s="193" t="str">
        <f t="shared" si="65"/>
        <v/>
      </c>
      <c r="U441" s="194" t="str">
        <f t="shared" si="66"/>
        <v/>
      </c>
      <c r="V441" s="195" t="str">
        <f t="shared" si="63"/>
        <v/>
      </c>
      <c r="W441" s="336" t="str">
        <f t="shared" si="67"/>
        <v/>
      </c>
      <c r="X441" s="338" t="str">
        <f t="shared" si="68"/>
        <v/>
      </c>
      <c r="Y441" s="274"/>
      <c r="AR441" t="str">
        <f t="shared" si="69"/>
        <v/>
      </c>
      <c r="AS441" t="str">
        <f t="shared" si="70"/>
        <v/>
      </c>
    </row>
    <row r="442" spans="1:45">
      <c r="A442" s="291"/>
      <c r="B442" s="292"/>
      <c r="C442" s="293"/>
      <c r="D442" s="293"/>
      <c r="E442" s="293"/>
      <c r="F442" s="293"/>
      <c r="G442" s="294"/>
      <c r="H442" s="300"/>
      <c r="I442" s="295"/>
      <c r="J442" s="295"/>
      <c r="K442" s="296"/>
      <c r="L442" s="301"/>
      <c r="M442" s="297"/>
      <c r="N442" s="298"/>
      <c r="P442" s="190" t="str">
        <f>IF(R442 = "", "", COUNT(R$4:$R442))</f>
        <v/>
      </c>
      <c r="Q442" s="190" t="str">
        <f t="shared" si="61"/>
        <v/>
      </c>
      <c r="R442" s="191" t="str">
        <f t="shared" si="62"/>
        <v/>
      </c>
      <c r="S442" s="192" t="str">
        <f t="shared" si="64"/>
        <v/>
      </c>
      <c r="T442" s="193" t="str">
        <f t="shared" si="65"/>
        <v/>
      </c>
      <c r="U442" s="194" t="str">
        <f t="shared" si="66"/>
        <v/>
      </c>
      <c r="V442" s="195" t="str">
        <f t="shared" si="63"/>
        <v/>
      </c>
      <c r="W442" s="336" t="str">
        <f t="shared" si="67"/>
        <v/>
      </c>
      <c r="X442" s="338" t="str">
        <f t="shared" si="68"/>
        <v/>
      </c>
      <c r="Y442" s="274"/>
      <c r="AR442" t="str">
        <f t="shared" si="69"/>
        <v/>
      </c>
      <c r="AS442" t="str">
        <f t="shared" si="70"/>
        <v/>
      </c>
    </row>
    <row r="443" spans="1:45">
      <c r="A443" s="291"/>
      <c r="B443" s="292"/>
      <c r="C443" s="293"/>
      <c r="D443" s="293"/>
      <c r="E443" s="293"/>
      <c r="F443" s="293"/>
      <c r="G443" s="294"/>
      <c r="H443" s="300"/>
      <c r="I443" s="295"/>
      <c r="J443" s="295"/>
      <c r="K443" s="296"/>
      <c r="L443" s="301"/>
      <c r="M443" s="297"/>
      <c r="N443" s="298"/>
      <c r="P443" s="190" t="str">
        <f>IF(R443 = "", "", COUNT(R$4:$R443))</f>
        <v/>
      </c>
      <c r="Q443" s="190" t="str">
        <f t="shared" si="61"/>
        <v/>
      </c>
      <c r="R443" s="191" t="str">
        <f t="shared" si="62"/>
        <v/>
      </c>
      <c r="S443" s="192" t="str">
        <f t="shared" si="64"/>
        <v/>
      </c>
      <c r="T443" s="193" t="str">
        <f t="shared" si="65"/>
        <v/>
      </c>
      <c r="U443" s="194" t="str">
        <f t="shared" si="66"/>
        <v/>
      </c>
      <c r="V443" s="195" t="str">
        <f t="shared" si="63"/>
        <v/>
      </c>
      <c r="W443" s="336" t="str">
        <f t="shared" si="67"/>
        <v/>
      </c>
      <c r="X443" s="338" t="str">
        <f t="shared" si="68"/>
        <v/>
      </c>
      <c r="Y443" s="274"/>
      <c r="AR443" t="str">
        <f t="shared" si="69"/>
        <v/>
      </c>
      <c r="AS443" t="str">
        <f t="shared" si="70"/>
        <v/>
      </c>
    </row>
    <row r="444" spans="1:45">
      <c r="A444" s="291"/>
      <c r="B444" s="292"/>
      <c r="C444" s="293"/>
      <c r="D444" s="293"/>
      <c r="E444" s="293"/>
      <c r="F444" s="293"/>
      <c r="G444" s="294"/>
      <c r="H444" s="300"/>
      <c r="I444" s="295"/>
      <c r="J444" s="295"/>
      <c r="K444" s="296"/>
      <c r="L444" s="301"/>
      <c r="M444" s="297"/>
      <c r="N444" s="298"/>
      <c r="P444" s="190" t="str">
        <f>IF(R444 = "", "", COUNT(R$4:$R444))</f>
        <v/>
      </c>
      <c r="Q444" s="190" t="str">
        <f t="shared" si="61"/>
        <v/>
      </c>
      <c r="R444" s="191" t="str">
        <f t="shared" si="62"/>
        <v/>
      </c>
      <c r="S444" s="192" t="str">
        <f t="shared" si="64"/>
        <v/>
      </c>
      <c r="T444" s="193" t="str">
        <f t="shared" si="65"/>
        <v/>
      </c>
      <c r="U444" s="194" t="str">
        <f t="shared" si="66"/>
        <v/>
      </c>
      <c r="V444" s="195" t="str">
        <f t="shared" si="63"/>
        <v/>
      </c>
      <c r="W444" s="336" t="str">
        <f t="shared" si="67"/>
        <v/>
      </c>
      <c r="X444" s="338" t="str">
        <f t="shared" si="68"/>
        <v/>
      </c>
      <c r="Y444" s="274"/>
      <c r="AR444" t="str">
        <f t="shared" si="69"/>
        <v/>
      </c>
      <c r="AS444" t="str">
        <f t="shared" si="70"/>
        <v/>
      </c>
    </row>
    <row r="445" spans="1:45">
      <c r="A445" s="291"/>
      <c r="B445" s="292"/>
      <c r="C445" s="293"/>
      <c r="D445" s="293"/>
      <c r="E445" s="293"/>
      <c r="F445" s="293"/>
      <c r="G445" s="294"/>
      <c r="H445" s="300"/>
      <c r="I445" s="295"/>
      <c r="J445" s="295"/>
      <c r="K445" s="296"/>
      <c r="L445" s="301"/>
      <c r="M445" s="297"/>
      <c r="N445" s="298"/>
      <c r="P445" s="190" t="str">
        <f>IF(R445 = "", "", COUNT(R$4:$R445))</f>
        <v/>
      </c>
      <c r="Q445" s="190" t="str">
        <f t="shared" si="61"/>
        <v/>
      </c>
      <c r="R445" s="191" t="str">
        <f t="shared" si="62"/>
        <v/>
      </c>
      <c r="S445" s="192" t="str">
        <f t="shared" si="64"/>
        <v/>
      </c>
      <c r="T445" s="193" t="str">
        <f t="shared" si="65"/>
        <v/>
      </c>
      <c r="U445" s="194" t="str">
        <f t="shared" si="66"/>
        <v/>
      </c>
      <c r="V445" s="195" t="str">
        <f t="shared" si="63"/>
        <v/>
      </c>
      <c r="W445" s="336" t="str">
        <f t="shared" si="67"/>
        <v/>
      </c>
      <c r="X445" s="338" t="str">
        <f t="shared" si="68"/>
        <v/>
      </c>
      <c r="Y445" s="274"/>
      <c r="AR445" t="str">
        <f t="shared" si="69"/>
        <v/>
      </c>
      <c r="AS445" t="str">
        <f t="shared" si="70"/>
        <v/>
      </c>
    </row>
    <row r="446" spans="1:45">
      <c r="A446" s="291"/>
      <c r="B446" s="292"/>
      <c r="C446" s="293"/>
      <c r="D446" s="293"/>
      <c r="E446" s="293"/>
      <c r="F446" s="293"/>
      <c r="G446" s="294"/>
      <c r="H446" s="300"/>
      <c r="I446" s="295"/>
      <c r="J446" s="295"/>
      <c r="K446" s="296"/>
      <c r="L446" s="301"/>
      <c r="M446" s="297"/>
      <c r="N446" s="298"/>
      <c r="P446" s="190" t="str">
        <f>IF(R446 = "", "", COUNT(R$4:$R446))</f>
        <v/>
      </c>
      <c r="Q446" s="190" t="str">
        <f t="shared" si="61"/>
        <v/>
      </c>
      <c r="R446" s="191" t="str">
        <f t="shared" si="62"/>
        <v/>
      </c>
      <c r="S446" s="192" t="str">
        <f t="shared" si="64"/>
        <v/>
      </c>
      <c r="T446" s="193" t="str">
        <f t="shared" si="65"/>
        <v/>
      </c>
      <c r="U446" s="194" t="str">
        <f t="shared" si="66"/>
        <v/>
      </c>
      <c r="V446" s="195" t="str">
        <f t="shared" si="63"/>
        <v/>
      </c>
      <c r="W446" s="336" t="str">
        <f t="shared" si="67"/>
        <v/>
      </c>
      <c r="X446" s="338" t="str">
        <f t="shared" si="68"/>
        <v/>
      </c>
      <c r="Y446" s="274"/>
      <c r="AR446" t="str">
        <f t="shared" si="69"/>
        <v/>
      </c>
      <c r="AS446" t="str">
        <f t="shared" si="70"/>
        <v/>
      </c>
    </row>
    <row r="447" spans="1:45">
      <c r="A447" s="291"/>
      <c r="B447" s="292"/>
      <c r="C447" s="293"/>
      <c r="D447" s="293"/>
      <c r="E447" s="293"/>
      <c r="F447" s="293"/>
      <c r="G447" s="294"/>
      <c r="H447" s="300"/>
      <c r="I447" s="295"/>
      <c r="J447" s="295"/>
      <c r="K447" s="296"/>
      <c r="L447" s="301"/>
      <c r="M447" s="297"/>
      <c r="N447" s="298"/>
      <c r="P447" s="190" t="str">
        <f>IF(R447 = "", "", COUNT(R$4:$R447))</f>
        <v/>
      </c>
      <c r="Q447" s="190" t="str">
        <f t="shared" si="61"/>
        <v/>
      </c>
      <c r="R447" s="191" t="str">
        <f t="shared" si="62"/>
        <v/>
      </c>
      <c r="S447" s="192" t="str">
        <f t="shared" si="64"/>
        <v/>
      </c>
      <c r="T447" s="193" t="str">
        <f t="shared" si="65"/>
        <v/>
      </c>
      <c r="U447" s="194" t="str">
        <f t="shared" si="66"/>
        <v/>
      </c>
      <c r="V447" s="195" t="str">
        <f t="shared" si="63"/>
        <v/>
      </c>
      <c r="W447" s="336" t="str">
        <f t="shared" si="67"/>
        <v/>
      </c>
      <c r="X447" s="338" t="str">
        <f t="shared" si="68"/>
        <v/>
      </c>
      <c r="Y447" s="274"/>
      <c r="AR447" t="str">
        <f t="shared" si="69"/>
        <v/>
      </c>
      <c r="AS447" t="str">
        <f t="shared" si="70"/>
        <v/>
      </c>
    </row>
    <row r="448" spans="1:45">
      <c r="A448" s="291"/>
      <c r="B448" s="292"/>
      <c r="C448" s="293"/>
      <c r="D448" s="293"/>
      <c r="E448" s="293"/>
      <c r="F448" s="293"/>
      <c r="G448" s="294"/>
      <c r="H448" s="300"/>
      <c r="I448" s="295"/>
      <c r="J448" s="295"/>
      <c r="K448" s="296"/>
      <c r="L448" s="301"/>
      <c r="M448" s="297"/>
      <c r="N448" s="298"/>
      <c r="P448" s="190" t="str">
        <f>IF(R448 = "", "", COUNT(R$4:$R448))</f>
        <v/>
      </c>
      <c r="Q448" s="190" t="str">
        <f t="shared" si="61"/>
        <v/>
      </c>
      <c r="R448" s="191" t="str">
        <f t="shared" si="62"/>
        <v/>
      </c>
      <c r="S448" s="192" t="str">
        <f t="shared" si="64"/>
        <v/>
      </c>
      <c r="T448" s="193" t="str">
        <f t="shared" si="65"/>
        <v/>
      </c>
      <c r="U448" s="194" t="str">
        <f t="shared" si="66"/>
        <v/>
      </c>
      <c r="V448" s="195" t="str">
        <f t="shared" si="63"/>
        <v/>
      </c>
      <c r="W448" s="336" t="str">
        <f t="shared" si="67"/>
        <v/>
      </c>
      <c r="X448" s="338" t="str">
        <f t="shared" si="68"/>
        <v/>
      </c>
      <c r="Y448" s="274"/>
      <c r="AR448" t="str">
        <f t="shared" si="69"/>
        <v/>
      </c>
      <c r="AS448" t="str">
        <f t="shared" si="70"/>
        <v/>
      </c>
    </row>
    <row r="449" spans="1:45">
      <c r="A449" s="291"/>
      <c r="B449" s="292"/>
      <c r="C449" s="293"/>
      <c r="D449" s="293"/>
      <c r="E449" s="293"/>
      <c r="F449" s="293"/>
      <c r="G449" s="294"/>
      <c r="H449" s="300"/>
      <c r="I449" s="295"/>
      <c r="J449" s="295"/>
      <c r="K449" s="296"/>
      <c r="L449" s="301"/>
      <c r="M449" s="297"/>
      <c r="N449" s="298"/>
      <c r="P449" s="190" t="str">
        <f>IF(R449 = "", "", COUNT(R$4:$R449))</f>
        <v/>
      </c>
      <c r="Q449" s="190" t="str">
        <f t="shared" si="61"/>
        <v/>
      </c>
      <c r="R449" s="191" t="str">
        <f t="shared" si="62"/>
        <v/>
      </c>
      <c r="S449" s="192" t="str">
        <f t="shared" si="64"/>
        <v/>
      </c>
      <c r="T449" s="193" t="str">
        <f t="shared" si="65"/>
        <v/>
      </c>
      <c r="U449" s="194" t="str">
        <f t="shared" si="66"/>
        <v/>
      </c>
      <c r="V449" s="195" t="str">
        <f t="shared" si="63"/>
        <v/>
      </c>
      <c r="W449" s="336" t="str">
        <f t="shared" si="67"/>
        <v/>
      </c>
      <c r="X449" s="338" t="str">
        <f t="shared" si="68"/>
        <v/>
      </c>
      <c r="Y449" s="274"/>
      <c r="AR449" t="str">
        <f t="shared" si="69"/>
        <v/>
      </c>
      <c r="AS449" t="str">
        <f t="shared" si="70"/>
        <v/>
      </c>
    </row>
    <row r="450" spans="1:45">
      <c r="A450" s="291"/>
      <c r="B450" s="292"/>
      <c r="C450" s="293"/>
      <c r="D450" s="293"/>
      <c r="E450" s="293"/>
      <c r="F450" s="293"/>
      <c r="G450" s="294"/>
      <c r="H450" s="300"/>
      <c r="I450" s="295"/>
      <c r="J450" s="295"/>
      <c r="K450" s="296"/>
      <c r="L450" s="301"/>
      <c r="M450" s="297"/>
      <c r="N450" s="298"/>
      <c r="P450" s="190" t="str">
        <f>IF(R450 = "", "", COUNT(R$4:$R450))</f>
        <v/>
      </c>
      <c r="Q450" s="190" t="str">
        <f t="shared" si="61"/>
        <v/>
      </c>
      <c r="R450" s="191" t="str">
        <f t="shared" si="62"/>
        <v/>
      </c>
      <c r="S450" s="192" t="str">
        <f t="shared" si="64"/>
        <v/>
      </c>
      <c r="T450" s="193" t="str">
        <f t="shared" si="65"/>
        <v/>
      </c>
      <c r="U450" s="194" t="str">
        <f t="shared" si="66"/>
        <v/>
      </c>
      <c r="V450" s="195" t="str">
        <f t="shared" si="63"/>
        <v/>
      </c>
      <c r="W450" s="336" t="str">
        <f t="shared" si="67"/>
        <v/>
      </c>
      <c r="X450" s="338" t="str">
        <f t="shared" si="68"/>
        <v/>
      </c>
      <c r="Y450" s="274"/>
      <c r="AR450" t="str">
        <f t="shared" si="69"/>
        <v/>
      </c>
      <c r="AS450" t="str">
        <f t="shared" si="70"/>
        <v/>
      </c>
    </row>
    <row r="451" spans="1:45">
      <c r="A451" s="291"/>
      <c r="B451" s="292"/>
      <c r="C451" s="293"/>
      <c r="D451" s="293"/>
      <c r="E451" s="293"/>
      <c r="F451" s="293"/>
      <c r="G451" s="294"/>
      <c r="H451" s="300"/>
      <c r="I451" s="295"/>
      <c r="J451" s="295"/>
      <c r="K451" s="296"/>
      <c r="L451" s="301"/>
      <c r="M451" s="297"/>
      <c r="N451" s="298"/>
      <c r="P451" s="190" t="str">
        <f>IF(R451 = "", "", COUNT(R$4:$R451))</f>
        <v/>
      </c>
      <c r="Q451" s="190" t="str">
        <f t="shared" si="61"/>
        <v/>
      </c>
      <c r="R451" s="191" t="str">
        <f t="shared" si="62"/>
        <v/>
      </c>
      <c r="S451" s="192" t="str">
        <f t="shared" si="64"/>
        <v/>
      </c>
      <c r="T451" s="193" t="str">
        <f t="shared" si="65"/>
        <v/>
      </c>
      <c r="U451" s="194" t="str">
        <f t="shared" si="66"/>
        <v/>
      </c>
      <c r="V451" s="195" t="str">
        <f t="shared" si="63"/>
        <v/>
      </c>
      <c r="W451" s="336" t="str">
        <f t="shared" si="67"/>
        <v/>
      </c>
      <c r="X451" s="338" t="str">
        <f t="shared" si="68"/>
        <v/>
      </c>
      <c r="Y451" s="274"/>
      <c r="AR451" t="str">
        <f t="shared" si="69"/>
        <v/>
      </c>
      <c r="AS451" t="str">
        <f t="shared" si="70"/>
        <v/>
      </c>
    </row>
    <row r="452" spans="1:45">
      <c r="A452" s="291"/>
      <c r="B452" s="292"/>
      <c r="C452" s="293"/>
      <c r="D452" s="293"/>
      <c r="E452" s="293"/>
      <c r="F452" s="293"/>
      <c r="G452" s="294"/>
      <c r="H452" s="300"/>
      <c r="I452" s="295"/>
      <c r="J452" s="295"/>
      <c r="K452" s="296"/>
      <c r="L452" s="301"/>
      <c r="M452" s="297"/>
      <c r="N452" s="298"/>
      <c r="P452" s="190" t="str">
        <f>IF(R452 = "", "", COUNT(R$4:$R452))</f>
        <v/>
      </c>
      <c r="Q452" s="190" t="str">
        <f t="shared" ref="Q452:Q515" si="71">IF(C452 &gt; 0, YEAR(B452), "")</f>
        <v/>
      </c>
      <c r="R452" s="191" t="str">
        <f t="shared" ref="R452:R515" si="72">IF(A452="", "", IF(G452="",1,IF(G452="O",1,IF(G452="C",8.4,IF(G452="B",8.4,IF(G452="A",76.8,IF(G452="K",76.8,"ERR")))))))</f>
        <v/>
      </c>
      <c r="S452" s="192" t="str">
        <f t="shared" si="64"/>
        <v/>
      </c>
      <c r="T452" s="193" t="str">
        <f t="shared" si="65"/>
        <v/>
      </c>
      <c r="U452" s="194" t="str">
        <f t="shared" si="66"/>
        <v/>
      </c>
      <c r="V452" s="195" t="str">
        <f t="shared" ref="V452:V515" si="73">IF(IF(M452&lt;&gt;"",G452,"")=0, "O", IF(M452&lt;&gt;"",G452,""))</f>
        <v/>
      </c>
      <c r="W452" s="336" t="str">
        <f t="shared" si="67"/>
        <v/>
      </c>
      <c r="X452" s="338" t="str">
        <f t="shared" si="68"/>
        <v/>
      </c>
      <c r="Y452" s="274"/>
      <c r="AR452" t="str">
        <f t="shared" si="69"/>
        <v/>
      </c>
      <c r="AS452" t="str">
        <f t="shared" si="70"/>
        <v/>
      </c>
    </row>
    <row r="453" spans="1:45">
      <c r="A453" s="291"/>
      <c r="B453" s="292"/>
      <c r="C453" s="293"/>
      <c r="D453" s="293"/>
      <c r="E453" s="293"/>
      <c r="F453" s="293"/>
      <c r="G453" s="294"/>
      <c r="H453" s="300"/>
      <c r="I453" s="295"/>
      <c r="J453" s="295"/>
      <c r="K453" s="296"/>
      <c r="L453" s="301"/>
      <c r="M453" s="297"/>
      <c r="N453" s="298"/>
      <c r="P453" s="190" t="str">
        <f>IF(R453 = "", "", COUNT(R$4:$R453))</f>
        <v/>
      </c>
      <c r="Q453" s="190" t="str">
        <f t="shared" si="71"/>
        <v/>
      </c>
      <c r="R453" s="191" t="str">
        <f t="shared" si="72"/>
        <v/>
      </c>
      <c r="S453" s="192" t="str">
        <f t="shared" ref="S453:S516" si="74">IF(L453&lt;&gt;"",R453,"")</f>
        <v/>
      </c>
      <c r="T453" s="193" t="str">
        <f t="shared" ref="T453:T516" si="75">IF(IF(L453&lt;&gt;"",G453,"")=0, "O", IF(L453&lt;&gt;"",G453,""))</f>
        <v/>
      </c>
      <c r="U453" s="194" t="str">
        <f t="shared" ref="U453:U516" si="76">IF(M453&lt;&gt;"",R453,"")</f>
        <v/>
      </c>
      <c r="V453" s="195" t="str">
        <f t="shared" si="73"/>
        <v/>
      </c>
      <c r="W453" s="336" t="str">
        <f t="shared" ref="W453:W516" si="77">IF(N453&lt;&gt;"",R453,"")</f>
        <v/>
      </c>
      <c r="X453" s="338" t="str">
        <f t="shared" ref="X453:X516" si="78">IF(IF(N453&lt;&gt;"",G453,"")=0, "O", IF(N453&lt;&gt;"",G453,""))</f>
        <v/>
      </c>
      <c r="Y453" s="274"/>
      <c r="AR453" t="str">
        <f t="shared" ref="AR453:AR516" si="79">IF(P453&gt;0, P453, "")</f>
        <v/>
      </c>
      <c r="AS453" t="str">
        <f t="shared" ref="AS453:AS516" si="80">IF(OR(L453="Y",M453="Y",N453="Y"),"Y","")</f>
        <v/>
      </c>
    </row>
    <row r="454" spans="1:45">
      <c r="A454" s="291"/>
      <c r="B454" s="292"/>
      <c r="C454" s="293"/>
      <c r="D454" s="293"/>
      <c r="E454" s="293"/>
      <c r="F454" s="293"/>
      <c r="G454" s="294"/>
      <c r="H454" s="300"/>
      <c r="I454" s="295"/>
      <c r="J454" s="295"/>
      <c r="K454" s="296"/>
      <c r="L454" s="301"/>
      <c r="M454" s="297"/>
      <c r="N454" s="298"/>
      <c r="P454" s="190" t="str">
        <f>IF(R454 = "", "", COUNT(R$4:$R454))</f>
        <v/>
      </c>
      <c r="Q454" s="190" t="str">
        <f t="shared" si="71"/>
        <v/>
      </c>
      <c r="R454" s="191" t="str">
        <f t="shared" si="72"/>
        <v/>
      </c>
      <c r="S454" s="192" t="str">
        <f t="shared" si="74"/>
        <v/>
      </c>
      <c r="T454" s="193" t="str">
        <f t="shared" si="75"/>
        <v/>
      </c>
      <c r="U454" s="194" t="str">
        <f t="shared" si="76"/>
        <v/>
      </c>
      <c r="V454" s="195" t="str">
        <f t="shared" si="73"/>
        <v/>
      </c>
      <c r="W454" s="336" t="str">
        <f t="shared" si="77"/>
        <v/>
      </c>
      <c r="X454" s="338" t="str">
        <f t="shared" si="78"/>
        <v/>
      </c>
      <c r="Y454" s="274"/>
      <c r="AR454" t="str">
        <f t="shared" si="79"/>
        <v/>
      </c>
      <c r="AS454" t="str">
        <f t="shared" si="80"/>
        <v/>
      </c>
    </row>
    <row r="455" spans="1:45">
      <c r="A455" s="291"/>
      <c r="B455" s="292"/>
      <c r="C455" s="293"/>
      <c r="D455" s="293"/>
      <c r="E455" s="293"/>
      <c r="F455" s="293"/>
      <c r="G455" s="294"/>
      <c r="H455" s="300"/>
      <c r="I455" s="295"/>
      <c r="J455" s="295"/>
      <c r="K455" s="296"/>
      <c r="L455" s="301"/>
      <c r="M455" s="297"/>
      <c r="N455" s="298"/>
      <c r="P455" s="190" t="str">
        <f>IF(R455 = "", "", COUNT(R$4:$R455))</f>
        <v/>
      </c>
      <c r="Q455" s="190" t="str">
        <f t="shared" si="71"/>
        <v/>
      </c>
      <c r="R455" s="191" t="str">
        <f t="shared" si="72"/>
        <v/>
      </c>
      <c r="S455" s="192" t="str">
        <f t="shared" si="74"/>
        <v/>
      </c>
      <c r="T455" s="193" t="str">
        <f t="shared" si="75"/>
        <v/>
      </c>
      <c r="U455" s="194" t="str">
        <f t="shared" si="76"/>
        <v/>
      </c>
      <c r="V455" s="195" t="str">
        <f t="shared" si="73"/>
        <v/>
      </c>
      <c r="W455" s="336" t="str">
        <f t="shared" si="77"/>
        <v/>
      </c>
      <c r="X455" s="338" t="str">
        <f t="shared" si="78"/>
        <v/>
      </c>
      <c r="Y455" s="274"/>
      <c r="AR455" t="str">
        <f t="shared" si="79"/>
        <v/>
      </c>
      <c r="AS455" t="str">
        <f t="shared" si="80"/>
        <v/>
      </c>
    </row>
    <row r="456" spans="1:45">
      <c r="A456" s="291"/>
      <c r="B456" s="292"/>
      <c r="C456" s="293"/>
      <c r="D456" s="293"/>
      <c r="E456" s="293"/>
      <c r="F456" s="293"/>
      <c r="G456" s="294"/>
      <c r="H456" s="300"/>
      <c r="I456" s="295"/>
      <c r="J456" s="295"/>
      <c r="K456" s="296"/>
      <c r="L456" s="301"/>
      <c r="M456" s="297"/>
      <c r="N456" s="298"/>
      <c r="P456" s="190" t="str">
        <f>IF(R456 = "", "", COUNT(R$4:$R456))</f>
        <v/>
      </c>
      <c r="Q456" s="190" t="str">
        <f t="shared" si="71"/>
        <v/>
      </c>
      <c r="R456" s="191" t="str">
        <f t="shared" si="72"/>
        <v/>
      </c>
      <c r="S456" s="192" t="str">
        <f t="shared" si="74"/>
        <v/>
      </c>
      <c r="T456" s="193" t="str">
        <f t="shared" si="75"/>
        <v/>
      </c>
      <c r="U456" s="194" t="str">
        <f t="shared" si="76"/>
        <v/>
      </c>
      <c r="V456" s="195" t="str">
        <f t="shared" si="73"/>
        <v/>
      </c>
      <c r="W456" s="336" t="str">
        <f t="shared" si="77"/>
        <v/>
      </c>
      <c r="X456" s="338" t="str">
        <f t="shared" si="78"/>
        <v/>
      </c>
      <c r="Y456" s="274"/>
      <c r="AR456" t="str">
        <f t="shared" si="79"/>
        <v/>
      </c>
      <c r="AS456" t="str">
        <f t="shared" si="80"/>
        <v/>
      </c>
    </row>
    <row r="457" spans="1:45">
      <c r="A457" s="291"/>
      <c r="B457" s="292"/>
      <c r="C457" s="293"/>
      <c r="D457" s="293"/>
      <c r="E457" s="293"/>
      <c r="F457" s="293"/>
      <c r="G457" s="294"/>
      <c r="H457" s="300"/>
      <c r="I457" s="295"/>
      <c r="J457" s="295"/>
      <c r="K457" s="296"/>
      <c r="L457" s="301"/>
      <c r="M457" s="297"/>
      <c r="N457" s="298"/>
      <c r="P457" s="190" t="str">
        <f>IF(R457 = "", "", COUNT(R$4:$R457))</f>
        <v/>
      </c>
      <c r="Q457" s="190" t="str">
        <f t="shared" si="71"/>
        <v/>
      </c>
      <c r="R457" s="191" t="str">
        <f t="shared" si="72"/>
        <v/>
      </c>
      <c r="S457" s="192" t="str">
        <f t="shared" si="74"/>
        <v/>
      </c>
      <c r="T457" s="193" t="str">
        <f t="shared" si="75"/>
        <v/>
      </c>
      <c r="U457" s="194" t="str">
        <f t="shared" si="76"/>
        <v/>
      </c>
      <c r="V457" s="195" t="str">
        <f t="shared" si="73"/>
        <v/>
      </c>
      <c r="W457" s="336" t="str">
        <f t="shared" si="77"/>
        <v/>
      </c>
      <c r="X457" s="338" t="str">
        <f t="shared" si="78"/>
        <v/>
      </c>
      <c r="Y457" s="274"/>
      <c r="AR457" t="str">
        <f t="shared" si="79"/>
        <v/>
      </c>
      <c r="AS457" t="str">
        <f t="shared" si="80"/>
        <v/>
      </c>
    </row>
    <row r="458" spans="1:45">
      <c r="A458" s="291"/>
      <c r="B458" s="292"/>
      <c r="C458" s="293"/>
      <c r="D458" s="293"/>
      <c r="E458" s="293"/>
      <c r="F458" s="293"/>
      <c r="G458" s="294"/>
      <c r="H458" s="300"/>
      <c r="I458" s="295"/>
      <c r="J458" s="295"/>
      <c r="K458" s="296"/>
      <c r="L458" s="301"/>
      <c r="M458" s="297"/>
      <c r="N458" s="298"/>
      <c r="P458" s="190" t="str">
        <f>IF(R458 = "", "", COUNT(R$4:$R458))</f>
        <v/>
      </c>
      <c r="Q458" s="190" t="str">
        <f t="shared" si="71"/>
        <v/>
      </c>
      <c r="R458" s="191" t="str">
        <f t="shared" si="72"/>
        <v/>
      </c>
      <c r="S458" s="192" t="str">
        <f t="shared" si="74"/>
        <v/>
      </c>
      <c r="T458" s="193" t="str">
        <f t="shared" si="75"/>
        <v/>
      </c>
      <c r="U458" s="194" t="str">
        <f t="shared" si="76"/>
        <v/>
      </c>
      <c r="V458" s="195" t="str">
        <f t="shared" si="73"/>
        <v/>
      </c>
      <c r="W458" s="336" t="str">
        <f t="shared" si="77"/>
        <v/>
      </c>
      <c r="X458" s="338" t="str">
        <f t="shared" si="78"/>
        <v/>
      </c>
      <c r="Y458" s="274"/>
      <c r="AR458" t="str">
        <f t="shared" si="79"/>
        <v/>
      </c>
      <c r="AS458" t="str">
        <f t="shared" si="80"/>
        <v/>
      </c>
    </row>
    <row r="459" spans="1:45">
      <c r="A459" s="291"/>
      <c r="B459" s="292"/>
      <c r="C459" s="293"/>
      <c r="D459" s="293"/>
      <c r="E459" s="293"/>
      <c r="F459" s="293"/>
      <c r="G459" s="294"/>
      <c r="H459" s="300"/>
      <c r="I459" s="295"/>
      <c r="J459" s="295"/>
      <c r="K459" s="296"/>
      <c r="L459" s="301"/>
      <c r="M459" s="297"/>
      <c r="N459" s="298"/>
      <c r="P459" s="190" t="str">
        <f>IF(R459 = "", "", COUNT(R$4:$R459))</f>
        <v/>
      </c>
      <c r="Q459" s="190" t="str">
        <f t="shared" si="71"/>
        <v/>
      </c>
      <c r="R459" s="191" t="str">
        <f t="shared" si="72"/>
        <v/>
      </c>
      <c r="S459" s="192" t="str">
        <f t="shared" si="74"/>
        <v/>
      </c>
      <c r="T459" s="193" t="str">
        <f t="shared" si="75"/>
        <v/>
      </c>
      <c r="U459" s="194" t="str">
        <f t="shared" si="76"/>
        <v/>
      </c>
      <c r="V459" s="195" t="str">
        <f t="shared" si="73"/>
        <v/>
      </c>
      <c r="W459" s="336" t="str">
        <f t="shared" si="77"/>
        <v/>
      </c>
      <c r="X459" s="338" t="str">
        <f t="shared" si="78"/>
        <v/>
      </c>
      <c r="Y459" s="274"/>
      <c r="AR459" t="str">
        <f t="shared" si="79"/>
        <v/>
      </c>
      <c r="AS459" t="str">
        <f t="shared" si="80"/>
        <v/>
      </c>
    </row>
    <row r="460" spans="1:45">
      <c r="A460" s="291"/>
      <c r="B460" s="292"/>
      <c r="C460" s="293"/>
      <c r="D460" s="293"/>
      <c r="E460" s="293"/>
      <c r="F460" s="293"/>
      <c r="G460" s="294"/>
      <c r="H460" s="300"/>
      <c r="I460" s="295"/>
      <c r="J460" s="295"/>
      <c r="K460" s="296"/>
      <c r="L460" s="301"/>
      <c r="M460" s="297"/>
      <c r="N460" s="298"/>
      <c r="P460" s="190" t="str">
        <f>IF(R460 = "", "", COUNT(R$4:$R460))</f>
        <v/>
      </c>
      <c r="Q460" s="190" t="str">
        <f t="shared" si="71"/>
        <v/>
      </c>
      <c r="R460" s="191" t="str">
        <f t="shared" si="72"/>
        <v/>
      </c>
      <c r="S460" s="192" t="str">
        <f t="shared" si="74"/>
        <v/>
      </c>
      <c r="T460" s="193" t="str">
        <f t="shared" si="75"/>
        <v/>
      </c>
      <c r="U460" s="194" t="str">
        <f t="shared" si="76"/>
        <v/>
      </c>
      <c r="V460" s="195" t="str">
        <f t="shared" si="73"/>
        <v/>
      </c>
      <c r="W460" s="336" t="str">
        <f t="shared" si="77"/>
        <v/>
      </c>
      <c r="X460" s="338" t="str">
        <f t="shared" si="78"/>
        <v/>
      </c>
      <c r="Y460" s="274"/>
      <c r="AR460" t="str">
        <f t="shared" si="79"/>
        <v/>
      </c>
      <c r="AS460" t="str">
        <f t="shared" si="80"/>
        <v/>
      </c>
    </row>
    <row r="461" spans="1:45">
      <c r="A461" s="291"/>
      <c r="B461" s="292"/>
      <c r="C461" s="293"/>
      <c r="D461" s="293"/>
      <c r="E461" s="293"/>
      <c r="F461" s="293"/>
      <c r="G461" s="294"/>
      <c r="H461" s="300"/>
      <c r="I461" s="295"/>
      <c r="J461" s="295"/>
      <c r="K461" s="296"/>
      <c r="L461" s="301"/>
      <c r="M461" s="297"/>
      <c r="N461" s="298"/>
      <c r="P461" s="190" t="str">
        <f>IF(R461 = "", "", COUNT(R$4:$R461))</f>
        <v/>
      </c>
      <c r="Q461" s="190" t="str">
        <f t="shared" si="71"/>
        <v/>
      </c>
      <c r="R461" s="191" t="str">
        <f t="shared" si="72"/>
        <v/>
      </c>
      <c r="S461" s="192" t="str">
        <f t="shared" si="74"/>
        <v/>
      </c>
      <c r="T461" s="193" t="str">
        <f t="shared" si="75"/>
        <v/>
      </c>
      <c r="U461" s="194" t="str">
        <f t="shared" si="76"/>
        <v/>
      </c>
      <c r="V461" s="195" t="str">
        <f t="shared" si="73"/>
        <v/>
      </c>
      <c r="W461" s="336" t="str">
        <f t="shared" si="77"/>
        <v/>
      </c>
      <c r="X461" s="338" t="str">
        <f t="shared" si="78"/>
        <v/>
      </c>
      <c r="Y461" s="274"/>
      <c r="AR461" t="str">
        <f t="shared" si="79"/>
        <v/>
      </c>
      <c r="AS461" t="str">
        <f t="shared" si="80"/>
        <v/>
      </c>
    </row>
    <row r="462" spans="1:45">
      <c r="A462" s="291"/>
      <c r="B462" s="292"/>
      <c r="C462" s="293"/>
      <c r="D462" s="293"/>
      <c r="E462" s="293"/>
      <c r="F462" s="293"/>
      <c r="G462" s="294"/>
      <c r="H462" s="300"/>
      <c r="I462" s="295"/>
      <c r="J462" s="295"/>
      <c r="K462" s="296"/>
      <c r="L462" s="301"/>
      <c r="M462" s="297"/>
      <c r="N462" s="298"/>
      <c r="P462" s="190" t="str">
        <f>IF(R462 = "", "", COUNT(R$4:$R462))</f>
        <v/>
      </c>
      <c r="Q462" s="190" t="str">
        <f t="shared" si="71"/>
        <v/>
      </c>
      <c r="R462" s="191" t="str">
        <f t="shared" si="72"/>
        <v/>
      </c>
      <c r="S462" s="192" t="str">
        <f t="shared" si="74"/>
        <v/>
      </c>
      <c r="T462" s="193" t="str">
        <f t="shared" si="75"/>
        <v/>
      </c>
      <c r="U462" s="194" t="str">
        <f t="shared" si="76"/>
        <v/>
      </c>
      <c r="V462" s="195" t="str">
        <f t="shared" si="73"/>
        <v/>
      </c>
      <c r="W462" s="336" t="str">
        <f t="shared" si="77"/>
        <v/>
      </c>
      <c r="X462" s="338" t="str">
        <f t="shared" si="78"/>
        <v/>
      </c>
      <c r="Y462" s="274"/>
      <c r="AR462" t="str">
        <f t="shared" si="79"/>
        <v/>
      </c>
      <c r="AS462" t="str">
        <f t="shared" si="80"/>
        <v/>
      </c>
    </row>
    <row r="463" spans="1:45">
      <c r="A463" s="291"/>
      <c r="B463" s="292"/>
      <c r="C463" s="293"/>
      <c r="D463" s="293"/>
      <c r="E463" s="293"/>
      <c r="F463" s="293"/>
      <c r="G463" s="294"/>
      <c r="H463" s="300"/>
      <c r="I463" s="295"/>
      <c r="J463" s="295"/>
      <c r="K463" s="296"/>
      <c r="L463" s="301"/>
      <c r="M463" s="297"/>
      <c r="N463" s="298"/>
      <c r="P463" s="190" t="str">
        <f>IF(R463 = "", "", COUNT(R$4:$R463))</f>
        <v/>
      </c>
      <c r="Q463" s="190" t="str">
        <f t="shared" si="71"/>
        <v/>
      </c>
      <c r="R463" s="191" t="str">
        <f t="shared" si="72"/>
        <v/>
      </c>
      <c r="S463" s="192" t="str">
        <f t="shared" si="74"/>
        <v/>
      </c>
      <c r="T463" s="193" t="str">
        <f t="shared" si="75"/>
        <v/>
      </c>
      <c r="U463" s="194" t="str">
        <f t="shared" si="76"/>
        <v/>
      </c>
      <c r="V463" s="195" t="str">
        <f t="shared" si="73"/>
        <v/>
      </c>
      <c r="W463" s="336" t="str">
        <f t="shared" si="77"/>
        <v/>
      </c>
      <c r="X463" s="338" t="str">
        <f t="shared" si="78"/>
        <v/>
      </c>
      <c r="Y463" s="274"/>
      <c r="AR463" t="str">
        <f t="shared" si="79"/>
        <v/>
      </c>
      <c r="AS463" t="str">
        <f t="shared" si="80"/>
        <v/>
      </c>
    </row>
    <row r="464" spans="1:45">
      <c r="A464" s="291"/>
      <c r="B464" s="292"/>
      <c r="C464" s="293"/>
      <c r="D464" s="293"/>
      <c r="E464" s="293"/>
      <c r="F464" s="293"/>
      <c r="G464" s="294"/>
      <c r="H464" s="300"/>
      <c r="I464" s="295"/>
      <c r="J464" s="295"/>
      <c r="K464" s="296"/>
      <c r="L464" s="301"/>
      <c r="M464" s="297"/>
      <c r="N464" s="298"/>
      <c r="P464" s="190" t="str">
        <f>IF(R464 = "", "", COUNT(R$4:$R464))</f>
        <v/>
      </c>
      <c r="Q464" s="190" t="str">
        <f t="shared" si="71"/>
        <v/>
      </c>
      <c r="R464" s="191" t="str">
        <f t="shared" si="72"/>
        <v/>
      </c>
      <c r="S464" s="192" t="str">
        <f t="shared" si="74"/>
        <v/>
      </c>
      <c r="T464" s="193" t="str">
        <f t="shared" si="75"/>
        <v/>
      </c>
      <c r="U464" s="194" t="str">
        <f t="shared" si="76"/>
        <v/>
      </c>
      <c r="V464" s="195" t="str">
        <f t="shared" si="73"/>
        <v/>
      </c>
      <c r="W464" s="336" t="str">
        <f t="shared" si="77"/>
        <v/>
      </c>
      <c r="X464" s="338" t="str">
        <f t="shared" si="78"/>
        <v/>
      </c>
      <c r="Y464" s="274"/>
      <c r="AR464" t="str">
        <f t="shared" si="79"/>
        <v/>
      </c>
      <c r="AS464" t="str">
        <f t="shared" si="80"/>
        <v/>
      </c>
    </row>
    <row r="465" spans="1:45">
      <c r="A465" s="291"/>
      <c r="B465" s="292"/>
      <c r="C465" s="293"/>
      <c r="D465" s="293"/>
      <c r="E465" s="293"/>
      <c r="F465" s="293"/>
      <c r="G465" s="294"/>
      <c r="H465" s="300"/>
      <c r="I465" s="295"/>
      <c r="J465" s="295"/>
      <c r="K465" s="296"/>
      <c r="L465" s="301"/>
      <c r="M465" s="297"/>
      <c r="N465" s="298"/>
      <c r="P465" s="190" t="str">
        <f>IF(R465 = "", "", COUNT(R$4:$R465))</f>
        <v/>
      </c>
      <c r="Q465" s="190" t="str">
        <f t="shared" si="71"/>
        <v/>
      </c>
      <c r="R465" s="191" t="str">
        <f t="shared" si="72"/>
        <v/>
      </c>
      <c r="S465" s="192" t="str">
        <f t="shared" si="74"/>
        <v/>
      </c>
      <c r="T465" s="193" t="str">
        <f t="shared" si="75"/>
        <v/>
      </c>
      <c r="U465" s="194" t="str">
        <f t="shared" si="76"/>
        <v/>
      </c>
      <c r="V465" s="195" t="str">
        <f t="shared" si="73"/>
        <v/>
      </c>
      <c r="W465" s="336" t="str">
        <f t="shared" si="77"/>
        <v/>
      </c>
      <c r="X465" s="338" t="str">
        <f t="shared" si="78"/>
        <v/>
      </c>
      <c r="Y465" s="274"/>
      <c r="AR465" t="str">
        <f t="shared" si="79"/>
        <v/>
      </c>
      <c r="AS465" t="str">
        <f t="shared" si="80"/>
        <v/>
      </c>
    </row>
    <row r="466" spans="1:45">
      <c r="A466" s="291"/>
      <c r="B466" s="292"/>
      <c r="C466" s="293"/>
      <c r="D466" s="293"/>
      <c r="E466" s="293"/>
      <c r="F466" s="293"/>
      <c r="G466" s="294"/>
      <c r="H466" s="300"/>
      <c r="I466" s="295"/>
      <c r="J466" s="295"/>
      <c r="K466" s="296"/>
      <c r="L466" s="301"/>
      <c r="M466" s="297"/>
      <c r="N466" s="298"/>
      <c r="P466" s="190" t="str">
        <f>IF(R466 = "", "", COUNT(R$4:$R466))</f>
        <v/>
      </c>
      <c r="Q466" s="190" t="str">
        <f t="shared" si="71"/>
        <v/>
      </c>
      <c r="R466" s="191" t="str">
        <f t="shared" si="72"/>
        <v/>
      </c>
      <c r="S466" s="192" t="str">
        <f t="shared" si="74"/>
        <v/>
      </c>
      <c r="T466" s="193" t="str">
        <f t="shared" si="75"/>
        <v/>
      </c>
      <c r="U466" s="194" t="str">
        <f t="shared" si="76"/>
        <v/>
      </c>
      <c r="V466" s="195" t="str">
        <f t="shared" si="73"/>
        <v/>
      </c>
      <c r="W466" s="336" t="str">
        <f t="shared" si="77"/>
        <v/>
      </c>
      <c r="X466" s="338" t="str">
        <f t="shared" si="78"/>
        <v/>
      </c>
      <c r="Y466" s="274"/>
      <c r="AR466" t="str">
        <f t="shared" si="79"/>
        <v/>
      </c>
      <c r="AS466" t="str">
        <f t="shared" si="80"/>
        <v/>
      </c>
    </row>
    <row r="467" spans="1:45">
      <c r="A467" s="291"/>
      <c r="B467" s="292"/>
      <c r="C467" s="293"/>
      <c r="D467" s="293"/>
      <c r="E467" s="293"/>
      <c r="F467" s="293"/>
      <c r="G467" s="294"/>
      <c r="H467" s="300"/>
      <c r="I467" s="295"/>
      <c r="J467" s="295"/>
      <c r="K467" s="296"/>
      <c r="L467" s="301"/>
      <c r="M467" s="297"/>
      <c r="N467" s="298"/>
      <c r="P467" s="190" t="str">
        <f>IF(R467 = "", "", COUNT(R$4:$R467))</f>
        <v/>
      </c>
      <c r="Q467" s="190" t="str">
        <f t="shared" si="71"/>
        <v/>
      </c>
      <c r="R467" s="191" t="str">
        <f t="shared" si="72"/>
        <v/>
      </c>
      <c r="S467" s="192" t="str">
        <f t="shared" si="74"/>
        <v/>
      </c>
      <c r="T467" s="193" t="str">
        <f t="shared" si="75"/>
        <v/>
      </c>
      <c r="U467" s="194" t="str">
        <f t="shared" si="76"/>
        <v/>
      </c>
      <c r="V467" s="195" t="str">
        <f t="shared" si="73"/>
        <v/>
      </c>
      <c r="W467" s="336" t="str">
        <f t="shared" si="77"/>
        <v/>
      </c>
      <c r="X467" s="338" t="str">
        <f t="shared" si="78"/>
        <v/>
      </c>
      <c r="Y467" s="274"/>
      <c r="AR467" t="str">
        <f t="shared" si="79"/>
        <v/>
      </c>
      <c r="AS467" t="str">
        <f t="shared" si="80"/>
        <v/>
      </c>
    </row>
    <row r="468" spans="1:45">
      <c r="A468" s="291"/>
      <c r="B468" s="292"/>
      <c r="C468" s="293"/>
      <c r="D468" s="293"/>
      <c r="E468" s="293"/>
      <c r="F468" s="293"/>
      <c r="G468" s="294"/>
      <c r="H468" s="300"/>
      <c r="I468" s="295"/>
      <c r="J468" s="295"/>
      <c r="K468" s="296"/>
      <c r="L468" s="301"/>
      <c r="M468" s="297"/>
      <c r="N468" s="298"/>
      <c r="P468" s="190" t="str">
        <f>IF(R468 = "", "", COUNT(R$4:$R468))</f>
        <v/>
      </c>
      <c r="Q468" s="190" t="str">
        <f t="shared" si="71"/>
        <v/>
      </c>
      <c r="R468" s="191" t="str">
        <f t="shared" si="72"/>
        <v/>
      </c>
      <c r="S468" s="192" t="str">
        <f t="shared" si="74"/>
        <v/>
      </c>
      <c r="T468" s="193" t="str">
        <f t="shared" si="75"/>
        <v/>
      </c>
      <c r="U468" s="194" t="str">
        <f t="shared" si="76"/>
        <v/>
      </c>
      <c r="V468" s="195" t="str">
        <f t="shared" si="73"/>
        <v/>
      </c>
      <c r="W468" s="336" t="str">
        <f t="shared" si="77"/>
        <v/>
      </c>
      <c r="X468" s="338" t="str">
        <f t="shared" si="78"/>
        <v/>
      </c>
      <c r="Y468" s="274"/>
      <c r="AR468" t="str">
        <f t="shared" si="79"/>
        <v/>
      </c>
      <c r="AS468" t="str">
        <f t="shared" si="80"/>
        <v/>
      </c>
    </row>
    <row r="469" spans="1:45">
      <c r="A469" s="291"/>
      <c r="B469" s="292"/>
      <c r="C469" s="293"/>
      <c r="D469" s="293"/>
      <c r="E469" s="293"/>
      <c r="F469" s="293"/>
      <c r="G469" s="294"/>
      <c r="H469" s="300"/>
      <c r="I469" s="295"/>
      <c r="J469" s="295"/>
      <c r="K469" s="296"/>
      <c r="L469" s="301"/>
      <c r="M469" s="297"/>
      <c r="N469" s="298"/>
      <c r="P469" s="190" t="str">
        <f>IF(R469 = "", "", COUNT(R$4:$R469))</f>
        <v/>
      </c>
      <c r="Q469" s="190" t="str">
        <f t="shared" si="71"/>
        <v/>
      </c>
      <c r="R469" s="191" t="str">
        <f t="shared" si="72"/>
        <v/>
      </c>
      <c r="S469" s="192" t="str">
        <f t="shared" si="74"/>
        <v/>
      </c>
      <c r="T469" s="193" t="str">
        <f t="shared" si="75"/>
        <v/>
      </c>
      <c r="U469" s="194" t="str">
        <f t="shared" si="76"/>
        <v/>
      </c>
      <c r="V469" s="195" t="str">
        <f t="shared" si="73"/>
        <v/>
      </c>
      <c r="W469" s="336" t="str">
        <f t="shared" si="77"/>
        <v/>
      </c>
      <c r="X469" s="338" t="str">
        <f t="shared" si="78"/>
        <v/>
      </c>
      <c r="Y469" s="274"/>
      <c r="AR469" t="str">
        <f t="shared" si="79"/>
        <v/>
      </c>
      <c r="AS469" t="str">
        <f t="shared" si="80"/>
        <v/>
      </c>
    </row>
    <row r="470" spans="1:45">
      <c r="A470" s="291"/>
      <c r="B470" s="292"/>
      <c r="C470" s="293"/>
      <c r="D470" s="293"/>
      <c r="E470" s="293"/>
      <c r="F470" s="293"/>
      <c r="G470" s="294"/>
      <c r="H470" s="300"/>
      <c r="I470" s="295"/>
      <c r="J470" s="295"/>
      <c r="K470" s="296"/>
      <c r="L470" s="301"/>
      <c r="M470" s="297"/>
      <c r="N470" s="298"/>
      <c r="P470" s="190" t="str">
        <f>IF(R470 = "", "", COUNT(R$4:$R470))</f>
        <v/>
      </c>
      <c r="Q470" s="190" t="str">
        <f t="shared" si="71"/>
        <v/>
      </c>
      <c r="R470" s="191" t="str">
        <f t="shared" si="72"/>
        <v/>
      </c>
      <c r="S470" s="192" t="str">
        <f t="shared" si="74"/>
        <v/>
      </c>
      <c r="T470" s="193" t="str">
        <f t="shared" si="75"/>
        <v/>
      </c>
      <c r="U470" s="194" t="str">
        <f t="shared" si="76"/>
        <v/>
      </c>
      <c r="V470" s="195" t="str">
        <f t="shared" si="73"/>
        <v/>
      </c>
      <c r="W470" s="336" t="str">
        <f t="shared" si="77"/>
        <v/>
      </c>
      <c r="X470" s="338" t="str">
        <f t="shared" si="78"/>
        <v/>
      </c>
      <c r="Y470" s="274"/>
      <c r="AR470" t="str">
        <f t="shared" si="79"/>
        <v/>
      </c>
      <c r="AS470" t="str">
        <f t="shared" si="80"/>
        <v/>
      </c>
    </row>
    <row r="471" spans="1:45">
      <c r="A471" s="291"/>
      <c r="B471" s="292"/>
      <c r="C471" s="293"/>
      <c r="D471" s="293"/>
      <c r="E471" s="293"/>
      <c r="F471" s="293"/>
      <c r="G471" s="294"/>
      <c r="H471" s="300"/>
      <c r="I471" s="295"/>
      <c r="J471" s="295"/>
      <c r="K471" s="296"/>
      <c r="L471" s="301"/>
      <c r="M471" s="297"/>
      <c r="N471" s="298"/>
      <c r="P471" s="190" t="str">
        <f>IF(R471 = "", "", COUNT(R$4:$R471))</f>
        <v/>
      </c>
      <c r="Q471" s="190" t="str">
        <f t="shared" si="71"/>
        <v/>
      </c>
      <c r="R471" s="191" t="str">
        <f t="shared" si="72"/>
        <v/>
      </c>
      <c r="S471" s="192" t="str">
        <f t="shared" si="74"/>
        <v/>
      </c>
      <c r="T471" s="193" t="str">
        <f t="shared" si="75"/>
        <v/>
      </c>
      <c r="U471" s="194" t="str">
        <f t="shared" si="76"/>
        <v/>
      </c>
      <c r="V471" s="195" t="str">
        <f t="shared" si="73"/>
        <v/>
      </c>
      <c r="W471" s="336" t="str">
        <f t="shared" si="77"/>
        <v/>
      </c>
      <c r="X471" s="338" t="str">
        <f t="shared" si="78"/>
        <v/>
      </c>
      <c r="Y471" s="274"/>
      <c r="AR471" t="str">
        <f t="shared" si="79"/>
        <v/>
      </c>
      <c r="AS471" t="str">
        <f t="shared" si="80"/>
        <v/>
      </c>
    </row>
    <row r="472" spans="1:45">
      <c r="A472" s="291"/>
      <c r="B472" s="292"/>
      <c r="C472" s="293"/>
      <c r="D472" s="293"/>
      <c r="E472" s="293"/>
      <c r="F472" s="293"/>
      <c r="G472" s="294"/>
      <c r="H472" s="300"/>
      <c r="I472" s="295"/>
      <c r="J472" s="295"/>
      <c r="K472" s="296"/>
      <c r="L472" s="301"/>
      <c r="M472" s="297"/>
      <c r="N472" s="298"/>
      <c r="P472" s="190" t="str">
        <f>IF(R472 = "", "", COUNT(R$4:$R472))</f>
        <v/>
      </c>
      <c r="Q472" s="190" t="str">
        <f t="shared" si="71"/>
        <v/>
      </c>
      <c r="R472" s="191" t="str">
        <f t="shared" si="72"/>
        <v/>
      </c>
      <c r="S472" s="192" t="str">
        <f t="shared" si="74"/>
        <v/>
      </c>
      <c r="T472" s="193" t="str">
        <f t="shared" si="75"/>
        <v/>
      </c>
      <c r="U472" s="194" t="str">
        <f t="shared" si="76"/>
        <v/>
      </c>
      <c r="V472" s="195" t="str">
        <f t="shared" si="73"/>
        <v/>
      </c>
      <c r="W472" s="336" t="str">
        <f t="shared" si="77"/>
        <v/>
      </c>
      <c r="X472" s="338" t="str">
        <f t="shared" si="78"/>
        <v/>
      </c>
      <c r="Y472" s="274"/>
      <c r="AR472" t="str">
        <f t="shared" si="79"/>
        <v/>
      </c>
      <c r="AS472" t="str">
        <f t="shared" si="80"/>
        <v/>
      </c>
    </row>
    <row r="473" spans="1:45">
      <c r="A473" s="291"/>
      <c r="B473" s="292"/>
      <c r="C473" s="293"/>
      <c r="D473" s="293"/>
      <c r="E473" s="293"/>
      <c r="F473" s="293"/>
      <c r="G473" s="294"/>
      <c r="H473" s="300"/>
      <c r="I473" s="295"/>
      <c r="J473" s="295"/>
      <c r="K473" s="296"/>
      <c r="L473" s="301"/>
      <c r="M473" s="297"/>
      <c r="N473" s="298"/>
      <c r="P473" s="190" t="str">
        <f>IF(R473 = "", "", COUNT(R$4:$R473))</f>
        <v/>
      </c>
      <c r="Q473" s="190" t="str">
        <f t="shared" si="71"/>
        <v/>
      </c>
      <c r="R473" s="191" t="str">
        <f t="shared" si="72"/>
        <v/>
      </c>
      <c r="S473" s="192" t="str">
        <f t="shared" si="74"/>
        <v/>
      </c>
      <c r="T473" s="193" t="str">
        <f t="shared" si="75"/>
        <v/>
      </c>
      <c r="U473" s="194" t="str">
        <f t="shared" si="76"/>
        <v/>
      </c>
      <c r="V473" s="195" t="str">
        <f t="shared" si="73"/>
        <v/>
      </c>
      <c r="W473" s="336" t="str">
        <f t="shared" si="77"/>
        <v/>
      </c>
      <c r="X473" s="338" t="str">
        <f t="shared" si="78"/>
        <v/>
      </c>
      <c r="Y473" s="274"/>
      <c r="AR473" t="str">
        <f t="shared" si="79"/>
        <v/>
      </c>
      <c r="AS473" t="str">
        <f t="shared" si="80"/>
        <v/>
      </c>
    </row>
    <row r="474" spans="1:45">
      <c r="A474" s="291"/>
      <c r="B474" s="292"/>
      <c r="C474" s="293"/>
      <c r="D474" s="293"/>
      <c r="E474" s="293"/>
      <c r="F474" s="293"/>
      <c r="G474" s="294"/>
      <c r="H474" s="300"/>
      <c r="I474" s="295"/>
      <c r="J474" s="295"/>
      <c r="K474" s="296"/>
      <c r="L474" s="301"/>
      <c r="M474" s="297"/>
      <c r="N474" s="298"/>
      <c r="P474" s="190" t="str">
        <f>IF(R474 = "", "", COUNT(R$4:$R474))</f>
        <v/>
      </c>
      <c r="Q474" s="190" t="str">
        <f t="shared" si="71"/>
        <v/>
      </c>
      <c r="R474" s="191" t="str">
        <f t="shared" si="72"/>
        <v/>
      </c>
      <c r="S474" s="192" t="str">
        <f t="shared" si="74"/>
        <v/>
      </c>
      <c r="T474" s="193" t="str">
        <f t="shared" si="75"/>
        <v/>
      </c>
      <c r="U474" s="194" t="str">
        <f t="shared" si="76"/>
        <v/>
      </c>
      <c r="V474" s="195" t="str">
        <f t="shared" si="73"/>
        <v/>
      </c>
      <c r="W474" s="336" t="str">
        <f t="shared" si="77"/>
        <v/>
      </c>
      <c r="X474" s="338" t="str">
        <f t="shared" si="78"/>
        <v/>
      </c>
      <c r="Y474" s="274"/>
      <c r="AR474" t="str">
        <f t="shared" si="79"/>
        <v/>
      </c>
      <c r="AS474" t="str">
        <f t="shared" si="80"/>
        <v/>
      </c>
    </row>
    <row r="475" spans="1:45">
      <c r="A475" s="291"/>
      <c r="B475" s="292"/>
      <c r="C475" s="293"/>
      <c r="D475" s="293"/>
      <c r="E475" s="293"/>
      <c r="F475" s="293"/>
      <c r="G475" s="294"/>
      <c r="H475" s="300"/>
      <c r="I475" s="295"/>
      <c r="J475" s="295"/>
      <c r="K475" s="296"/>
      <c r="L475" s="301"/>
      <c r="M475" s="297"/>
      <c r="N475" s="298"/>
      <c r="P475" s="190" t="str">
        <f>IF(R475 = "", "", COUNT(R$4:$R475))</f>
        <v/>
      </c>
      <c r="Q475" s="190" t="str">
        <f t="shared" si="71"/>
        <v/>
      </c>
      <c r="R475" s="191" t="str">
        <f t="shared" si="72"/>
        <v/>
      </c>
      <c r="S475" s="192" t="str">
        <f t="shared" si="74"/>
        <v/>
      </c>
      <c r="T475" s="193" t="str">
        <f t="shared" si="75"/>
        <v/>
      </c>
      <c r="U475" s="194" t="str">
        <f t="shared" si="76"/>
        <v/>
      </c>
      <c r="V475" s="195" t="str">
        <f t="shared" si="73"/>
        <v/>
      </c>
      <c r="W475" s="336" t="str">
        <f t="shared" si="77"/>
        <v/>
      </c>
      <c r="X475" s="338" t="str">
        <f t="shared" si="78"/>
        <v/>
      </c>
      <c r="Y475" s="274"/>
      <c r="AR475" t="str">
        <f t="shared" si="79"/>
        <v/>
      </c>
      <c r="AS475" t="str">
        <f t="shared" si="80"/>
        <v/>
      </c>
    </row>
    <row r="476" spans="1:45">
      <c r="A476" s="291"/>
      <c r="B476" s="292"/>
      <c r="C476" s="293"/>
      <c r="D476" s="293"/>
      <c r="E476" s="293"/>
      <c r="F476" s="293"/>
      <c r="G476" s="294"/>
      <c r="H476" s="300"/>
      <c r="I476" s="295"/>
      <c r="J476" s="295"/>
      <c r="K476" s="296"/>
      <c r="L476" s="301"/>
      <c r="M476" s="297"/>
      <c r="N476" s="298"/>
      <c r="P476" s="190" t="str">
        <f>IF(R476 = "", "", COUNT(R$4:$R476))</f>
        <v/>
      </c>
      <c r="Q476" s="190" t="str">
        <f t="shared" si="71"/>
        <v/>
      </c>
      <c r="R476" s="191" t="str">
        <f t="shared" si="72"/>
        <v/>
      </c>
      <c r="S476" s="192" t="str">
        <f t="shared" si="74"/>
        <v/>
      </c>
      <c r="T476" s="193" t="str">
        <f t="shared" si="75"/>
        <v/>
      </c>
      <c r="U476" s="194" t="str">
        <f t="shared" si="76"/>
        <v/>
      </c>
      <c r="V476" s="195" t="str">
        <f t="shared" si="73"/>
        <v/>
      </c>
      <c r="W476" s="336" t="str">
        <f t="shared" si="77"/>
        <v/>
      </c>
      <c r="X476" s="338" t="str">
        <f t="shared" si="78"/>
        <v/>
      </c>
      <c r="Y476" s="274"/>
      <c r="AR476" t="str">
        <f t="shared" si="79"/>
        <v/>
      </c>
      <c r="AS476" t="str">
        <f t="shared" si="80"/>
        <v/>
      </c>
    </row>
    <row r="477" spans="1:45">
      <c r="A477" s="291"/>
      <c r="B477" s="292"/>
      <c r="C477" s="293"/>
      <c r="D477" s="293"/>
      <c r="E477" s="293"/>
      <c r="F477" s="293"/>
      <c r="G477" s="294"/>
      <c r="H477" s="300"/>
      <c r="I477" s="295"/>
      <c r="J477" s="295"/>
      <c r="K477" s="296"/>
      <c r="L477" s="301"/>
      <c r="M477" s="297"/>
      <c r="N477" s="298"/>
      <c r="P477" s="190" t="str">
        <f>IF(R477 = "", "", COUNT(R$4:$R477))</f>
        <v/>
      </c>
      <c r="Q477" s="190" t="str">
        <f t="shared" si="71"/>
        <v/>
      </c>
      <c r="R477" s="191" t="str">
        <f t="shared" si="72"/>
        <v/>
      </c>
      <c r="S477" s="192" t="str">
        <f t="shared" si="74"/>
        <v/>
      </c>
      <c r="T477" s="193" t="str">
        <f t="shared" si="75"/>
        <v/>
      </c>
      <c r="U477" s="194" t="str">
        <f t="shared" si="76"/>
        <v/>
      </c>
      <c r="V477" s="195" t="str">
        <f t="shared" si="73"/>
        <v/>
      </c>
      <c r="W477" s="336" t="str">
        <f t="shared" si="77"/>
        <v/>
      </c>
      <c r="X477" s="338" t="str">
        <f t="shared" si="78"/>
        <v/>
      </c>
      <c r="Y477" s="274"/>
      <c r="AR477" t="str">
        <f t="shared" si="79"/>
        <v/>
      </c>
      <c r="AS477" t="str">
        <f t="shared" si="80"/>
        <v/>
      </c>
    </row>
    <row r="478" spans="1:45">
      <c r="A478" s="291"/>
      <c r="B478" s="292"/>
      <c r="C478" s="293"/>
      <c r="D478" s="293"/>
      <c r="E478" s="293"/>
      <c r="F478" s="293"/>
      <c r="G478" s="294"/>
      <c r="H478" s="300"/>
      <c r="I478" s="295"/>
      <c r="J478" s="295"/>
      <c r="K478" s="296"/>
      <c r="L478" s="301"/>
      <c r="M478" s="297"/>
      <c r="N478" s="298"/>
      <c r="P478" s="190" t="str">
        <f>IF(R478 = "", "", COUNT(R$4:$R478))</f>
        <v/>
      </c>
      <c r="Q478" s="190" t="str">
        <f t="shared" si="71"/>
        <v/>
      </c>
      <c r="R478" s="191" t="str">
        <f t="shared" si="72"/>
        <v/>
      </c>
      <c r="S478" s="192" t="str">
        <f t="shared" si="74"/>
        <v/>
      </c>
      <c r="T478" s="193" t="str">
        <f t="shared" si="75"/>
        <v/>
      </c>
      <c r="U478" s="194" t="str">
        <f t="shared" si="76"/>
        <v/>
      </c>
      <c r="V478" s="195" t="str">
        <f t="shared" si="73"/>
        <v/>
      </c>
      <c r="W478" s="336" t="str">
        <f t="shared" si="77"/>
        <v/>
      </c>
      <c r="X478" s="338" t="str">
        <f t="shared" si="78"/>
        <v/>
      </c>
      <c r="Y478" s="274"/>
      <c r="AR478" t="str">
        <f t="shared" si="79"/>
        <v/>
      </c>
      <c r="AS478" t="str">
        <f t="shared" si="80"/>
        <v/>
      </c>
    </row>
    <row r="479" spans="1:45">
      <c r="A479" s="291"/>
      <c r="B479" s="292"/>
      <c r="C479" s="293"/>
      <c r="D479" s="293"/>
      <c r="E479" s="293"/>
      <c r="F479" s="293"/>
      <c r="G479" s="294"/>
      <c r="H479" s="300"/>
      <c r="I479" s="295"/>
      <c r="J479" s="295"/>
      <c r="K479" s="296"/>
      <c r="L479" s="301"/>
      <c r="M479" s="297"/>
      <c r="N479" s="298"/>
      <c r="P479" s="190" t="str">
        <f>IF(R479 = "", "", COUNT(R$4:$R479))</f>
        <v/>
      </c>
      <c r="Q479" s="190" t="str">
        <f t="shared" si="71"/>
        <v/>
      </c>
      <c r="R479" s="191" t="str">
        <f t="shared" si="72"/>
        <v/>
      </c>
      <c r="S479" s="192" t="str">
        <f t="shared" si="74"/>
        <v/>
      </c>
      <c r="T479" s="193" t="str">
        <f t="shared" si="75"/>
        <v/>
      </c>
      <c r="U479" s="194" t="str">
        <f t="shared" si="76"/>
        <v/>
      </c>
      <c r="V479" s="195" t="str">
        <f t="shared" si="73"/>
        <v/>
      </c>
      <c r="W479" s="336" t="str">
        <f t="shared" si="77"/>
        <v/>
      </c>
      <c r="X479" s="338" t="str">
        <f t="shared" si="78"/>
        <v/>
      </c>
      <c r="Y479" s="274"/>
      <c r="AR479" t="str">
        <f t="shared" si="79"/>
        <v/>
      </c>
      <c r="AS479" t="str">
        <f t="shared" si="80"/>
        <v/>
      </c>
    </row>
    <row r="480" spans="1:45">
      <c r="A480" s="291"/>
      <c r="B480" s="292"/>
      <c r="C480" s="293"/>
      <c r="D480" s="293"/>
      <c r="E480" s="293"/>
      <c r="F480" s="293"/>
      <c r="G480" s="294"/>
      <c r="H480" s="300"/>
      <c r="I480" s="295"/>
      <c r="J480" s="295"/>
      <c r="K480" s="296"/>
      <c r="L480" s="301"/>
      <c r="M480" s="297"/>
      <c r="N480" s="298"/>
      <c r="P480" s="190" t="str">
        <f>IF(R480 = "", "", COUNT(R$4:$R480))</f>
        <v/>
      </c>
      <c r="Q480" s="190" t="str">
        <f t="shared" si="71"/>
        <v/>
      </c>
      <c r="R480" s="191" t="str">
        <f t="shared" si="72"/>
        <v/>
      </c>
      <c r="S480" s="192" t="str">
        <f t="shared" si="74"/>
        <v/>
      </c>
      <c r="T480" s="193" t="str">
        <f t="shared" si="75"/>
        <v/>
      </c>
      <c r="U480" s="194" t="str">
        <f t="shared" si="76"/>
        <v/>
      </c>
      <c r="V480" s="195" t="str">
        <f t="shared" si="73"/>
        <v/>
      </c>
      <c r="W480" s="336" t="str">
        <f t="shared" si="77"/>
        <v/>
      </c>
      <c r="X480" s="338" t="str">
        <f t="shared" si="78"/>
        <v/>
      </c>
      <c r="Y480" s="274"/>
      <c r="AR480" t="str">
        <f t="shared" si="79"/>
        <v/>
      </c>
      <c r="AS480" t="str">
        <f t="shared" si="80"/>
        <v/>
      </c>
    </row>
    <row r="481" spans="1:45">
      <c r="A481" s="291"/>
      <c r="B481" s="292"/>
      <c r="C481" s="293"/>
      <c r="D481" s="293"/>
      <c r="E481" s="293"/>
      <c r="F481" s="293"/>
      <c r="G481" s="294"/>
      <c r="H481" s="300"/>
      <c r="I481" s="295"/>
      <c r="J481" s="295"/>
      <c r="K481" s="296"/>
      <c r="L481" s="301"/>
      <c r="M481" s="297"/>
      <c r="N481" s="298"/>
      <c r="P481" s="190" t="str">
        <f>IF(R481 = "", "", COUNT(R$4:$R481))</f>
        <v/>
      </c>
      <c r="Q481" s="190" t="str">
        <f t="shared" si="71"/>
        <v/>
      </c>
      <c r="R481" s="191" t="str">
        <f t="shared" si="72"/>
        <v/>
      </c>
      <c r="S481" s="192" t="str">
        <f t="shared" si="74"/>
        <v/>
      </c>
      <c r="T481" s="193" t="str">
        <f t="shared" si="75"/>
        <v/>
      </c>
      <c r="U481" s="194" t="str">
        <f t="shared" si="76"/>
        <v/>
      </c>
      <c r="V481" s="195" t="str">
        <f t="shared" si="73"/>
        <v/>
      </c>
      <c r="W481" s="336" t="str">
        <f t="shared" si="77"/>
        <v/>
      </c>
      <c r="X481" s="338" t="str">
        <f t="shared" si="78"/>
        <v/>
      </c>
      <c r="Y481" s="274"/>
      <c r="AR481" t="str">
        <f t="shared" si="79"/>
        <v/>
      </c>
      <c r="AS481" t="str">
        <f t="shared" si="80"/>
        <v/>
      </c>
    </row>
    <row r="482" spans="1:45">
      <c r="A482" s="291"/>
      <c r="B482" s="292"/>
      <c r="C482" s="293"/>
      <c r="D482" s="293"/>
      <c r="E482" s="293"/>
      <c r="F482" s="293"/>
      <c r="G482" s="294"/>
      <c r="H482" s="300"/>
      <c r="I482" s="295"/>
      <c r="J482" s="295"/>
      <c r="K482" s="296"/>
      <c r="L482" s="301"/>
      <c r="M482" s="297"/>
      <c r="N482" s="298"/>
      <c r="P482" s="190" t="str">
        <f>IF(R482 = "", "", COUNT(R$4:$R482))</f>
        <v/>
      </c>
      <c r="Q482" s="190" t="str">
        <f t="shared" si="71"/>
        <v/>
      </c>
      <c r="R482" s="191" t="str">
        <f t="shared" si="72"/>
        <v/>
      </c>
      <c r="S482" s="192" t="str">
        <f t="shared" si="74"/>
        <v/>
      </c>
      <c r="T482" s="193" t="str">
        <f t="shared" si="75"/>
        <v/>
      </c>
      <c r="U482" s="194" t="str">
        <f t="shared" si="76"/>
        <v/>
      </c>
      <c r="V482" s="195" t="str">
        <f t="shared" si="73"/>
        <v/>
      </c>
      <c r="W482" s="336" t="str">
        <f t="shared" si="77"/>
        <v/>
      </c>
      <c r="X482" s="338" t="str">
        <f t="shared" si="78"/>
        <v/>
      </c>
      <c r="Y482" s="274"/>
      <c r="AR482" t="str">
        <f t="shared" si="79"/>
        <v/>
      </c>
      <c r="AS482" t="str">
        <f t="shared" si="80"/>
        <v/>
      </c>
    </row>
    <row r="483" spans="1:45">
      <c r="A483" s="291"/>
      <c r="B483" s="292"/>
      <c r="C483" s="293"/>
      <c r="D483" s="293"/>
      <c r="E483" s="293"/>
      <c r="F483" s="293"/>
      <c r="G483" s="294"/>
      <c r="H483" s="300"/>
      <c r="I483" s="295"/>
      <c r="J483" s="295"/>
      <c r="K483" s="296"/>
      <c r="L483" s="301"/>
      <c r="M483" s="297"/>
      <c r="N483" s="298"/>
      <c r="P483" s="190" t="str">
        <f>IF(R483 = "", "", COUNT(R$4:$R483))</f>
        <v/>
      </c>
      <c r="Q483" s="190" t="str">
        <f t="shared" si="71"/>
        <v/>
      </c>
      <c r="R483" s="191" t="str">
        <f t="shared" si="72"/>
        <v/>
      </c>
      <c r="S483" s="192" t="str">
        <f t="shared" si="74"/>
        <v/>
      </c>
      <c r="T483" s="193" t="str">
        <f t="shared" si="75"/>
        <v/>
      </c>
      <c r="U483" s="194" t="str">
        <f t="shared" si="76"/>
        <v/>
      </c>
      <c r="V483" s="195" t="str">
        <f t="shared" si="73"/>
        <v/>
      </c>
      <c r="W483" s="336" t="str">
        <f t="shared" si="77"/>
        <v/>
      </c>
      <c r="X483" s="338" t="str">
        <f t="shared" si="78"/>
        <v/>
      </c>
      <c r="Y483" s="274"/>
      <c r="AR483" t="str">
        <f t="shared" si="79"/>
        <v/>
      </c>
      <c r="AS483" t="str">
        <f t="shared" si="80"/>
        <v/>
      </c>
    </row>
    <row r="484" spans="1:45">
      <c r="A484" s="291"/>
      <c r="B484" s="292"/>
      <c r="C484" s="293"/>
      <c r="D484" s="293"/>
      <c r="E484" s="293"/>
      <c r="F484" s="293"/>
      <c r="G484" s="294"/>
      <c r="H484" s="300"/>
      <c r="I484" s="295"/>
      <c r="J484" s="295"/>
      <c r="K484" s="296"/>
      <c r="L484" s="301"/>
      <c r="M484" s="297"/>
      <c r="N484" s="298"/>
      <c r="P484" s="190" t="str">
        <f>IF(R484 = "", "", COUNT(R$4:$R484))</f>
        <v/>
      </c>
      <c r="Q484" s="190" t="str">
        <f t="shared" si="71"/>
        <v/>
      </c>
      <c r="R484" s="191" t="str">
        <f t="shared" si="72"/>
        <v/>
      </c>
      <c r="S484" s="192" t="str">
        <f t="shared" si="74"/>
        <v/>
      </c>
      <c r="T484" s="193" t="str">
        <f t="shared" si="75"/>
        <v/>
      </c>
      <c r="U484" s="194" t="str">
        <f t="shared" si="76"/>
        <v/>
      </c>
      <c r="V484" s="195" t="str">
        <f t="shared" si="73"/>
        <v/>
      </c>
      <c r="W484" s="336" t="str">
        <f t="shared" si="77"/>
        <v/>
      </c>
      <c r="X484" s="338" t="str">
        <f t="shared" si="78"/>
        <v/>
      </c>
      <c r="Y484" s="274"/>
      <c r="AR484" t="str">
        <f t="shared" si="79"/>
        <v/>
      </c>
      <c r="AS484" t="str">
        <f t="shared" si="80"/>
        <v/>
      </c>
    </row>
    <row r="485" spans="1:45">
      <c r="A485" s="291"/>
      <c r="B485" s="292"/>
      <c r="C485" s="293"/>
      <c r="D485" s="293"/>
      <c r="E485" s="293"/>
      <c r="F485" s="293"/>
      <c r="G485" s="294"/>
      <c r="H485" s="300"/>
      <c r="I485" s="295"/>
      <c r="J485" s="295"/>
      <c r="K485" s="296"/>
      <c r="L485" s="301"/>
      <c r="M485" s="297"/>
      <c r="N485" s="298"/>
      <c r="P485" s="190" t="str">
        <f>IF(R485 = "", "", COUNT(R$4:$R485))</f>
        <v/>
      </c>
      <c r="Q485" s="190" t="str">
        <f t="shared" si="71"/>
        <v/>
      </c>
      <c r="R485" s="191" t="str">
        <f t="shared" si="72"/>
        <v/>
      </c>
      <c r="S485" s="192" t="str">
        <f t="shared" si="74"/>
        <v/>
      </c>
      <c r="T485" s="193" t="str">
        <f t="shared" si="75"/>
        <v/>
      </c>
      <c r="U485" s="194" t="str">
        <f t="shared" si="76"/>
        <v/>
      </c>
      <c r="V485" s="195" t="str">
        <f t="shared" si="73"/>
        <v/>
      </c>
      <c r="W485" s="336" t="str">
        <f t="shared" si="77"/>
        <v/>
      </c>
      <c r="X485" s="338" t="str">
        <f t="shared" si="78"/>
        <v/>
      </c>
      <c r="Y485" s="274"/>
      <c r="AR485" t="str">
        <f t="shared" si="79"/>
        <v/>
      </c>
      <c r="AS485" t="str">
        <f t="shared" si="80"/>
        <v/>
      </c>
    </row>
    <row r="486" spans="1:45">
      <c r="A486" s="291"/>
      <c r="B486" s="292"/>
      <c r="C486" s="293"/>
      <c r="D486" s="293"/>
      <c r="E486" s="293"/>
      <c r="F486" s="293"/>
      <c r="G486" s="294"/>
      <c r="H486" s="300"/>
      <c r="I486" s="295"/>
      <c r="J486" s="295"/>
      <c r="K486" s="296"/>
      <c r="L486" s="301"/>
      <c r="M486" s="297"/>
      <c r="N486" s="298"/>
      <c r="P486" s="190" t="str">
        <f>IF(R486 = "", "", COUNT(R$4:$R486))</f>
        <v/>
      </c>
      <c r="Q486" s="190" t="str">
        <f t="shared" si="71"/>
        <v/>
      </c>
      <c r="R486" s="191" t="str">
        <f t="shared" si="72"/>
        <v/>
      </c>
      <c r="S486" s="192" t="str">
        <f t="shared" si="74"/>
        <v/>
      </c>
      <c r="T486" s="193" t="str">
        <f t="shared" si="75"/>
        <v/>
      </c>
      <c r="U486" s="194" t="str">
        <f t="shared" si="76"/>
        <v/>
      </c>
      <c r="V486" s="195" t="str">
        <f t="shared" si="73"/>
        <v/>
      </c>
      <c r="W486" s="336" t="str">
        <f t="shared" si="77"/>
        <v/>
      </c>
      <c r="X486" s="338" t="str">
        <f t="shared" si="78"/>
        <v/>
      </c>
      <c r="Y486" s="274"/>
      <c r="AR486" t="str">
        <f t="shared" si="79"/>
        <v/>
      </c>
      <c r="AS486" t="str">
        <f t="shared" si="80"/>
        <v/>
      </c>
    </row>
    <row r="487" spans="1:45">
      <c r="A487" s="291"/>
      <c r="B487" s="292"/>
      <c r="C487" s="293"/>
      <c r="D487" s="293"/>
      <c r="E487" s="293"/>
      <c r="F487" s="293"/>
      <c r="G487" s="294"/>
      <c r="H487" s="300"/>
      <c r="I487" s="295"/>
      <c r="J487" s="295"/>
      <c r="K487" s="296"/>
      <c r="L487" s="301"/>
      <c r="M487" s="297"/>
      <c r="N487" s="298"/>
      <c r="P487" s="190" t="str">
        <f>IF(R487 = "", "", COUNT(R$4:$R487))</f>
        <v/>
      </c>
      <c r="Q487" s="190" t="str">
        <f t="shared" si="71"/>
        <v/>
      </c>
      <c r="R487" s="191" t="str">
        <f t="shared" si="72"/>
        <v/>
      </c>
      <c r="S487" s="192" t="str">
        <f t="shared" si="74"/>
        <v/>
      </c>
      <c r="T487" s="193" t="str">
        <f t="shared" si="75"/>
        <v/>
      </c>
      <c r="U487" s="194" t="str">
        <f t="shared" si="76"/>
        <v/>
      </c>
      <c r="V487" s="195" t="str">
        <f t="shared" si="73"/>
        <v/>
      </c>
      <c r="W487" s="336" t="str">
        <f t="shared" si="77"/>
        <v/>
      </c>
      <c r="X487" s="338" t="str">
        <f t="shared" si="78"/>
        <v/>
      </c>
      <c r="Y487" s="274"/>
      <c r="AR487" t="str">
        <f t="shared" si="79"/>
        <v/>
      </c>
      <c r="AS487" t="str">
        <f t="shared" si="80"/>
        <v/>
      </c>
    </row>
    <row r="488" spans="1:45">
      <c r="A488" s="291"/>
      <c r="B488" s="292"/>
      <c r="C488" s="293"/>
      <c r="D488" s="293"/>
      <c r="E488" s="293"/>
      <c r="F488" s="293"/>
      <c r="G488" s="294"/>
      <c r="H488" s="300"/>
      <c r="I488" s="295"/>
      <c r="J488" s="295"/>
      <c r="K488" s="296"/>
      <c r="L488" s="301"/>
      <c r="M488" s="297"/>
      <c r="N488" s="298"/>
      <c r="P488" s="190" t="str">
        <f>IF(R488 = "", "", COUNT(R$4:$R488))</f>
        <v/>
      </c>
      <c r="Q488" s="190" t="str">
        <f t="shared" si="71"/>
        <v/>
      </c>
      <c r="R488" s="191" t="str">
        <f t="shared" si="72"/>
        <v/>
      </c>
      <c r="S488" s="192" t="str">
        <f t="shared" si="74"/>
        <v/>
      </c>
      <c r="T488" s="193" t="str">
        <f t="shared" si="75"/>
        <v/>
      </c>
      <c r="U488" s="194" t="str">
        <f t="shared" si="76"/>
        <v/>
      </c>
      <c r="V488" s="195" t="str">
        <f t="shared" si="73"/>
        <v/>
      </c>
      <c r="W488" s="336" t="str">
        <f t="shared" si="77"/>
        <v/>
      </c>
      <c r="X488" s="338" t="str">
        <f t="shared" si="78"/>
        <v/>
      </c>
      <c r="Y488" s="274"/>
      <c r="AR488" t="str">
        <f t="shared" si="79"/>
        <v/>
      </c>
      <c r="AS488" t="str">
        <f t="shared" si="80"/>
        <v/>
      </c>
    </row>
    <row r="489" spans="1:45">
      <c r="A489" s="291"/>
      <c r="B489" s="292"/>
      <c r="C489" s="293"/>
      <c r="D489" s="293"/>
      <c r="E489" s="293"/>
      <c r="F489" s="293"/>
      <c r="G489" s="294"/>
      <c r="H489" s="300"/>
      <c r="I489" s="295"/>
      <c r="J489" s="295"/>
      <c r="K489" s="296"/>
      <c r="L489" s="301"/>
      <c r="M489" s="297"/>
      <c r="N489" s="298"/>
      <c r="P489" s="190" t="str">
        <f>IF(R489 = "", "", COUNT(R$4:$R489))</f>
        <v/>
      </c>
      <c r="Q489" s="190" t="str">
        <f t="shared" si="71"/>
        <v/>
      </c>
      <c r="R489" s="191" t="str">
        <f t="shared" si="72"/>
        <v/>
      </c>
      <c r="S489" s="192" t="str">
        <f t="shared" si="74"/>
        <v/>
      </c>
      <c r="T489" s="193" t="str">
        <f t="shared" si="75"/>
        <v/>
      </c>
      <c r="U489" s="194" t="str">
        <f t="shared" si="76"/>
        <v/>
      </c>
      <c r="V489" s="195" t="str">
        <f t="shared" si="73"/>
        <v/>
      </c>
      <c r="W489" s="336" t="str">
        <f t="shared" si="77"/>
        <v/>
      </c>
      <c r="X489" s="338" t="str">
        <f t="shared" si="78"/>
        <v/>
      </c>
      <c r="Y489" s="274"/>
      <c r="AR489" t="str">
        <f t="shared" si="79"/>
        <v/>
      </c>
      <c r="AS489" t="str">
        <f t="shared" si="80"/>
        <v/>
      </c>
    </row>
    <row r="490" spans="1:45">
      <c r="A490" s="291"/>
      <c r="B490" s="292"/>
      <c r="C490" s="293"/>
      <c r="D490" s="293"/>
      <c r="E490" s="293"/>
      <c r="F490" s="293"/>
      <c r="G490" s="294"/>
      <c r="H490" s="300"/>
      <c r="I490" s="295"/>
      <c r="J490" s="295"/>
      <c r="K490" s="296"/>
      <c r="L490" s="301"/>
      <c r="M490" s="297"/>
      <c r="N490" s="298"/>
      <c r="P490" s="190" t="str">
        <f>IF(R490 = "", "", COUNT(R$4:$R490))</f>
        <v/>
      </c>
      <c r="Q490" s="190" t="str">
        <f t="shared" si="71"/>
        <v/>
      </c>
      <c r="R490" s="191" t="str">
        <f t="shared" si="72"/>
        <v/>
      </c>
      <c r="S490" s="192" t="str">
        <f t="shared" si="74"/>
        <v/>
      </c>
      <c r="T490" s="193" t="str">
        <f t="shared" si="75"/>
        <v/>
      </c>
      <c r="U490" s="194" t="str">
        <f t="shared" si="76"/>
        <v/>
      </c>
      <c r="V490" s="195" t="str">
        <f t="shared" si="73"/>
        <v/>
      </c>
      <c r="W490" s="336" t="str">
        <f t="shared" si="77"/>
        <v/>
      </c>
      <c r="X490" s="338" t="str">
        <f t="shared" si="78"/>
        <v/>
      </c>
      <c r="Y490" s="274"/>
      <c r="AR490" t="str">
        <f t="shared" si="79"/>
        <v/>
      </c>
      <c r="AS490" t="str">
        <f t="shared" si="80"/>
        <v/>
      </c>
    </row>
    <row r="491" spans="1:45">
      <c r="A491" s="291"/>
      <c r="B491" s="292"/>
      <c r="C491" s="293"/>
      <c r="D491" s="293"/>
      <c r="E491" s="293"/>
      <c r="F491" s="293"/>
      <c r="G491" s="294"/>
      <c r="H491" s="300"/>
      <c r="I491" s="295"/>
      <c r="J491" s="295"/>
      <c r="K491" s="296"/>
      <c r="L491" s="301"/>
      <c r="M491" s="297"/>
      <c r="N491" s="298"/>
      <c r="P491" s="190" t="str">
        <f>IF(R491 = "", "", COUNT(R$4:$R491))</f>
        <v/>
      </c>
      <c r="Q491" s="190" t="str">
        <f t="shared" si="71"/>
        <v/>
      </c>
      <c r="R491" s="191" t="str">
        <f t="shared" si="72"/>
        <v/>
      </c>
      <c r="S491" s="192" t="str">
        <f t="shared" si="74"/>
        <v/>
      </c>
      <c r="T491" s="193" t="str">
        <f t="shared" si="75"/>
        <v/>
      </c>
      <c r="U491" s="194" t="str">
        <f t="shared" si="76"/>
        <v/>
      </c>
      <c r="V491" s="195" t="str">
        <f t="shared" si="73"/>
        <v/>
      </c>
      <c r="W491" s="336" t="str">
        <f t="shared" si="77"/>
        <v/>
      </c>
      <c r="X491" s="338" t="str">
        <f t="shared" si="78"/>
        <v/>
      </c>
      <c r="Y491" s="274"/>
      <c r="AR491" t="str">
        <f t="shared" si="79"/>
        <v/>
      </c>
      <c r="AS491" t="str">
        <f t="shared" si="80"/>
        <v/>
      </c>
    </row>
    <row r="492" spans="1:45">
      <c r="A492" s="291"/>
      <c r="B492" s="292"/>
      <c r="C492" s="293"/>
      <c r="D492" s="293"/>
      <c r="E492" s="293"/>
      <c r="F492" s="293"/>
      <c r="G492" s="294"/>
      <c r="H492" s="300"/>
      <c r="I492" s="295"/>
      <c r="J492" s="295"/>
      <c r="K492" s="296"/>
      <c r="L492" s="301"/>
      <c r="M492" s="297"/>
      <c r="N492" s="298"/>
      <c r="P492" s="190" t="str">
        <f>IF(R492 = "", "", COUNT(R$4:$R492))</f>
        <v/>
      </c>
      <c r="Q492" s="190" t="str">
        <f t="shared" si="71"/>
        <v/>
      </c>
      <c r="R492" s="191" t="str">
        <f t="shared" si="72"/>
        <v/>
      </c>
      <c r="S492" s="192" t="str">
        <f t="shared" si="74"/>
        <v/>
      </c>
      <c r="T492" s="193" t="str">
        <f t="shared" si="75"/>
        <v/>
      </c>
      <c r="U492" s="194" t="str">
        <f t="shared" si="76"/>
        <v/>
      </c>
      <c r="V492" s="195" t="str">
        <f t="shared" si="73"/>
        <v/>
      </c>
      <c r="W492" s="336" t="str">
        <f t="shared" si="77"/>
        <v/>
      </c>
      <c r="X492" s="338" t="str">
        <f t="shared" si="78"/>
        <v/>
      </c>
      <c r="Y492" s="274"/>
      <c r="AR492" t="str">
        <f t="shared" si="79"/>
        <v/>
      </c>
      <c r="AS492" t="str">
        <f t="shared" si="80"/>
        <v/>
      </c>
    </row>
    <row r="493" spans="1:45">
      <c r="A493" s="291"/>
      <c r="B493" s="292"/>
      <c r="C493" s="293"/>
      <c r="D493" s="293"/>
      <c r="E493" s="293"/>
      <c r="F493" s="293"/>
      <c r="G493" s="294"/>
      <c r="H493" s="300"/>
      <c r="I493" s="295"/>
      <c r="J493" s="295"/>
      <c r="K493" s="296"/>
      <c r="L493" s="301"/>
      <c r="M493" s="297"/>
      <c r="N493" s="298"/>
      <c r="P493" s="190" t="str">
        <f>IF(R493 = "", "", COUNT(R$4:$R493))</f>
        <v/>
      </c>
      <c r="Q493" s="190" t="str">
        <f t="shared" si="71"/>
        <v/>
      </c>
      <c r="R493" s="191" t="str">
        <f t="shared" si="72"/>
        <v/>
      </c>
      <c r="S493" s="192" t="str">
        <f t="shared" si="74"/>
        <v/>
      </c>
      <c r="T493" s="193" t="str">
        <f t="shared" si="75"/>
        <v/>
      </c>
      <c r="U493" s="194" t="str">
        <f t="shared" si="76"/>
        <v/>
      </c>
      <c r="V493" s="195" t="str">
        <f t="shared" si="73"/>
        <v/>
      </c>
      <c r="W493" s="336" t="str">
        <f t="shared" si="77"/>
        <v/>
      </c>
      <c r="X493" s="338" t="str">
        <f t="shared" si="78"/>
        <v/>
      </c>
      <c r="Y493" s="274"/>
      <c r="AR493" t="str">
        <f t="shared" si="79"/>
        <v/>
      </c>
      <c r="AS493" t="str">
        <f t="shared" si="80"/>
        <v/>
      </c>
    </row>
    <row r="494" spans="1:45">
      <c r="A494" s="291"/>
      <c r="B494" s="292"/>
      <c r="C494" s="293"/>
      <c r="D494" s="293"/>
      <c r="E494" s="293"/>
      <c r="F494" s="293"/>
      <c r="G494" s="294"/>
      <c r="H494" s="300"/>
      <c r="I494" s="295"/>
      <c r="J494" s="295"/>
      <c r="K494" s="296"/>
      <c r="L494" s="301"/>
      <c r="M494" s="297"/>
      <c r="N494" s="298"/>
      <c r="P494" s="190" t="str">
        <f>IF(R494 = "", "", COUNT(R$4:$R494))</f>
        <v/>
      </c>
      <c r="Q494" s="190" t="str">
        <f t="shared" si="71"/>
        <v/>
      </c>
      <c r="R494" s="191" t="str">
        <f t="shared" si="72"/>
        <v/>
      </c>
      <c r="S494" s="192" t="str">
        <f t="shared" si="74"/>
        <v/>
      </c>
      <c r="T494" s="193" t="str">
        <f t="shared" si="75"/>
        <v/>
      </c>
      <c r="U494" s="194" t="str">
        <f t="shared" si="76"/>
        <v/>
      </c>
      <c r="V494" s="195" t="str">
        <f t="shared" si="73"/>
        <v/>
      </c>
      <c r="W494" s="336" t="str">
        <f t="shared" si="77"/>
        <v/>
      </c>
      <c r="X494" s="338" t="str">
        <f t="shared" si="78"/>
        <v/>
      </c>
      <c r="Y494" s="274"/>
      <c r="AR494" t="str">
        <f t="shared" si="79"/>
        <v/>
      </c>
      <c r="AS494" t="str">
        <f t="shared" si="80"/>
        <v/>
      </c>
    </row>
    <row r="495" spans="1:45">
      <c r="A495" s="291"/>
      <c r="B495" s="292"/>
      <c r="C495" s="293"/>
      <c r="D495" s="293"/>
      <c r="E495" s="293"/>
      <c r="F495" s="293"/>
      <c r="G495" s="294"/>
      <c r="H495" s="300"/>
      <c r="I495" s="295"/>
      <c r="J495" s="295"/>
      <c r="K495" s="296"/>
      <c r="L495" s="301"/>
      <c r="M495" s="297"/>
      <c r="N495" s="298"/>
      <c r="P495" s="190" t="str">
        <f>IF(R495 = "", "", COUNT(R$4:$R495))</f>
        <v/>
      </c>
      <c r="Q495" s="190" t="str">
        <f t="shared" si="71"/>
        <v/>
      </c>
      <c r="R495" s="191" t="str">
        <f t="shared" si="72"/>
        <v/>
      </c>
      <c r="S495" s="192" t="str">
        <f t="shared" si="74"/>
        <v/>
      </c>
      <c r="T495" s="193" t="str">
        <f t="shared" si="75"/>
        <v/>
      </c>
      <c r="U495" s="194" t="str">
        <f t="shared" si="76"/>
        <v/>
      </c>
      <c r="V495" s="195" t="str">
        <f t="shared" si="73"/>
        <v/>
      </c>
      <c r="W495" s="336" t="str">
        <f t="shared" si="77"/>
        <v/>
      </c>
      <c r="X495" s="338" t="str">
        <f t="shared" si="78"/>
        <v/>
      </c>
      <c r="Y495" s="274"/>
      <c r="AR495" t="str">
        <f t="shared" si="79"/>
        <v/>
      </c>
      <c r="AS495" t="str">
        <f t="shared" si="80"/>
        <v/>
      </c>
    </row>
    <row r="496" spans="1:45">
      <c r="A496" s="291"/>
      <c r="B496" s="292"/>
      <c r="C496" s="293"/>
      <c r="D496" s="293"/>
      <c r="E496" s="293"/>
      <c r="F496" s="293"/>
      <c r="G496" s="294"/>
      <c r="H496" s="300"/>
      <c r="I496" s="295"/>
      <c r="J496" s="295"/>
      <c r="K496" s="296"/>
      <c r="L496" s="301"/>
      <c r="M496" s="297"/>
      <c r="N496" s="298"/>
      <c r="P496" s="190" t="str">
        <f>IF(R496 = "", "", COUNT(R$4:$R496))</f>
        <v/>
      </c>
      <c r="Q496" s="190" t="str">
        <f t="shared" si="71"/>
        <v/>
      </c>
      <c r="R496" s="191" t="str">
        <f t="shared" si="72"/>
        <v/>
      </c>
      <c r="S496" s="192" t="str">
        <f t="shared" si="74"/>
        <v/>
      </c>
      <c r="T496" s="193" t="str">
        <f t="shared" si="75"/>
        <v/>
      </c>
      <c r="U496" s="194" t="str">
        <f t="shared" si="76"/>
        <v/>
      </c>
      <c r="V496" s="195" t="str">
        <f t="shared" si="73"/>
        <v/>
      </c>
      <c r="W496" s="336" t="str">
        <f t="shared" si="77"/>
        <v/>
      </c>
      <c r="X496" s="338" t="str">
        <f t="shared" si="78"/>
        <v/>
      </c>
      <c r="Y496" s="274"/>
      <c r="AR496" t="str">
        <f t="shared" si="79"/>
        <v/>
      </c>
      <c r="AS496" t="str">
        <f t="shared" si="80"/>
        <v/>
      </c>
    </row>
    <row r="497" spans="1:45">
      <c r="A497" s="291"/>
      <c r="B497" s="292"/>
      <c r="C497" s="293"/>
      <c r="D497" s="293"/>
      <c r="E497" s="293"/>
      <c r="F497" s="293"/>
      <c r="G497" s="294"/>
      <c r="H497" s="300"/>
      <c r="I497" s="295"/>
      <c r="J497" s="295"/>
      <c r="K497" s="296"/>
      <c r="L497" s="301"/>
      <c r="M497" s="297"/>
      <c r="N497" s="298"/>
      <c r="P497" s="190" t="str">
        <f>IF(R497 = "", "", COUNT(R$4:$R497))</f>
        <v/>
      </c>
      <c r="Q497" s="190" t="str">
        <f t="shared" si="71"/>
        <v/>
      </c>
      <c r="R497" s="191" t="str">
        <f t="shared" si="72"/>
        <v/>
      </c>
      <c r="S497" s="192" t="str">
        <f t="shared" si="74"/>
        <v/>
      </c>
      <c r="T497" s="193" t="str">
        <f t="shared" si="75"/>
        <v/>
      </c>
      <c r="U497" s="194" t="str">
        <f t="shared" si="76"/>
        <v/>
      </c>
      <c r="V497" s="195" t="str">
        <f t="shared" si="73"/>
        <v/>
      </c>
      <c r="W497" s="336" t="str">
        <f t="shared" si="77"/>
        <v/>
      </c>
      <c r="X497" s="338" t="str">
        <f t="shared" si="78"/>
        <v/>
      </c>
      <c r="Y497" s="274"/>
      <c r="AR497" t="str">
        <f t="shared" si="79"/>
        <v/>
      </c>
      <c r="AS497" t="str">
        <f t="shared" si="80"/>
        <v/>
      </c>
    </row>
    <row r="498" spans="1:45">
      <c r="A498" s="291"/>
      <c r="B498" s="292"/>
      <c r="C498" s="293"/>
      <c r="D498" s="293"/>
      <c r="E498" s="293"/>
      <c r="F498" s="293"/>
      <c r="G498" s="294"/>
      <c r="H498" s="300"/>
      <c r="I498" s="295"/>
      <c r="J498" s="295"/>
      <c r="K498" s="296"/>
      <c r="L498" s="301"/>
      <c r="M498" s="297"/>
      <c r="N498" s="298"/>
      <c r="P498" s="190" t="str">
        <f>IF(R498 = "", "", COUNT(R$4:$R498))</f>
        <v/>
      </c>
      <c r="Q498" s="190" t="str">
        <f t="shared" si="71"/>
        <v/>
      </c>
      <c r="R498" s="191" t="str">
        <f t="shared" si="72"/>
        <v/>
      </c>
      <c r="S498" s="192" t="str">
        <f t="shared" si="74"/>
        <v/>
      </c>
      <c r="T498" s="193" t="str">
        <f t="shared" si="75"/>
        <v/>
      </c>
      <c r="U498" s="194" t="str">
        <f t="shared" si="76"/>
        <v/>
      </c>
      <c r="V498" s="195" t="str">
        <f t="shared" si="73"/>
        <v/>
      </c>
      <c r="W498" s="336" t="str">
        <f t="shared" si="77"/>
        <v/>
      </c>
      <c r="X498" s="338" t="str">
        <f t="shared" si="78"/>
        <v/>
      </c>
      <c r="Y498" s="274"/>
      <c r="AR498" t="str">
        <f t="shared" si="79"/>
        <v/>
      </c>
      <c r="AS498" t="str">
        <f t="shared" si="80"/>
        <v/>
      </c>
    </row>
    <row r="499" spans="1:45">
      <c r="A499" s="291"/>
      <c r="B499" s="292"/>
      <c r="C499" s="293"/>
      <c r="D499" s="293"/>
      <c r="E499" s="293"/>
      <c r="F499" s="293"/>
      <c r="G499" s="294"/>
      <c r="H499" s="300"/>
      <c r="I499" s="295"/>
      <c r="J499" s="295"/>
      <c r="K499" s="296"/>
      <c r="L499" s="301"/>
      <c r="M499" s="297"/>
      <c r="N499" s="298"/>
      <c r="P499" s="190" t="str">
        <f>IF(R499 = "", "", COUNT(R$4:$R499))</f>
        <v/>
      </c>
      <c r="Q499" s="190" t="str">
        <f t="shared" si="71"/>
        <v/>
      </c>
      <c r="R499" s="191" t="str">
        <f t="shared" si="72"/>
        <v/>
      </c>
      <c r="S499" s="192" t="str">
        <f t="shared" si="74"/>
        <v/>
      </c>
      <c r="T499" s="193" t="str">
        <f t="shared" si="75"/>
        <v/>
      </c>
      <c r="U499" s="194" t="str">
        <f t="shared" si="76"/>
        <v/>
      </c>
      <c r="V499" s="195" t="str">
        <f t="shared" si="73"/>
        <v/>
      </c>
      <c r="W499" s="336" t="str">
        <f t="shared" si="77"/>
        <v/>
      </c>
      <c r="X499" s="338" t="str">
        <f t="shared" si="78"/>
        <v/>
      </c>
      <c r="Y499" s="274"/>
      <c r="AR499" t="str">
        <f t="shared" si="79"/>
        <v/>
      </c>
      <c r="AS499" t="str">
        <f t="shared" si="80"/>
        <v/>
      </c>
    </row>
    <row r="500" spans="1:45">
      <c r="A500" s="291"/>
      <c r="B500" s="292"/>
      <c r="C500" s="293"/>
      <c r="D500" s="293"/>
      <c r="E500" s="293"/>
      <c r="F500" s="293"/>
      <c r="G500" s="294"/>
      <c r="H500" s="300"/>
      <c r="I500" s="295"/>
      <c r="J500" s="295"/>
      <c r="K500" s="296"/>
      <c r="L500" s="301"/>
      <c r="M500" s="297"/>
      <c r="N500" s="298"/>
      <c r="P500" s="190" t="str">
        <f>IF(R500 = "", "", COUNT(R$4:$R500))</f>
        <v/>
      </c>
      <c r="Q500" s="190" t="str">
        <f t="shared" si="71"/>
        <v/>
      </c>
      <c r="R500" s="191" t="str">
        <f t="shared" si="72"/>
        <v/>
      </c>
      <c r="S500" s="192" t="str">
        <f t="shared" si="74"/>
        <v/>
      </c>
      <c r="T500" s="193" t="str">
        <f t="shared" si="75"/>
        <v/>
      </c>
      <c r="U500" s="194" t="str">
        <f t="shared" si="76"/>
        <v/>
      </c>
      <c r="V500" s="195" t="str">
        <f t="shared" si="73"/>
        <v/>
      </c>
      <c r="W500" s="336" t="str">
        <f t="shared" si="77"/>
        <v/>
      </c>
      <c r="X500" s="338" t="str">
        <f t="shared" si="78"/>
        <v/>
      </c>
      <c r="Y500" s="274"/>
      <c r="AR500" t="str">
        <f t="shared" si="79"/>
        <v/>
      </c>
      <c r="AS500" t="str">
        <f t="shared" si="80"/>
        <v/>
      </c>
    </row>
    <row r="501" spans="1:45">
      <c r="A501" s="291"/>
      <c r="B501" s="292"/>
      <c r="C501" s="293"/>
      <c r="D501" s="293"/>
      <c r="E501" s="293"/>
      <c r="F501" s="293"/>
      <c r="G501" s="294"/>
      <c r="H501" s="300"/>
      <c r="I501" s="295"/>
      <c r="J501" s="295"/>
      <c r="K501" s="296"/>
      <c r="L501" s="301"/>
      <c r="M501" s="297"/>
      <c r="N501" s="298"/>
      <c r="P501" s="190" t="str">
        <f>IF(R501 = "", "", COUNT(R$4:$R501))</f>
        <v/>
      </c>
      <c r="Q501" s="190" t="str">
        <f t="shared" si="71"/>
        <v/>
      </c>
      <c r="R501" s="191" t="str">
        <f t="shared" si="72"/>
        <v/>
      </c>
      <c r="S501" s="192" t="str">
        <f t="shared" si="74"/>
        <v/>
      </c>
      <c r="T501" s="193" t="str">
        <f t="shared" si="75"/>
        <v/>
      </c>
      <c r="U501" s="194" t="str">
        <f t="shared" si="76"/>
        <v/>
      </c>
      <c r="V501" s="195" t="str">
        <f t="shared" si="73"/>
        <v/>
      </c>
      <c r="W501" s="336" t="str">
        <f t="shared" si="77"/>
        <v/>
      </c>
      <c r="X501" s="338" t="str">
        <f t="shared" si="78"/>
        <v/>
      </c>
      <c r="Y501" s="274"/>
      <c r="AR501" t="str">
        <f t="shared" si="79"/>
        <v/>
      </c>
      <c r="AS501" t="str">
        <f t="shared" si="80"/>
        <v/>
      </c>
    </row>
    <row r="502" spans="1:45">
      <c r="A502" s="291"/>
      <c r="B502" s="292"/>
      <c r="C502" s="293"/>
      <c r="D502" s="293"/>
      <c r="E502" s="293"/>
      <c r="F502" s="293"/>
      <c r="G502" s="294"/>
      <c r="H502" s="300"/>
      <c r="I502" s="295"/>
      <c r="J502" s="295"/>
      <c r="K502" s="296"/>
      <c r="L502" s="301"/>
      <c r="M502" s="297"/>
      <c r="N502" s="298"/>
      <c r="P502" s="190" t="str">
        <f>IF(R502 = "", "", COUNT(R$4:$R502))</f>
        <v/>
      </c>
      <c r="Q502" s="190" t="str">
        <f t="shared" si="71"/>
        <v/>
      </c>
      <c r="R502" s="191" t="str">
        <f t="shared" si="72"/>
        <v/>
      </c>
      <c r="S502" s="192" t="str">
        <f t="shared" si="74"/>
        <v/>
      </c>
      <c r="T502" s="193" t="str">
        <f t="shared" si="75"/>
        <v/>
      </c>
      <c r="U502" s="194" t="str">
        <f t="shared" si="76"/>
        <v/>
      </c>
      <c r="V502" s="195" t="str">
        <f t="shared" si="73"/>
        <v/>
      </c>
      <c r="W502" s="336" t="str">
        <f t="shared" si="77"/>
        <v/>
      </c>
      <c r="X502" s="338" t="str">
        <f t="shared" si="78"/>
        <v/>
      </c>
      <c r="Y502" s="274"/>
      <c r="AR502" t="str">
        <f t="shared" si="79"/>
        <v/>
      </c>
      <c r="AS502" t="str">
        <f t="shared" si="80"/>
        <v/>
      </c>
    </row>
    <row r="503" spans="1:45">
      <c r="A503" s="291"/>
      <c r="B503" s="292"/>
      <c r="C503" s="293"/>
      <c r="D503" s="293"/>
      <c r="E503" s="293"/>
      <c r="F503" s="293"/>
      <c r="G503" s="294"/>
      <c r="H503" s="300"/>
      <c r="I503" s="295"/>
      <c r="J503" s="295"/>
      <c r="K503" s="296"/>
      <c r="L503" s="301"/>
      <c r="M503" s="297"/>
      <c r="N503" s="298"/>
      <c r="P503" s="190" t="str">
        <f>IF(R503 = "", "", COUNT(R$4:$R503))</f>
        <v/>
      </c>
      <c r="Q503" s="190" t="str">
        <f t="shared" si="71"/>
        <v/>
      </c>
      <c r="R503" s="191" t="str">
        <f t="shared" si="72"/>
        <v/>
      </c>
      <c r="S503" s="192" t="str">
        <f t="shared" si="74"/>
        <v/>
      </c>
      <c r="T503" s="193" t="str">
        <f t="shared" si="75"/>
        <v/>
      </c>
      <c r="U503" s="194" t="str">
        <f t="shared" si="76"/>
        <v/>
      </c>
      <c r="V503" s="195" t="str">
        <f t="shared" si="73"/>
        <v/>
      </c>
      <c r="W503" s="336" t="str">
        <f t="shared" si="77"/>
        <v/>
      </c>
      <c r="X503" s="338" t="str">
        <f t="shared" si="78"/>
        <v/>
      </c>
      <c r="Y503" s="274"/>
      <c r="AR503" t="str">
        <f t="shared" si="79"/>
        <v/>
      </c>
      <c r="AS503" t="str">
        <f t="shared" si="80"/>
        <v/>
      </c>
    </row>
    <row r="504" spans="1:45">
      <c r="A504" s="291"/>
      <c r="B504" s="292"/>
      <c r="C504" s="293"/>
      <c r="D504" s="293"/>
      <c r="E504" s="293"/>
      <c r="F504" s="293"/>
      <c r="G504" s="294"/>
      <c r="H504" s="300"/>
      <c r="I504" s="295"/>
      <c r="J504" s="295"/>
      <c r="K504" s="296"/>
      <c r="L504" s="301"/>
      <c r="M504" s="297"/>
      <c r="N504" s="298"/>
      <c r="P504" s="190" t="str">
        <f>IF(R504 = "", "", COUNT(R$4:$R504))</f>
        <v/>
      </c>
      <c r="Q504" s="190" t="str">
        <f t="shared" si="71"/>
        <v/>
      </c>
      <c r="R504" s="191" t="str">
        <f t="shared" si="72"/>
        <v/>
      </c>
      <c r="S504" s="192" t="str">
        <f t="shared" si="74"/>
        <v/>
      </c>
      <c r="T504" s="193" t="str">
        <f t="shared" si="75"/>
        <v/>
      </c>
      <c r="U504" s="194" t="str">
        <f t="shared" si="76"/>
        <v/>
      </c>
      <c r="V504" s="195" t="str">
        <f t="shared" si="73"/>
        <v/>
      </c>
      <c r="W504" s="336" t="str">
        <f t="shared" si="77"/>
        <v/>
      </c>
      <c r="X504" s="338" t="str">
        <f t="shared" si="78"/>
        <v/>
      </c>
      <c r="Y504" s="274"/>
      <c r="AR504" t="str">
        <f t="shared" si="79"/>
        <v/>
      </c>
      <c r="AS504" t="str">
        <f t="shared" si="80"/>
        <v/>
      </c>
    </row>
    <row r="505" spans="1:45">
      <c r="A505" s="291"/>
      <c r="B505" s="292"/>
      <c r="C505" s="293"/>
      <c r="D505" s="293"/>
      <c r="E505" s="293"/>
      <c r="F505" s="293"/>
      <c r="G505" s="294"/>
      <c r="H505" s="300"/>
      <c r="I505" s="295"/>
      <c r="J505" s="295"/>
      <c r="K505" s="296"/>
      <c r="L505" s="301"/>
      <c r="M505" s="297"/>
      <c r="N505" s="298"/>
      <c r="P505" s="190" t="str">
        <f>IF(R505 = "", "", COUNT(R$4:$R505))</f>
        <v/>
      </c>
      <c r="Q505" s="190" t="str">
        <f t="shared" si="71"/>
        <v/>
      </c>
      <c r="R505" s="191" t="str">
        <f t="shared" si="72"/>
        <v/>
      </c>
      <c r="S505" s="192" t="str">
        <f t="shared" si="74"/>
        <v/>
      </c>
      <c r="T505" s="193" t="str">
        <f t="shared" si="75"/>
        <v/>
      </c>
      <c r="U505" s="194" t="str">
        <f t="shared" si="76"/>
        <v/>
      </c>
      <c r="V505" s="195" t="str">
        <f t="shared" si="73"/>
        <v/>
      </c>
      <c r="W505" s="336" t="str">
        <f t="shared" si="77"/>
        <v/>
      </c>
      <c r="X505" s="338" t="str">
        <f t="shared" si="78"/>
        <v/>
      </c>
      <c r="Y505" s="274"/>
      <c r="AR505" t="str">
        <f t="shared" si="79"/>
        <v/>
      </c>
      <c r="AS505" t="str">
        <f t="shared" si="80"/>
        <v/>
      </c>
    </row>
    <row r="506" spans="1:45">
      <c r="A506" s="291"/>
      <c r="B506" s="292"/>
      <c r="C506" s="293"/>
      <c r="D506" s="293"/>
      <c r="E506" s="293"/>
      <c r="F506" s="293"/>
      <c r="G506" s="294"/>
      <c r="H506" s="300"/>
      <c r="I506" s="295"/>
      <c r="J506" s="295"/>
      <c r="K506" s="296"/>
      <c r="L506" s="301"/>
      <c r="M506" s="297"/>
      <c r="N506" s="298"/>
      <c r="P506" s="190" t="str">
        <f>IF(R506 = "", "", COUNT(R$4:$R506))</f>
        <v/>
      </c>
      <c r="Q506" s="190" t="str">
        <f t="shared" si="71"/>
        <v/>
      </c>
      <c r="R506" s="191" t="str">
        <f t="shared" si="72"/>
        <v/>
      </c>
      <c r="S506" s="192" t="str">
        <f t="shared" si="74"/>
        <v/>
      </c>
      <c r="T506" s="193" t="str">
        <f t="shared" si="75"/>
        <v/>
      </c>
      <c r="U506" s="194" t="str">
        <f t="shared" si="76"/>
        <v/>
      </c>
      <c r="V506" s="195" t="str">
        <f t="shared" si="73"/>
        <v/>
      </c>
      <c r="W506" s="336" t="str">
        <f t="shared" si="77"/>
        <v/>
      </c>
      <c r="X506" s="338" t="str">
        <f t="shared" si="78"/>
        <v/>
      </c>
      <c r="Y506" s="274"/>
      <c r="AR506" t="str">
        <f t="shared" si="79"/>
        <v/>
      </c>
      <c r="AS506" t="str">
        <f t="shared" si="80"/>
        <v/>
      </c>
    </row>
    <row r="507" spans="1:45">
      <c r="A507" s="291"/>
      <c r="B507" s="292"/>
      <c r="C507" s="293"/>
      <c r="D507" s="293"/>
      <c r="E507" s="293"/>
      <c r="F507" s="293"/>
      <c r="G507" s="294"/>
      <c r="H507" s="300"/>
      <c r="I507" s="295"/>
      <c r="J507" s="295"/>
      <c r="K507" s="296"/>
      <c r="L507" s="301"/>
      <c r="M507" s="297"/>
      <c r="N507" s="298"/>
      <c r="P507" s="190" t="str">
        <f>IF(R507 = "", "", COUNT(R$4:$R507))</f>
        <v/>
      </c>
      <c r="Q507" s="190" t="str">
        <f t="shared" si="71"/>
        <v/>
      </c>
      <c r="R507" s="191" t="str">
        <f t="shared" si="72"/>
        <v/>
      </c>
      <c r="S507" s="192" t="str">
        <f t="shared" si="74"/>
        <v/>
      </c>
      <c r="T507" s="193" t="str">
        <f t="shared" si="75"/>
        <v/>
      </c>
      <c r="U507" s="194" t="str">
        <f t="shared" si="76"/>
        <v/>
      </c>
      <c r="V507" s="195" t="str">
        <f t="shared" si="73"/>
        <v/>
      </c>
      <c r="W507" s="336" t="str">
        <f t="shared" si="77"/>
        <v/>
      </c>
      <c r="X507" s="338" t="str">
        <f t="shared" si="78"/>
        <v/>
      </c>
      <c r="Y507" s="274"/>
      <c r="AR507" t="str">
        <f t="shared" si="79"/>
        <v/>
      </c>
      <c r="AS507" t="str">
        <f t="shared" si="80"/>
        <v/>
      </c>
    </row>
    <row r="508" spans="1:45">
      <c r="A508" s="291"/>
      <c r="B508" s="292"/>
      <c r="C508" s="293"/>
      <c r="D508" s="293"/>
      <c r="E508" s="293"/>
      <c r="F508" s="293"/>
      <c r="G508" s="294"/>
      <c r="H508" s="300"/>
      <c r="I508" s="295"/>
      <c r="J508" s="295"/>
      <c r="K508" s="296"/>
      <c r="L508" s="301"/>
      <c r="M508" s="297"/>
      <c r="N508" s="298"/>
      <c r="P508" s="190" t="str">
        <f>IF(R508 = "", "", COUNT(R$4:$R508))</f>
        <v/>
      </c>
      <c r="Q508" s="190" t="str">
        <f t="shared" si="71"/>
        <v/>
      </c>
      <c r="R508" s="191" t="str">
        <f t="shared" si="72"/>
        <v/>
      </c>
      <c r="S508" s="192" t="str">
        <f t="shared" si="74"/>
        <v/>
      </c>
      <c r="T508" s="193" t="str">
        <f t="shared" si="75"/>
        <v/>
      </c>
      <c r="U508" s="194" t="str">
        <f t="shared" si="76"/>
        <v/>
      </c>
      <c r="V508" s="195" t="str">
        <f t="shared" si="73"/>
        <v/>
      </c>
      <c r="W508" s="336" t="str">
        <f t="shared" si="77"/>
        <v/>
      </c>
      <c r="X508" s="338" t="str">
        <f t="shared" si="78"/>
        <v/>
      </c>
      <c r="Y508" s="274"/>
      <c r="AR508" t="str">
        <f t="shared" si="79"/>
        <v/>
      </c>
      <c r="AS508" t="str">
        <f t="shared" si="80"/>
        <v/>
      </c>
    </row>
    <row r="509" spans="1:45">
      <c r="A509" s="291"/>
      <c r="B509" s="292"/>
      <c r="C509" s="293"/>
      <c r="D509" s="293"/>
      <c r="E509" s="293"/>
      <c r="F509" s="293"/>
      <c r="G509" s="294"/>
      <c r="H509" s="300"/>
      <c r="I509" s="295"/>
      <c r="J509" s="295"/>
      <c r="K509" s="296"/>
      <c r="L509" s="301"/>
      <c r="M509" s="297"/>
      <c r="N509" s="298"/>
      <c r="P509" s="190" t="str">
        <f>IF(R509 = "", "", COUNT(R$4:$R509))</f>
        <v/>
      </c>
      <c r="Q509" s="190" t="str">
        <f t="shared" si="71"/>
        <v/>
      </c>
      <c r="R509" s="191" t="str">
        <f t="shared" si="72"/>
        <v/>
      </c>
      <c r="S509" s="192" t="str">
        <f t="shared" si="74"/>
        <v/>
      </c>
      <c r="T509" s="193" t="str">
        <f t="shared" si="75"/>
        <v/>
      </c>
      <c r="U509" s="194" t="str">
        <f t="shared" si="76"/>
        <v/>
      </c>
      <c r="V509" s="195" t="str">
        <f t="shared" si="73"/>
        <v/>
      </c>
      <c r="W509" s="336" t="str">
        <f t="shared" si="77"/>
        <v/>
      </c>
      <c r="X509" s="338" t="str">
        <f t="shared" si="78"/>
        <v/>
      </c>
      <c r="Y509" s="274"/>
      <c r="AR509" t="str">
        <f t="shared" si="79"/>
        <v/>
      </c>
      <c r="AS509" t="str">
        <f t="shared" si="80"/>
        <v/>
      </c>
    </row>
    <row r="510" spans="1:45">
      <c r="A510" s="291"/>
      <c r="B510" s="292"/>
      <c r="C510" s="293"/>
      <c r="D510" s="293"/>
      <c r="E510" s="293"/>
      <c r="F510" s="293"/>
      <c r="G510" s="294"/>
      <c r="H510" s="300"/>
      <c r="I510" s="295"/>
      <c r="J510" s="295"/>
      <c r="K510" s="296"/>
      <c r="L510" s="301"/>
      <c r="M510" s="297"/>
      <c r="N510" s="298"/>
      <c r="P510" s="190" t="str">
        <f>IF(R510 = "", "", COUNT(R$4:$R510))</f>
        <v/>
      </c>
      <c r="Q510" s="190" t="str">
        <f t="shared" si="71"/>
        <v/>
      </c>
      <c r="R510" s="191" t="str">
        <f t="shared" si="72"/>
        <v/>
      </c>
      <c r="S510" s="192" t="str">
        <f t="shared" si="74"/>
        <v/>
      </c>
      <c r="T510" s="193" t="str">
        <f t="shared" si="75"/>
        <v/>
      </c>
      <c r="U510" s="194" t="str">
        <f t="shared" si="76"/>
        <v/>
      </c>
      <c r="V510" s="195" t="str">
        <f t="shared" si="73"/>
        <v/>
      </c>
      <c r="W510" s="336" t="str">
        <f t="shared" si="77"/>
        <v/>
      </c>
      <c r="X510" s="338" t="str">
        <f t="shared" si="78"/>
        <v/>
      </c>
      <c r="Y510" s="274"/>
      <c r="AR510" t="str">
        <f t="shared" si="79"/>
        <v/>
      </c>
      <c r="AS510" t="str">
        <f t="shared" si="80"/>
        <v/>
      </c>
    </row>
    <row r="511" spans="1:45">
      <c r="A511" s="291"/>
      <c r="B511" s="292"/>
      <c r="C511" s="293"/>
      <c r="D511" s="293"/>
      <c r="E511" s="293"/>
      <c r="F511" s="293"/>
      <c r="G511" s="294"/>
      <c r="H511" s="300"/>
      <c r="I511" s="295"/>
      <c r="J511" s="295"/>
      <c r="K511" s="296"/>
      <c r="L511" s="301"/>
      <c r="M511" s="297"/>
      <c r="N511" s="298"/>
      <c r="P511" s="190" t="str">
        <f>IF(R511 = "", "", COUNT(R$4:$R511))</f>
        <v/>
      </c>
      <c r="Q511" s="190" t="str">
        <f t="shared" si="71"/>
        <v/>
      </c>
      <c r="R511" s="191" t="str">
        <f t="shared" si="72"/>
        <v/>
      </c>
      <c r="S511" s="192" t="str">
        <f t="shared" si="74"/>
        <v/>
      </c>
      <c r="T511" s="193" t="str">
        <f t="shared" si="75"/>
        <v/>
      </c>
      <c r="U511" s="194" t="str">
        <f t="shared" si="76"/>
        <v/>
      </c>
      <c r="V511" s="195" t="str">
        <f t="shared" si="73"/>
        <v/>
      </c>
      <c r="W511" s="336" t="str">
        <f t="shared" si="77"/>
        <v/>
      </c>
      <c r="X511" s="338" t="str">
        <f t="shared" si="78"/>
        <v/>
      </c>
      <c r="Y511" s="274"/>
      <c r="AR511" t="str">
        <f t="shared" si="79"/>
        <v/>
      </c>
      <c r="AS511" t="str">
        <f t="shared" si="80"/>
        <v/>
      </c>
    </row>
    <row r="512" spans="1:45">
      <c r="A512" s="291"/>
      <c r="B512" s="292"/>
      <c r="C512" s="293"/>
      <c r="D512" s="293"/>
      <c r="E512" s="293"/>
      <c r="F512" s="293"/>
      <c r="G512" s="294"/>
      <c r="H512" s="300"/>
      <c r="I512" s="295"/>
      <c r="J512" s="295"/>
      <c r="K512" s="296"/>
      <c r="L512" s="301"/>
      <c r="M512" s="297"/>
      <c r="N512" s="298"/>
      <c r="P512" s="190" t="str">
        <f>IF(R512 = "", "", COUNT(R$4:$R512))</f>
        <v/>
      </c>
      <c r="Q512" s="190" t="str">
        <f t="shared" si="71"/>
        <v/>
      </c>
      <c r="R512" s="191" t="str">
        <f t="shared" si="72"/>
        <v/>
      </c>
      <c r="S512" s="192" t="str">
        <f t="shared" si="74"/>
        <v/>
      </c>
      <c r="T512" s="193" t="str">
        <f t="shared" si="75"/>
        <v/>
      </c>
      <c r="U512" s="194" t="str">
        <f t="shared" si="76"/>
        <v/>
      </c>
      <c r="V512" s="195" t="str">
        <f t="shared" si="73"/>
        <v/>
      </c>
      <c r="W512" s="336" t="str">
        <f t="shared" si="77"/>
        <v/>
      </c>
      <c r="X512" s="338" t="str">
        <f t="shared" si="78"/>
        <v/>
      </c>
      <c r="Y512" s="274"/>
      <c r="AR512" t="str">
        <f t="shared" si="79"/>
        <v/>
      </c>
      <c r="AS512" t="str">
        <f t="shared" si="80"/>
        <v/>
      </c>
    </row>
    <row r="513" spans="1:45">
      <c r="A513" s="291"/>
      <c r="B513" s="292"/>
      <c r="C513" s="293"/>
      <c r="D513" s="293"/>
      <c r="E513" s="293"/>
      <c r="F513" s="293"/>
      <c r="G513" s="294"/>
      <c r="H513" s="300"/>
      <c r="I513" s="295"/>
      <c r="J513" s="295"/>
      <c r="K513" s="296"/>
      <c r="L513" s="301"/>
      <c r="M513" s="297"/>
      <c r="N513" s="298"/>
      <c r="P513" s="190" t="str">
        <f>IF(R513 = "", "", COUNT(R$4:$R513))</f>
        <v/>
      </c>
      <c r="Q513" s="190" t="str">
        <f t="shared" si="71"/>
        <v/>
      </c>
      <c r="R513" s="191" t="str">
        <f t="shared" si="72"/>
        <v/>
      </c>
      <c r="S513" s="192" t="str">
        <f t="shared" si="74"/>
        <v/>
      </c>
      <c r="T513" s="193" t="str">
        <f t="shared" si="75"/>
        <v/>
      </c>
      <c r="U513" s="194" t="str">
        <f t="shared" si="76"/>
        <v/>
      </c>
      <c r="V513" s="195" t="str">
        <f t="shared" si="73"/>
        <v/>
      </c>
      <c r="W513" s="336" t="str">
        <f t="shared" si="77"/>
        <v/>
      </c>
      <c r="X513" s="338" t="str">
        <f t="shared" si="78"/>
        <v/>
      </c>
      <c r="Y513" s="274"/>
      <c r="AR513" t="str">
        <f t="shared" si="79"/>
        <v/>
      </c>
      <c r="AS513" t="str">
        <f t="shared" si="80"/>
        <v/>
      </c>
    </row>
    <row r="514" spans="1:45">
      <c r="A514" s="291"/>
      <c r="B514" s="292"/>
      <c r="C514" s="293"/>
      <c r="D514" s="293"/>
      <c r="E514" s="293"/>
      <c r="F514" s="293"/>
      <c r="G514" s="294"/>
      <c r="H514" s="300"/>
      <c r="I514" s="295"/>
      <c r="J514" s="295"/>
      <c r="K514" s="296"/>
      <c r="L514" s="301"/>
      <c r="M514" s="297"/>
      <c r="N514" s="298"/>
      <c r="P514" s="190" t="str">
        <f>IF(R514 = "", "", COUNT(R$4:$R514))</f>
        <v/>
      </c>
      <c r="Q514" s="190" t="str">
        <f t="shared" si="71"/>
        <v/>
      </c>
      <c r="R514" s="191" t="str">
        <f t="shared" si="72"/>
        <v/>
      </c>
      <c r="S514" s="192" t="str">
        <f t="shared" si="74"/>
        <v/>
      </c>
      <c r="T514" s="193" t="str">
        <f t="shared" si="75"/>
        <v/>
      </c>
      <c r="U514" s="194" t="str">
        <f t="shared" si="76"/>
        <v/>
      </c>
      <c r="V514" s="195" t="str">
        <f t="shared" si="73"/>
        <v/>
      </c>
      <c r="W514" s="336" t="str">
        <f t="shared" si="77"/>
        <v/>
      </c>
      <c r="X514" s="338" t="str">
        <f t="shared" si="78"/>
        <v/>
      </c>
      <c r="Y514" s="274"/>
      <c r="AR514" t="str">
        <f t="shared" si="79"/>
        <v/>
      </c>
      <c r="AS514" t="str">
        <f t="shared" si="80"/>
        <v/>
      </c>
    </row>
    <row r="515" spans="1:45">
      <c r="A515" s="291"/>
      <c r="B515" s="292"/>
      <c r="C515" s="293"/>
      <c r="D515" s="293"/>
      <c r="E515" s="293"/>
      <c r="F515" s="293"/>
      <c r="G515" s="294"/>
      <c r="H515" s="300"/>
      <c r="I515" s="295"/>
      <c r="J515" s="295"/>
      <c r="K515" s="296"/>
      <c r="L515" s="301"/>
      <c r="M515" s="297"/>
      <c r="N515" s="298"/>
      <c r="P515" s="190" t="str">
        <f>IF(R515 = "", "", COUNT(R$4:$R515))</f>
        <v/>
      </c>
      <c r="Q515" s="190" t="str">
        <f t="shared" si="71"/>
        <v/>
      </c>
      <c r="R515" s="191" t="str">
        <f t="shared" si="72"/>
        <v/>
      </c>
      <c r="S515" s="192" t="str">
        <f t="shared" si="74"/>
        <v/>
      </c>
      <c r="T515" s="193" t="str">
        <f t="shared" si="75"/>
        <v/>
      </c>
      <c r="U515" s="194" t="str">
        <f t="shared" si="76"/>
        <v/>
      </c>
      <c r="V515" s="195" t="str">
        <f t="shared" si="73"/>
        <v/>
      </c>
      <c r="W515" s="336" t="str">
        <f t="shared" si="77"/>
        <v/>
      </c>
      <c r="X515" s="338" t="str">
        <f t="shared" si="78"/>
        <v/>
      </c>
      <c r="Y515" s="274"/>
      <c r="AR515" t="str">
        <f t="shared" si="79"/>
        <v/>
      </c>
      <c r="AS515" t="str">
        <f t="shared" si="80"/>
        <v/>
      </c>
    </row>
    <row r="516" spans="1:45">
      <c r="A516" s="291"/>
      <c r="B516" s="292"/>
      <c r="C516" s="293"/>
      <c r="D516" s="293"/>
      <c r="E516" s="293"/>
      <c r="F516" s="293"/>
      <c r="G516" s="294"/>
      <c r="H516" s="300"/>
      <c r="I516" s="295"/>
      <c r="J516" s="295"/>
      <c r="K516" s="296"/>
      <c r="L516" s="301"/>
      <c r="M516" s="297"/>
      <c r="N516" s="298"/>
      <c r="P516" s="190" t="str">
        <f>IF(R516 = "", "", COUNT(R$4:$R516))</f>
        <v/>
      </c>
      <c r="Q516" s="190" t="str">
        <f t="shared" ref="Q516:Q579" si="81">IF(C516 &gt; 0, YEAR(B516), "")</f>
        <v/>
      </c>
      <c r="R516" s="191" t="str">
        <f t="shared" ref="R516:R579" si="82">IF(A516="", "", IF(G516="",1,IF(G516="O",1,IF(G516="C",8.4,IF(G516="B",8.4,IF(G516="A",76.8,IF(G516="K",76.8,"ERR")))))))</f>
        <v/>
      </c>
      <c r="S516" s="192" t="str">
        <f t="shared" si="74"/>
        <v/>
      </c>
      <c r="T516" s="193" t="str">
        <f t="shared" si="75"/>
        <v/>
      </c>
      <c r="U516" s="194" t="str">
        <f t="shared" si="76"/>
        <v/>
      </c>
      <c r="V516" s="195" t="str">
        <f t="shared" ref="V516:V579" si="83">IF(IF(M516&lt;&gt;"",G516,"")=0, "O", IF(M516&lt;&gt;"",G516,""))</f>
        <v/>
      </c>
      <c r="W516" s="336" t="str">
        <f t="shared" si="77"/>
        <v/>
      </c>
      <c r="X516" s="338" t="str">
        <f t="shared" si="78"/>
        <v/>
      </c>
      <c r="Y516" s="274"/>
      <c r="AR516" t="str">
        <f t="shared" si="79"/>
        <v/>
      </c>
      <c r="AS516" t="str">
        <f t="shared" si="80"/>
        <v/>
      </c>
    </row>
    <row r="517" spans="1:45">
      <c r="A517" s="291"/>
      <c r="B517" s="292"/>
      <c r="C517" s="293"/>
      <c r="D517" s="293"/>
      <c r="E517" s="293"/>
      <c r="F517" s="293"/>
      <c r="G517" s="294"/>
      <c r="H517" s="300"/>
      <c r="I517" s="295"/>
      <c r="J517" s="295"/>
      <c r="K517" s="296"/>
      <c r="L517" s="301"/>
      <c r="M517" s="297"/>
      <c r="N517" s="298"/>
      <c r="P517" s="190" t="str">
        <f>IF(R517 = "", "", COUNT(R$4:$R517))</f>
        <v/>
      </c>
      <c r="Q517" s="190" t="str">
        <f t="shared" si="81"/>
        <v/>
      </c>
      <c r="R517" s="191" t="str">
        <f t="shared" si="82"/>
        <v/>
      </c>
      <c r="S517" s="192" t="str">
        <f t="shared" ref="S517:S580" si="84">IF(L517&lt;&gt;"",R517,"")</f>
        <v/>
      </c>
      <c r="T517" s="193" t="str">
        <f t="shared" ref="T517:T580" si="85">IF(IF(L517&lt;&gt;"",G517,"")=0, "O", IF(L517&lt;&gt;"",G517,""))</f>
        <v/>
      </c>
      <c r="U517" s="194" t="str">
        <f t="shared" ref="U517:U580" si="86">IF(M517&lt;&gt;"",R517,"")</f>
        <v/>
      </c>
      <c r="V517" s="195" t="str">
        <f t="shared" si="83"/>
        <v/>
      </c>
      <c r="W517" s="336" t="str">
        <f t="shared" ref="W517:W580" si="87">IF(N517&lt;&gt;"",R517,"")</f>
        <v/>
      </c>
      <c r="X517" s="338" t="str">
        <f t="shared" ref="X517:X580" si="88">IF(IF(N517&lt;&gt;"",G517,"")=0, "O", IF(N517&lt;&gt;"",G517,""))</f>
        <v/>
      </c>
      <c r="Y517" s="274"/>
      <c r="AR517" t="str">
        <f t="shared" ref="AR517:AR580" si="89">IF(P517&gt;0, P517, "")</f>
        <v/>
      </c>
      <c r="AS517" t="str">
        <f t="shared" ref="AS517:AS580" si="90">IF(OR(L517="Y",M517="Y",N517="Y"),"Y","")</f>
        <v/>
      </c>
    </row>
    <row r="518" spans="1:45">
      <c r="A518" s="291"/>
      <c r="B518" s="292"/>
      <c r="C518" s="293"/>
      <c r="D518" s="293"/>
      <c r="E518" s="293"/>
      <c r="F518" s="293"/>
      <c r="G518" s="294"/>
      <c r="H518" s="300"/>
      <c r="I518" s="295"/>
      <c r="J518" s="295"/>
      <c r="K518" s="296"/>
      <c r="L518" s="301"/>
      <c r="M518" s="297"/>
      <c r="N518" s="298"/>
      <c r="P518" s="190" t="str">
        <f>IF(R518 = "", "", COUNT(R$4:$R518))</f>
        <v/>
      </c>
      <c r="Q518" s="190" t="str">
        <f t="shared" si="81"/>
        <v/>
      </c>
      <c r="R518" s="191" t="str">
        <f t="shared" si="82"/>
        <v/>
      </c>
      <c r="S518" s="192" t="str">
        <f t="shared" si="84"/>
        <v/>
      </c>
      <c r="T518" s="193" t="str">
        <f t="shared" si="85"/>
        <v/>
      </c>
      <c r="U518" s="194" t="str">
        <f t="shared" si="86"/>
        <v/>
      </c>
      <c r="V518" s="195" t="str">
        <f t="shared" si="83"/>
        <v/>
      </c>
      <c r="W518" s="336" t="str">
        <f t="shared" si="87"/>
        <v/>
      </c>
      <c r="X518" s="338" t="str">
        <f t="shared" si="88"/>
        <v/>
      </c>
      <c r="Y518" s="274"/>
      <c r="AR518" t="str">
        <f t="shared" si="89"/>
        <v/>
      </c>
      <c r="AS518" t="str">
        <f t="shared" si="90"/>
        <v/>
      </c>
    </row>
    <row r="519" spans="1:45">
      <c r="A519" s="291"/>
      <c r="B519" s="292"/>
      <c r="C519" s="293"/>
      <c r="D519" s="293"/>
      <c r="E519" s="293"/>
      <c r="F519" s="293"/>
      <c r="G519" s="294"/>
      <c r="H519" s="300"/>
      <c r="I519" s="295"/>
      <c r="J519" s="295"/>
      <c r="K519" s="296"/>
      <c r="L519" s="301"/>
      <c r="M519" s="297"/>
      <c r="N519" s="298"/>
      <c r="P519" s="190" t="str">
        <f>IF(R519 = "", "", COUNT(R$4:$R519))</f>
        <v/>
      </c>
      <c r="Q519" s="190" t="str">
        <f t="shared" si="81"/>
        <v/>
      </c>
      <c r="R519" s="191" t="str">
        <f t="shared" si="82"/>
        <v/>
      </c>
      <c r="S519" s="192" t="str">
        <f t="shared" si="84"/>
        <v/>
      </c>
      <c r="T519" s="193" t="str">
        <f t="shared" si="85"/>
        <v/>
      </c>
      <c r="U519" s="194" t="str">
        <f t="shared" si="86"/>
        <v/>
      </c>
      <c r="V519" s="195" t="str">
        <f t="shared" si="83"/>
        <v/>
      </c>
      <c r="W519" s="336" t="str">
        <f t="shared" si="87"/>
        <v/>
      </c>
      <c r="X519" s="338" t="str">
        <f t="shared" si="88"/>
        <v/>
      </c>
      <c r="Y519" s="274"/>
      <c r="AR519" t="str">
        <f t="shared" si="89"/>
        <v/>
      </c>
      <c r="AS519" t="str">
        <f t="shared" si="90"/>
        <v/>
      </c>
    </row>
    <row r="520" spans="1:45">
      <c r="A520" s="291"/>
      <c r="B520" s="292"/>
      <c r="C520" s="293"/>
      <c r="D520" s="293"/>
      <c r="E520" s="293"/>
      <c r="F520" s="293"/>
      <c r="G520" s="294"/>
      <c r="H520" s="300"/>
      <c r="I520" s="295"/>
      <c r="J520" s="295"/>
      <c r="K520" s="296"/>
      <c r="L520" s="301"/>
      <c r="M520" s="297"/>
      <c r="N520" s="298"/>
      <c r="P520" s="190" t="str">
        <f>IF(R520 = "", "", COUNT(R$4:$R520))</f>
        <v/>
      </c>
      <c r="Q520" s="190" t="str">
        <f t="shared" si="81"/>
        <v/>
      </c>
      <c r="R520" s="191" t="str">
        <f t="shared" si="82"/>
        <v/>
      </c>
      <c r="S520" s="192" t="str">
        <f t="shared" si="84"/>
        <v/>
      </c>
      <c r="T520" s="193" t="str">
        <f t="shared" si="85"/>
        <v/>
      </c>
      <c r="U520" s="194" t="str">
        <f t="shared" si="86"/>
        <v/>
      </c>
      <c r="V520" s="195" t="str">
        <f t="shared" si="83"/>
        <v/>
      </c>
      <c r="W520" s="336" t="str">
        <f t="shared" si="87"/>
        <v/>
      </c>
      <c r="X520" s="338" t="str">
        <f t="shared" si="88"/>
        <v/>
      </c>
      <c r="Y520" s="274"/>
      <c r="AR520" t="str">
        <f t="shared" si="89"/>
        <v/>
      </c>
      <c r="AS520" t="str">
        <f t="shared" si="90"/>
        <v/>
      </c>
    </row>
    <row r="521" spans="1:45">
      <c r="A521" s="291"/>
      <c r="B521" s="292"/>
      <c r="C521" s="293"/>
      <c r="D521" s="293"/>
      <c r="E521" s="293"/>
      <c r="F521" s="293"/>
      <c r="G521" s="294"/>
      <c r="H521" s="300"/>
      <c r="I521" s="295"/>
      <c r="J521" s="295"/>
      <c r="K521" s="296"/>
      <c r="L521" s="301"/>
      <c r="M521" s="297"/>
      <c r="N521" s="298"/>
      <c r="P521" s="190" t="str">
        <f>IF(R521 = "", "", COUNT(R$4:$R521))</f>
        <v/>
      </c>
      <c r="Q521" s="190" t="str">
        <f t="shared" si="81"/>
        <v/>
      </c>
      <c r="R521" s="191" t="str">
        <f t="shared" si="82"/>
        <v/>
      </c>
      <c r="S521" s="192" t="str">
        <f t="shared" si="84"/>
        <v/>
      </c>
      <c r="T521" s="193" t="str">
        <f t="shared" si="85"/>
        <v/>
      </c>
      <c r="U521" s="194" t="str">
        <f t="shared" si="86"/>
        <v/>
      </c>
      <c r="V521" s="195" t="str">
        <f t="shared" si="83"/>
        <v/>
      </c>
      <c r="W521" s="336" t="str">
        <f t="shared" si="87"/>
        <v/>
      </c>
      <c r="X521" s="338" t="str">
        <f t="shared" si="88"/>
        <v/>
      </c>
      <c r="Y521" s="274"/>
      <c r="AR521" t="str">
        <f t="shared" si="89"/>
        <v/>
      </c>
      <c r="AS521" t="str">
        <f t="shared" si="90"/>
        <v/>
      </c>
    </row>
    <row r="522" spans="1:45">
      <c r="A522" s="291"/>
      <c r="B522" s="292"/>
      <c r="C522" s="293"/>
      <c r="D522" s="293"/>
      <c r="E522" s="293"/>
      <c r="F522" s="293"/>
      <c r="G522" s="294"/>
      <c r="H522" s="300"/>
      <c r="I522" s="295"/>
      <c r="J522" s="295"/>
      <c r="K522" s="296"/>
      <c r="L522" s="301"/>
      <c r="M522" s="297"/>
      <c r="N522" s="298"/>
      <c r="P522" s="190" t="str">
        <f>IF(R522 = "", "", COUNT(R$4:$R522))</f>
        <v/>
      </c>
      <c r="Q522" s="190" t="str">
        <f t="shared" si="81"/>
        <v/>
      </c>
      <c r="R522" s="191" t="str">
        <f t="shared" si="82"/>
        <v/>
      </c>
      <c r="S522" s="192" t="str">
        <f t="shared" si="84"/>
        <v/>
      </c>
      <c r="T522" s="193" t="str">
        <f t="shared" si="85"/>
        <v/>
      </c>
      <c r="U522" s="194" t="str">
        <f t="shared" si="86"/>
        <v/>
      </c>
      <c r="V522" s="195" t="str">
        <f t="shared" si="83"/>
        <v/>
      </c>
      <c r="W522" s="336" t="str">
        <f t="shared" si="87"/>
        <v/>
      </c>
      <c r="X522" s="338" t="str">
        <f t="shared" si="88"/>
        <v/>
      </c>
      <c r="Y522" s="274"/>
      <c r="AR522" t="str">
        <f t="shared" si="89"/>
        <v/>
      </c>
      <c r="AS522" t="str">
        <f t="shared" si="90"/>
        <v/>
      </c>
    </row>
    <row r="523" spans="1:45">
      <c r="A523" s="291"/>
      <c r="B523" s="292"/>
      <c r="C523" s="293"/>
      <c r="D523" s="293"/>
      <c r="E523" s="293"/>
      <c r="F523" s="293"/>
      <c r="G523" s="294"/>
      <c r="H523" s="300"/>
      <c r="I523" s="295"/>
      <c r="J523" s="295"/>
      <c r="K523" s="296"/>
      <c r="L523" s="301"/>
      <c r="M523" s="297"/>
      <c r="N523" s="298"/>
      <c r="P523" s="190" t="str">
        <f>IF(R523 = "", "", COUNT(R$4:$R523))</f>
        <v/>
      </c>
      <c r="Q523" s="190" t="str">
        <f t="shared" si="81"/>
        <v/>
      </c>
      <c r="R523" s="191" t="str">
        <f t="shared" si="82"/>
        <v/>
      </c>
      <c r="S523" s="192" t="str">
        <f t="shared" si="84"/>
        <v/>
      </c>
      <c r="T523" s="193" t="str">
        <f t="shared" si="85"/>
        <v/>
      </c>
      <c r="U523" s="194" t="str">
        <f t="shared" si="86"/>
        <v/>
      </c>
      <c r="V523" s="195" t="str">
        <f t="shared" si="83"/>
        <v/>
      </c>
      <c r="W523" s="336" t="str">
        <f t="shared" si="87"/>
        <v/>
      </c>
      <c r="X523" s="338" t="str">
        <f t="shared" si="88"/>
        <v/>
      </c>
      <c r="Y523" s="274"/>
      <c r="AR523" t="str">
        <f t="shared" si="89"/>
        <v/>
      </c>
      <c r="AS523" t="str">
        <f t="shared" si="90"/>
        <v/>
      </c>
    </row>
    <row r="524" spans="1:45">
      <c r="A524" s="291"/>
      <c r="B524" s="292"/>
      <c r="C524" s="293"/>
      <c r="D524" s="293"/>
      <c r="E524" s="293"/>
      <c r="F524" s="293"/>
      <c r="G524" s="294"/>
      <c r="H524" s="300"/>
      <c r="I524" s="295"/>
      <c r="J524" s="295"/>
      <c r="K524" s="296"/>
      <c r="L524" s="301"/>
      <c r="M524" s="297"/>
      <c r="N524" s="298"/>
      <c r="P524" s="190" t="str">
        <f>IF(R524 = "", "", COUNT(R$4:$R524))</f>
        <v/>
      </c>
      <c r="Q524" s="190" t="str">
        <f t="shared" si="81"/>
        <v/>
      </c>
      <c r="R524" s="191" t="str">
        <f t="shared" si="82"/>
        <v/>
      </c>
      <c r="S524" s="192" t="str">
        <f t="shared" si="84"/>
        <v/>
      </c>
      <c r="T524" s="193" t="str">
        <f t="shared" si="85"/>
        <v/>
      </c>
      <c r="U524" s="194" t="str">
        <f t="shared" si="86"/>
        <v/>
      </c>
      <c r="V524" s="195" t="str">
        <f t="shared" si="83"/>
        <v/>
      </c>
      <c r="W524" s="336" t="str">
        <f t="shared" si="87"/>
        <v/>
      </c>
      <c r="X524" s="338" t="str">
        <f t="shared" si="88"/>
        <v/>
      </c>
      <c r="Y524" s="274"/>
      <c r="AR524" t="str">
        <f t="shared" si="89"/>
        <v/>
      </c>
      <c r="AS524" t="str">
        <f t="shared" si="90"/>
        <v/>
      </c>
    </row>
    <row r="525" spans="1:45">
      <c r="A525" s="291"/>
      <c r="B525" s="292"/>
      <c r="C525" s="293"/>
      <c r="D525" s="293"/>
      <c r="E525" s="293"/>
      <c r="F525" s="293"/>
      <c r="G525" s="294"/>
      <c r="H525" s="300"/>
      <c r="I525" s="295"/>
      <c r="J525" s="295"/>
      <c r="K525" s="296"/>
      <c r="L525" s="301"/>
      <c r="M525" s="297"/>
      <c r="N525" s="298"/>
      <c r="P525" s="190" t="str">
        <f>IF(R525 = "", "", COUNT(R$4:$R525))</f>
        <v/>
      </c>
      <c r="Q525" s="190" t="str">
        <f t="shared" si="81"/>
        <v/>
      </c>
      <c r="R525" s="191" t="str">
        <f t="shared" si="82"/>
        <v/>
      </c>
      <c r="S525" s="192" t="str">
        <f t="shared" si="84"/>
        <v/>
      </c>
      <c r="T525" s="193" t="str">
        <f t="shared" si="85"/>
        <v/>
      </c>
      <c r="U525" s="194" t="str">
        <f t="shared" si="86"/>
        <v/>
      </c>
      <c r="V525" s="195" t="str">
        <f t="shared" si="83"/>
        <v/>
      </c>
      <c r="W525" s="336" t="str">
        <f t="shared" si="87"/>
        <v/>
      </c>
      <c r="X525" s="338" t="str">
        <f t="shared" si="88"/>
        <v/>
      </c>
      <c r="Y525" s="274"/>
      <c r="AR525" t="str">
        <f t="shared" si="89"/>
        <v/>
      </c>
      <c r="AS525" t="str">
        <f t="shared" si="90"/>
        <v/>
      </c>
    </row>
    <row r="526" spans="1:45">
      <c r="A526" s="291"/>
      <c r="B526" s="292"/>
      <c r="C526" s="293"/>
      <c r="D526" s="293"/>
      <c r="E526" s="293"/>
      <c r="F526" s="293"/>
      <c r="G526" s="294"/>
      <c r="H526" s="300"/>
      <c r="I526" s="295"/>
      <c r="J526" s="295"/>
      <c r="K526" s="296"/>
      <c r="L526" s="301"/>
      <c r="M526" s="297"/>
      <c r="N526" s="298"/>
      <c r="P526" s="190" t="str">
        <f>IF(R526 = "", "", COUNT(R$4:$R526))</f>
        <v/>
      </c>
      <c r="Q526" s="190" t="str">
        <f t="shared" si="81"/>
        <v/>
      </c>
      <c r="R526" s="191" t="str">
        <f t="shared" si="82"/>
        <v/>
      </c>
      <c r="S526" s="192" t="str">
        <f t="shared" si="84"/>
        <v/>
      </c>
      <c r="T526" s="193" t="str">
        <f t="shared" si="85"/>
        <v/>
      </c>
      <c r="U526" s="194" t="str">
        <f t="shared" si="86"/>
        <v/>
      </c>
      <c r="V526" s="195" t="str">
        <f t="shared" si="83"/>
        <v/>
      </c>
      <c r="W526" s="336" t="str">
        <f t="shared" si="87"/>
        <v/>
      </c>
      <c r="X526" s="338" t="str">
        <f t="shared" si="88"/>
        <v/>
      </c>
      <c r="Y526" s="274"/>
      <c r="AR526" t="str">
        <f t="shared" si="89"/>
        <v/>
      </c>
      <c r="AS526" t="str">
        <f t="shared" si="90"/>
        <v/>
      </c>
    </row>
    <row r="527" spans="1:45">
      <c r="A527" s="291"/>
      <c r="B527" s="292"/>
      <c r="C527" s="293"/>
      <c r="D527" s="293"/>
      <c r="E527" s="293"/>
      <c r="F527" s="293"/>
      <c r="G527" s="294"/>
      <c r="H527" s="300"/>
      <c r="I527" s="295"/>
      <c r="J527" s="295"/>
      <c r="K527" s="296"/>
      <c r="L527" s="301"/>
      <c r="M527" s="297"/>
      <c r="N527" s="298"/>
      <c r="P527" s="190" t="str">
        <f>IF(R527 = "", "", COUNT(R$4:$R527))</f>
        <v/>
      </c>
      <c r="Q527" s="190" t="str">
        <f t="shared" si="81"/>
        <v/>
      </c>
      <c r="R527" s="191" t="str">
        <f t="shared" si="82"/>
        <v/>
      </c>
      <c r="S527" s="192" t="str">
        <f t="shared" si="84"/>
        <v/>
      </c>
      <c r="T527" s="193" t="str">
        <f t="shared" si="85"/>
        <v/>
      </c>
      <c r="U527" s="194" t="str">
        <f t="shared" si="86"/>
        <v/>
      </c>
      <c r="V527" s="195" t="str">
        <f t="shared" si="83"/>
        <v/>
      </c>
      <c r="W527" s="336" t="str">
        <f t="shared" si="87"/>
        <v/>
      </c>
      <c r="X527" s="338" t="str">
        <f t="shared" si="88"/>
        <v/>
      </c>
      <c r="Y527" s="274"/>
      <c r="AR527" t="str">
        <f t="shared" si="89"/>
        <v/>
      </c>
      <c r="AS527" t="str">
        <f t="shared" si="90"/>
        <v/>
      </c>
    </row>
    <row r="528" spans="1:45">
      <c r="A528" s="291"/>
      <c r="B528" s="292"/>
      <c r="C528" s="293"/>
      <c r="D528" s="293"/>
      <c r="E528" s="293"/>
      <c r="F528" s="293"/>
      <c r="G528" s="294"/>
      <c r="H528" s="300"/>
      <c r="I528" s="295"/>
      <c r="J528" s="295"/>
      <c r="K528" s="296"/>
      <c r="L528" s="301"/>
      <c r="M528" s="297"/>
      <c r="N528" s="298"/>
      <c r="P528" s="190" t="str">
        <f>IF(R528 = "", "", COUNT(R$4:$R528))</f>
        <v/>
      </c>
      <c r="Q528" s="190" t="str">
        <f t="shared" si="81"/>
        <v/>
      </c>
      <c r="R528" s="191" t="str">
        <f t="shared" si="82"/>
        <v/>
      </c>
      <c r="S528" s="192" t="str">
        <f t="shared" si="84"/>
        <v/>
      </c>
      <c r="T528" s="193" t="str">
        <f t="shared" si="85"/>
        <v/>
      </c>
      <c r="U528" s="194" t="str">
        <f t="shared" si="86"/>
        <v/>
      </c>
      <c r="V528" s="195" t="str">
        <f t="shared" si="83"/>
        <v/>
      </c>
      <c r="W528" s="336" t="str">
        <f t="shared" si="87"/>
        <v/>
      </c>
      <c r="X528" s="338" t="str">
        <f t="shared" si="88"/>
        <v/>
      </c>
      <c r="Y528" s="274"/>
      <c r="AR528" t="str">
        <f t="shared" si="89"/>
        <v/>
      </c>
      <c r="AS528" t="str">
        <f t="shared" si="90"/>
        <v/>
      </c>
    </row>
    <row r="529" spans="1:45">
      <c r="A529" s="291"/>
      <c r="B529" s="292"/>
      <c r="C529" s="293"/>
      <c r="D529" s="293"/>
      <c r="E529" s="293"/>
      <c r="F529" s="293"/>
      <c r="G529" s="294"/>
      <c r="H529" s="300"/>
      <c r="I529" s="295"/>
      <c r="J529" s="295"/>
      <c r="K529" s="296"/>
      <c r="L529" s="301"/>
      <c r="M529" s="297"/>
      <c r="N529" s="298"/>
      <c r="P529" s="190" t="str">
        <f>IF(R529 = "", "", COUNT(R$4:$R529))</f>
        <v/>
      </c>
      <c r="Q529" s="190" t="str">
        <f t="shared" si="81"/>
        <v/>
      </c>
      <c r="R529" s="191" t="str">
        <f t="shared" si="82"/>
        <v/>
      </c>
      <c r="S529" s="192" t="str">
        <f t="shared" si="84"/>
        <v/>
      </c>
      <c r="T529" s="193" t="str">
        <f t="shared" si="85"/>
        <v/>
      </c>
      <c r="U529" s="194" t="str">
        <f t="shared" si="86"/>
        <v/>
      </c>
      <c r="V529" s="195" t="str">
        <f t="shared" si="83"/>
        <v/>
      </c>
      <c r="W529" s="336" t="str">
        <f t="shared" si="87"/>
        <v/>
      </c>
      <c r="X529" s="338" t="str">
        <f t="shared" si="88"/>
        <v/>
      </c>
      <c r="Y529" s="274"/>
      <c r="AR529" t="str">
        <f t="shared" si="89"/>
        <v/>
      </c>
      <c r="AS529" t="str">
        <f t="shared" si="90"/>
        <v/>
      </c>
    </row>
    <row r="530" spans="1:45">
      <c r="A530" s="291"/>
      <c r="B530" s="292"/>
      <c r="C530" s="293"/>
      <c r="D530" s="293"/>
      <c r="E530" s="293"/>
      <c r="F530" s="293"/>
      <c r="G530" s="294"/>
      <c r="H530" s="300"/>
      <c r="I530" s="295"/>
      <c r="J530" s="295"/>
      <c r="K530" s="296"/>
      <c r="L530" s="301"/>
      <c r="M530" s="297"/>
      <c r="N530" s="298"/>
      <c r="P530" s="190" t="str">
        <f>IF(R530 = "", "", COUNT(R$4:$R530))</f>
        <v/>
      </c>
      <c r="Q530" s="190" t="str">
        <f t="shared" si="81"/>
        <v/>
      </c>
      <c r="R530" s="191" t="str">
        <f t="shared" si="82"/>
        <v/>
      </c>
      <c r="S530" s="192" t="str">
        <f t="shared" si="84"/>
        <v/>
      </c>
      <c r="T530" s="193" t="str">
        <f t="shared" si="85"/>
        <v/>
      </c>
      <c r="U530" s="194" t="str">
        <f t="shared" si="86"/>
        <v/>
      </c>
      <c r="V530" s="195" t="str">
        <f t="shared" si="83"/>
        <v/>
      </c>
      <c r="W530" s="336" t="str">
        <f t="shared" si="87"/>
        <v/>
      </c>
      <c r="X530" s="338" t="str">
        <f t="shared" si="88"/>
        <v/>
      </c>
      <c r="Y530" s="274"/>
      <c r="AR530" t="str">
        <f t="shared" si="89"/>
        <v/>
      </c>
      <c r="AS530" t="str">
        <f t="shared" si="90"/>
        <v/>
      </c>
    </row>
    <row r="531" spans="1:45">
      <c r="A531" s="291"/>
      <c r="B531" s="292"/>
      <c r="C531" s="293"/>
      <c r="D531" s="293"/>
      <c r="E531" s="293"/>
      <c r="F531" s="293"/>
      <c r="G531" s="294"/>
      <c r="H531" s="300"/>
      <c r="I531" s="295"/>
      <c r="J531" s="295"/>
      <c r="K531" s="296"/>
      <c r="L531" s="301"/>
      <c r="M531" s="297"/>
      <c r="N531" s="298"/>
      <c r="P531" s="190" t="str">
        <f>IF(R531 = "", "", COUNT(R$4:$R531))</f>
        <v/>
      </c>
      <c r="Q531" s="190" t="str">
        <f t="shared" si="81"/>
        <v/>
      </c>
      <c r="R531" s="191" t="str">
        <f t="shared" si="82"/>
        <v/>
      </c>
      <c r="S531" s="192" t="str">
        <f t="shared" si="84"/>
        <v/>
      </c>
      <c r="T531" s="193" t="str">
        <f t="shared" si="85"/>
        <v/>
      </c>
      <c r="U531" s="194" t="str">
        <f t="shared" si="86"/>
        <v/>
      </c>
      <c r="V531" s="195" t="str">
        <f t="shared" si="83"/>
        <v/>
      </c>
      <c r="W531" s="336" t="str">
        <f t="shared" si="87"/>
        <v/>
      </c>
      <c r="X531" s="338" t="str">
        <f t="shared" si="88"/>
        <v/>
      </c>
      <c r="Y531" s="274"/>
      <c r="AR531" t="str">
        <f t="shared" si="89"/>
        <v/>
      </c>
      <c r="AS531" t="str">
        <f t="shared" si="90"/>
        <v/>
      </c>
    </row>
    <row r="532" spans="1:45">
      <c r="A532" s="291"/>
      <c r="B532" s="292"/>
      <c r="C532" s="293"/>
      <c r="D532" s="293"/>
      <c r="E532" s="293"/>
      <c r="F532" s="293"/>
      <c r="G532" s="294"/>
      <c r="H532" s="300"/>
      <c r="I532" s="295"/>
      <c r="J532" s="295"/>
      <c r="K532" s="296"/>
      <c r="L532" s="301"/>
      <c r="M532" s="297"/>
      <c r="N532" s="298"/>
      <c r="P532" s="190" t="str">
        <f>IF(R532 = "", "", COUNT(R$4:$R532))</f>
        <v/>
      </c>
      <c r="Q532" s="190" t="str">
        <f t="shared" si="81"/>
        <v/>
      </c>
      <c r="R532" s="191" t="str">
        <f t="shared" si="82"/>
        <v/>
      </c>
      <c r="S532" s="192" t="str">
        <f t="shared" si="84"/>
        <v/>
      </c>
      <c r="T532" s="193" t="str">
        <f t="shared" si="85"/>
        <v/>
      </c>
      <c r="U532" s="194" t="str">
        <f t="shared" si="86"/>
        <v/>
      </c>
      <c r="V532" s="195" t="str">
        <f t="shared" si="83"/>
        <v/>
      </c>
      <c r="W532" s="336" t="str">
        <f t="shared" si="87"/>
        <v/>
      </c>
      <c r="X532" s="338" t="str">
        <f t="shared" si="88"/>
        <v/>
      </c>
      <c r="Y532" s="274"/>
      <c r="AR532" t="str">
        <f t="shared" si="89"/>
        <v/>
      </c>
      <c r="AS532" t="str">
        <f t="shared" si="90"/>
        <v/>
      </c>
    </row>
    <row r="533" spans="1:45">
      <c r="A533" s="291"/>
      <c r="B533" s="292"/>
      <c r="C533" s="293"/>
      <c r="D533" s="293"/>
      <c r="E533" s="293"/>
      <c r="F533" s="293"/>
      <c r="G533" s="294"/>
      <c r="H533" s="300"/>
      <c r="I533" s="295"/>
      <c r="J533" s="295"/>
      <c r="K533" s="296"/>
      <c r="L533" s="301"/>
      <c r="M533" s="297"/>
      <c r="N533" s="298"/>
      <c r="P533" s="190" t="str">
        <f>IF(R533 = "", "", COUNT(R$4:$R533))</f>
        <v/>
      </c>
      <c r="Q533" s="190" t="str">
        <f t="shared" si="81"/>
        <v/>
      </c>
      <c r="R533" s="191" t="str">
        <f t="shared" si="82"/>
        <v/>
      </c>
      <c r="S533" s="192" t="str">
        <f t="shared" si="84"/>
        <v/>
      </c>
      <c r="T533" s="193" t="str">
        <f t="shared" si="85"/>
        <v/>
      </c>
      <c r="U533" s="194" t="str">
        <f t="shared" si="86"/>
        <v/>
      </c>
      <c r="V533" s="195" t="str">
        <f t="shared" si="83"/>
        <v/>
      </c>
      <c r="W533" s="336" t="str">
        <f t="shared" si="87"/>
        <v/>
      </c>
      <c r="X533" s="338" t="str">
        <f t="shared" si="88"/>
        <v/>
      </c>
      <c r="Y533" s="274"/>
      <c r="AR533" t="str">
        <f t="shared" si="89"/>
        <v/>
      </c>
      <c r="AS533" t="str">
        <f t="shared" si="90"/>
        <v/>
      </c>
    </row>
    <row r="534" spans="1:45">
      <c r="A534" s="291"/>
      <c r="B534" s="292"/>
      <c r="C534" s="293"/>
      <c r="D534" s="293"/>
      <c r="E534" s="293"/>
      <c r="F534" s="293"/>
      <c r="G534" s="294"/>
      <c r="H534" s="300"/>
      <c r="I534" s="295"/>
      <c r="J534" s="295"/>
      <c r="K534" s="296"/>
      <c r="L534" s="301"/>
      <c r="M534" s="297"/>
      <c r="N534" s="298"/>
      <c r="P534" s="190" t="str">
        <f>IF(R534 = "", "", COUNT(R$4:$R534))</f>
        <v/>
      </c>
      <c r="Q534" s="190" t="str">
        <f t="shared" si="81"/>
        <v/>
      </c>
      <c r="R534" s="191" t="str">
        <f t="shared" si="82"/>
        <v/>
      </c>
      <c r="S534" s="192" t="str">
        <f t="shared" si="84"/>
        <v/>
      </c>
      <c r="T534" s="193" t="str">
        <f t="shared" si="85"/>
        <v/>
      </c>
      <c r="U534" s="194" t="str">
        <f t="shared" si="86"/>
        <v/>
      </c>
      <c r="V534" s="195" t="str">
        <f t="shared" si="83"/>
        <v/>
      </c>
      <c r="W534" s="336" t="str">
        <f t="shared" si="87"/>
        <v/>
      </c>
      <c r="X534" s="338" t="str">
        <f t="shared" si="88"/>
        <v/>
      </c>
      <c r="Y534" s="274"/>
      <c r="AR534" t="str">
        <f t="shared" si="89"/>
        <v/>
      </c>
      <c r="AS534" t="str">
        <f t="shared" si="90"/>
        <v/>
      </c>
    </row>
    <row r="535" spans="1:45">
      <c r="A535" s="291"/>
      <c r="B535" s="292"/>
      <c r="C535" s="293"/>
      <c r="D535" s="293"/>
      <c r="E535" s="293"/>
      <c r="F535" s="293"/>
      <c r="G535" s="294"/>
      <c r="H535" s="300"/>
      <c r="I535" s="295"/>
      <c r="J535" s="295"/>
      <c r="K535" s="296"/>
      <c r="L535" s="301"/>
      <c r="M535" s="297"/>
      <c r="N535" s="298"/>
      <c r="P535" s="190" t="str">
        <f>IF(R535 = "", "", COUNT(R$4:$R535))</f>
        <v/>
      </c>
      <c r="Q535" s="190" t="str">
        <f t="shared" si="81"/>
        <v/>
      </c>
      <c r="R535" s="191" t="str">
        <f t="shared" si="82"/>
        <v/>
      </c>
      <c r="S535" s="192" t="str">
        <f t="shared" si="84"/>
        <v/>
      </c>
      <c r="T535" s="193" t="str">
        <f t="shared" si="85"/>
        <v/>
      </c>
      <c r="U535" s="194" t="str">
        <f t="shared" si="86"/>
        <v/>
      </c>
      <c r="V535" s="195" t="str">
        <f t="shared" si="83"/>
        <v/>
      </c>
      <c r="W535" s="336" t="str">
        <f t="shared" si="87"/>
        <v/>
      </c>
      <c r="X535" s="338" t="str">
        <f t="shared" si="88"/>
        <v/>
      </c>
      <c r="Y535" s="274"/>
      <c r="AR535" t="str">
        <f t="shared" si="89"/>
        <v/>
      </c>
      <c r="AS535" t="str">
        <f t="shared" si="90"/>
        <v/>
      </c>
    </row>
    <row r="536" spans="1:45">
      <c r="A536" s="291"/>
      <c r="B536" s="292"/>
      <c r="C536" s="293"/>
      <c r="D536" s="293"/>
      <c r="E536" s="293"/>
      <c r="F536" s="293"/>
      <c r="G536" s="294"/>
      <c r="H536" s="300"/>
      <c r="I536" s="295"/>
      <c r="J536" s="295"/>
      <c r="K536" s="296"/>
      <c r="L536" s="301"/>
      <c r="M536" s="297"/>
      <c r="N536" s="298"/>
      <c r="P536" s="190" t="str">
        <f>IF(R536 = "", "", COUNT(R$4:$R536))</f>
        <v/>
      </c>
      <c r="Q536" s="190" t="str">
        <f t="shared" si="81"/>
        <v/>
      </c>
      <c r="R536" s="191" t="str">
        <f t="shared" si="82"/>
        <v/>
      </c>
      <c r="S536" s="192" t="str">
        <f t="shared" si="84"/>
        <v/>
      </c>
      <c r="T536" s="193" t="str">
        <f t="shared" si="85"/>
        <v/>
      </c>
      <c r="U536" s="194" t="str">
        <f t="shared" si="86"/>
        <v/>
      </c>
      <c r="V536" s="195" t="str">
        <f t="shared" si="83"/>
        <v/>
      </c>
      <c r="W536" s="336" t="str">
        <f t="shared" si="87"/>
        <v/>
      </c>
      <c r="X536" s="338" t="str">
        <f t="shared" si="88"/>
        <v/>
      </c>
      <c r="Y536" s="274"/>
      <c r="AR536" t="str">
        <f t="shared" si="89"/>
        <v/>
      </c>
      <c r="AS536" t="str">
        <f t="shared" si="90"/>
        <v/>
      </c>
    </row>
    <row r="537" spans="1:45">
      <c r="A537" s="291"/>
      <c r="B537" s="292"/>
      <c r="C537" s="293"/>
      <c r="D537" s="293"/>
      <c r="E537" s="293"/>
      <c r="F537" s="293"/>
      <c r="G537" s="294"/>
      <c r="H537" s="300"/>
      <c r="I537" s="295"/>
      <c r="J537" s="295"/>
      <c r="K537" s="296"/>
      <c r="L537" s="301"/>
      <c r="M537" s="297"/>
      <c r="N537" s="298"/>
      <c r="P537" s="190" t="str">
        <f>IF(R537 = "", "", COUNT(R$4:$R537))</f>
        <v/>
      </c>
      <c r="Q537" s="190" t="str">
        <f t="shared" si="81"/>
        <v/>
      </c>
      <c r="R537" s="191" t="str">
        <f t="shared" si="82"/>
        <v/>
      </c>
      <c r="S537" s="192" t="str">
        <f t="shared" si="84"/>
        <v/>
      </c>
      <c r="T537" s="193" t="str">
        <f t="shared" si="85"/>
        <v/>
      </c>
      <c r="U537" s="194" t="str">
        <f t="shared" si="86"/>
        <v/>
      </c>
      <c r="V537" s="195" t="str">
        <f t="shared" si="83"/>
        <v/>
      </c>
      <c r="W537" s="336" t="str">
        <f t="shared" si="87"/>
        <v/>
      </c>
      <c r="X537" s="338" t="str">
        <f t="shared" si="88"/>
        <v/>
      </c>
      <c r="Y537" s="274"/>
      <c r="AR537" t="str">
        <f t="shared" si="89"/>
        <v/>
      </c>
      <c r="AS537" t="str">
        <f t="shared" si="90"/>
        <v/>
      </c>
    </row>
    <row r="538" spans="1:45">
      <c r="A538" s="291"/>
      <c r="B538" s="292"/>
      <c r="C538" s="293"/>
      <c r="D538" s="293"/>
      <c r="E538" s="293"/>
      <c r="F538" s="293"/>
      <c r="G538" s="294"/>
      <c r="H538" s="300"/>
      <c r="I538" s="295"/>
      <c r="J538" s="295"/>
      <c r="K538" s="296"/>
      <c r="L538" s="301"/>
      <c r="M538" s="297"/>
      <c r="N538" s="298"/>
      <c r="P538" s="190" t="str">
        <f>IF(R538 = "", "", COUNT(R$4:$R538))</f>
        <v/>
      </c>
      <c r="Q538" s="190" t="str">
        <f t="shared" si="81"/>
        <v/>
      </c>
      <c r="R538" s="191" t="str">
        <f t="shared" si="82"/>
        <v/>
      </c>
      <c r="S538" s="192" t="str">
        <f t="shared" si="84"/>
        <v/>
      </c>
      <c r="T538" s="193" t="str">
        <f t="shared" si="85"/>
        <v/>
      </c>
      <c r="U538" s="194" t="str">
        <f t="shared" si="86"/>
        <v/>
      </c>
      <c r="V538" s="195" t="str">
        <f t="shared" si="83"/>
        <v/>
      </c>
      <c r="W538" s="336" t="str">
        <f t="shared" si="87"/>
        <v/>
      </c>
      <c r="X538" s="338" t="str">
        <f t="shared" si="88"/>
        <v/>
      </c>
      <c r="Y538" s="274"/>
      <c r="AR538" t="str">
        <f t="shared" si="89"/>
        <v/>
      </c>
      <c r="AS538" t="str">
        <f t="shared" si="90"/>
        <v/>
      </c>
    </row>
    <row r="539" spans="1:45">
      <c r="A539" s="291"/>
      <c r="B539" s="292"/>
      <c r="C539" s="293"/>
      <c r="D539" s="293"/>
      <c r="E539" s="293"/>
      <c r="F539" s="293"/>
      <c r="G539" s="294"/>
      <c r="H539" s="300"/>
      <c r="I539" s="295"/>
      <c r="J539" s="295"/>
      <c r="K539" s="296"/>
      <c r="L539" s="301"/>
      <c r="M539" s="297"/>
      <c r="N539" s="298"/>
      <c r="P539" s="190" t="str">
        <f>IF(R539 = "", "", COUNT(R$4:$R539))</f>
        <v/>
      </c>
      <c r="Q539" s="190" t="str">
        <f t="shared" si="81"/>
        <v/>
      </c>
      <c r="R539" s="191" t="str">
        <f t="shared" si="82"/>
        <v/>
      </c>
      <c r="S539" s="192" t="str">
        <f t="shared" si="84"/>
        <v/>
      </c>
      <c r="T539" s="193" t="str">
        <f t="shared" si="85"/>
        <v/>
      </c>
      <c r="U539" s="194" t="str">
        <f t="shared" si="86"/>
        <v/>
      </c>
      <c r="V539" s="195" t="str">
        <f t="shared" si="83"/>
        <v/>
      </c>
      <c r="W539" s="336" t="str">
        <f t="shared" si="87"/>
        <v/>
      </c>
      <c r="X539" s="338" t="str">
        <f t="shared" si="88"/>
        <v/>
      </c>
      <c r="Y539" s="274"/>
      <c r="AR539" t="str">
        <f t="shared" si="89"/>
        <v/>
      </c>
      <c r="AS539" t="str">
        <f t="shared" si="90"/>
        <v/>
      </c>
    </row>
    <row r="540" spans="1:45">
      <c r="A540" s="291"/>
      <c r="B540" s="292"/>
      <c r="C540" s="293"/>
      <c r="D540" s="293"/>
      <c r="E540" s="293"/>
      <c r="F540" s="293"/>
      <c r="G540" s="294"/>
      <c r="H540" s="300"/>
      <c r="I540" s="295"/>
      <c r="J540" s="295"/>
      <c r="K540" s="296"/>
      <c r="L540" s="301"/>
      <c r="M540" s="297"/>
      <c r="N540" s="298"/>
      <c r="P540" s="190" t="str">
        <f>IF(R540 = "", "", COUNT(R$4:$R540))</f>
        <v/>
      </c>
      <c r="Q540" s="190" t="str">
        <f t="shared" si="81"/>
        <v/>
      </c>
      <c r="R540" s="191" t="str">
        <f t="shared" si="82"/>
        <v/>
      </c>
      <c r="S540" s="192" t="str">
        <f t="shared" si="84"/>
        <v/>
      </c>
      <c r="T540" s="193" t="str">
        <f t="shared" si="85"/>
        <v/>
      </c>
      <c r="U540" s="194" t="str">
        <f t="shared" si="86"/>
        <v/>
      </c>
      <c r="V540" s="195" t="str">
        <f t="shared" si="83"/>
        <v/>
      </c>
      <c r="W540" s="336" t="str">
        <f t="shared" si="87"/>
        <v/>
      </c>
      <c r="X540" s="338" t="str">
        <f t="shared" si="88"/>
        <v/>
      </c>
      <c r="Y540" s="274"/>
      <c r="AR540" t="str">
        <f t="shared" si="89"/>
        <v/>
      </c>
      <c r="AS540" t="str">
        <f t="shared" si="90"/>
        <v/>
      </c>
    </row>
    <row r="541" spans="1:45">
      <c r="A541" s="291"/>
      <c r="B541" s="292"/>
      <c r="C541" s="293"/>
      <c r="D541" s="293"/>
      <c r="E541" s="293"/>
      <c r="F541" s="293"/>
      <c r="G541" s="294"/>
      <c r="H541" s="300"/>
      <c r="I541" s="295"/>
      <c r="J541" s="295"/>
      <c r="K541" s="296"/>
      <c r="L541" s="301"/>
      <c r="M541" s="297"/>
      <c r="N541" s="298"/>
      <c r="P541" s="190" t="str">
        <f>IF(R541 = "", "", COUNT(R$4:$R541))</f>
        <v/>
      </c>
      <c r="Q541" s="190" t="str">
        <f t="shared" si="81"/>
        <v/>
      </c>
      <c r="R541" s="191" t="str">
        <f t="shared" si="82"/>
        <v/>
      </c>
      <c r="S541" s="192" t="str">
        <f t="shared" si="84"/>
        <v/>
      </c>
      <c r="T541" s="193" t="str">
        <f t="shared" si="85"/>
        <v/>
      </c>
      <c r="U541" s="194" t="str">
        <f t="shared" si="86"/>
        <v/>
      </c>
      <c r="V541" s="195" t="str">
        <f t="shared" si="83"/>
        <v/>
      </c>
      <c r="W541" s="336" t="str">
        <f t="shared" si="87"/>
        <v/>
      </c>
      <c r="X541" s="338" t="str">
        <f t="shared" si="88"/>
        <v/>
      </c>
      <c r="Y541" s="274"/>
      <c r="AR541" t="str">
        <f t="shared" si="89"/>
        <v/>
      </c>
      <c r="AS541" t="str">
        <f t="shared" si="90"/>
        <v/>
      </c>
    </row>
    <row r="542" spans="1:45">
      <c r="A542" s="291"/>
      <c r="B542" s="292"/>
      <c r="C542" s="293"/>
      <c r="D542" s="293"/>
      <c r="E542" s="293"/>
      <c r="F542" s="293"/>
      <c r="G542" s="294"/>
      <c r="H542" s="300"/>
      <c r="I542" s="295"/>
      <c r="J542" s="295"/>
      <c r="K542" s="296"/>
      <c r="L542" s="301"/>
      <c r="M542" s="297"/>
      <c r="N542" s="298"/>
      <c r="P542" s="190" t="str">
        <f>IF(R542 = "", "", COUNT(R$4:$R542))</f>
        <v/>
      </c>
      <c r="Q542" s="190" t="str">
        <f t="shared" si="81"/>
        <v/>
      </c>
      <c r="R542" s="191" t="str">
        <f t="shared" si="82"/>
        <v/>
      </c>
      <c r="S542" s="192" t="str">
        <f t="shared" si="84"/>
        <v/>
      </c>
      <c r="T542" s="193" t="str">
        <f t="shared" si="85"/>
        <v/>
      </c>
      <c r="U542" s="194" t="str">
        <f t="shared" si="86"/>
        <v/>
      </c>
      <c r="V542" s="195" t="str">
        <f t="shared" si="83"/>
        <v/>
      </c>
      <c r="W542" s="336" t="str">
        <f t="shared" si="87"/>
        <v/>
      </c>
      <c r="X542" s="338" t="str">
        <f t="shared" si="88"/>
        <v/>
      </c>
      <c r="Y542" s="274"/>
      <c r="AR542" t="str">
        <f t="shared" si="89"/>
        <v/>
      </c>
      <c r="AS542" t="str">
        <f t="shared" si="90"/>
        <v/>
      </c>
    </row>
    <row r="543" spans="1:45">
      <c r="A543" s="291"/>
      <c r="B543" s="292"/>
      <c r="C543" s="293"/>
      <c r="D543" s="293"/>
      <c r="E543" s="293"/>
      <c r="F543" s="293"/>
      <c r="G543" s="294"/>
      <c r="H543" s="300"/>
      <c r="I543" s="295"/>
      <c r="J543" s="295"/>
      <c r="K543" s="296"/>
      <c r="L543" s="301"/>
      <c r="M543" s="297"/>
      <c r="N543" s="298"/>
      <c r="P543" s="190" t="str">
        <f>IF(R543 = "", "", COUNT(R$4:$R543))</f>
        <v/>
      </c>
      <c r="Q543" s="190" t="str">
        <f t="shared" si="81"/>
        <v/>
      </c>
      <c r="R543" s="191" t="str">
        <f t="shared" si="82"/>
        <v/>
      </c>
      <c r="S543" s="192" t="str">
        <f t="shared" si="84"/>
        <v/>
      </c>
      <c r="T543" s="193" t="str">
        <f t="shared" si="85"/>
        <v/>
      </c>
      <c r="U543" s="194" t="str">
        <f t="shared" si="86"/>
        <v/>
      </c>
      <c r="V543" s="195" t="str">
        <f t="shared" si="83"/>
        <v/>
      </c>
      <c r="W543" s="336" t="str">
        <f t="shared" si="87"/>
        <v/>
      </c>
      <c r="X543" s="338" t="str">
        <f t="shared" si="88"/>
        <v/>
      </c>
      <c r="Y543" s="274"/>
      <c r="AR543" t="str">
        <f t="shared" si="89"/>
        <v/>
      </c>
      <c r="AS543" t="str">
        <f t="shared" si="90"/>
        <v/>
      </c>
    </row>
    <row r="544" spans="1:45">
      <c r="A544" s="291"/>
      <c r="B544" s="292"/>
      <c r="C544" s="293"/>
      <c r="D544" s="293"/>
      <c r="E544" s="293"/>
      <c r="F544" s="293"/>
      <c r="G544" s="294"/>
      <c r="H544" s="300"/>
      <c r="I544" s="295"/>
      <c r="J544" s="295"/>
      <c r="K544" s="296"/>
      <c r="L544" s="301"/>
      <c r="M544" s="297"/>
      <c r="N544" s="298"/>
      <c r="P544" s="190" t="str">
        <f>IF(R544 = "", "", COUNT(R$4:$R544))</f>
        <v/>
      </c>
      <c r="Q544" s="190" t="str">
        <f t="shared" si="81"/>
        <v/>
      </c>
      <c r="R544" s="191" t="str">
        <f t="shared" si="82"/>
        <v/>
      </c>
      <c r="S544" s="192" t="str">
        <f t="shared" si="84"/>
        <v/>
      </c>
      <c r="T544" s="193" t="str">
        <f t="shared" si="85"/>
        <v/>
      </c>
      <c r="U544" s="194" t="str">
        <f t="shared" si="86"/>
        <v/>
      </c>
      <c r="V544" s="195" t="str">
        <f t="shared" si="83"/>
        <v/>
      </c>
      <c r="W544" s="336" t="str">
        <f t="shared" si="87"/>
        <v/>
      </c>
      <c r="X544" s="338" t="str">
        <f t="shared" si="88"/>
        <v/>
      </c>
      <c r="Y544" s="274"/>
      <c r="AR544" t="str">
        <f t="shared" si="89"/>
        <v/>
      </c>
      <c r="AS544" t="str">
        <f t="shared" si="90"/>
        <v/>
      </c>
    </row>
    <row r="545" spans="1:45">
      <c r="A545" s="291"/>
      <c r="B545" s="292"/>
      <c r="C545" s="293"/>
      <c r="D545" s="293"/>
      <c r="E545" s="293"/>
      <c r="F545" s="293"/>
      <c r="G545" s="294"/>
      <c r="H545" s="300"/>
      <c r="I545" s="295"/>
      <c r="J545" s="295"/>
      <c r="K545" s="296"/>
      <c r="L545" s="301"/>
      <c r="M545" s="297"/>
      <c r="N545" s="298"/>
      <c r="P545" s="190" t="str">
        <f>IF(R545 = "", "", COUNT(R$4:$R545))</f>
        <v/>
      </c>
      <c r="Q545" s="190" t="str">
        <f t="shared" si="81"/>
        <v/>
      </c>
      <c r="R545" s="191" t="str">
        <f t="shared" si="82"/>
        <v/>
      </c>
      <c r="S545" s="192" t="str">
        <f t="shared" si="84"/>
        <v/>
      </c>
      <c r="T545" s="193" t="str">
        <f t="shared" si="85"/>
        <v/>
      </c>
      <c r="U545" s="194" t="str">
        <f t="shared" si="86"/>
        <v/>
      </c>
      <c r="V545" s="195" t="str">
        <f t="shared" si="83"/>
        <v/>
      </c>
      <c r="W545" s="336" t="str">
        <f t="shared" si="87"/>
        <v/>
      </c>
      <c r="X545" s="338" t="str">
        <f t="shared" si="88"/>
        <v/>
      </c>
      <c r="Y545" s="274"/>
      <c r="AR545" t="str">
        <f t="shared" si="89"/>
        <v/>
      </c>
      <c r="AS545" t="str">
        <f t="shared" si="90"/>
        <v/>
      </c>
    </row>
    <row r="546" spans="1:45">
      <c r="A546" s="291"/>
      <c r="B546" s="292"/>
      <c r="C546" s="293"/>
      <c r="D546" s="293"/>
      <c r="E546" s="293"/>
      <c r="F546" s="293"/>
      <c r="G546" s="294"/>
      <c r="H546" s="300"/>
      <c r="I546" s="295"/>
      <c r="J546" s="295"/>
      <c r="K546" s="296"/>
      <c r="L546" s="301"/>
      <c r="M546" s="297"/>
      <c r="N546" s="298"/>
      <c r="P546" s="190" t="str">
        <f>IF(R546 = "", "", COUNT(R$4:$R546))</f>
        <v/>
      </c>
      <c r="Q546" s="190" t="str">
        <f t="shared" si="81"/>
        <v/>
      </c>
      <c r="R546" s="191" t="str">
        <f t="shared" si="82"/>
        <v/>
      </c>
      <c r="S546" s="192" t="str">
        <f t="shared" si="84"/>
        <v/>
      </c>
      <c r="T546" s="193" t="str">
        <f t="shared" si="85"/>
        <v/>
      </c>
      <c r="U546" s="194" t="str">
        <f t="shared" si="86"/>
        <v/>
      </c>
      <c r="V546" s="195" t="str">
        <f t="shared" si="83"/>
        <v/>
      </c>
      <c r="W546" s="336" t="str">
        <f t="shared" si="87"/>
        <v/>
      </c>
      <c r="X546" s="338" t="str">
        <f t="shared" si="88"/>
        <v/>
      </c>
      <c r="Y546" s="274"/>
      <c r="AR546" t="str">
        <f t="shared" si="89"/>
        <v/>
      </c>
      <c r="AS546" t="str">
        <f t="shared" si="90"/>
        <v/>
      </c>
    </row>
    <row r="547" spans="1:45">
      <c r="A547" s="291"/>
      <c r="B547" s="292"/>
      <c r="C547" s="293"/>
      <c r="D547" s="293"/>
      <c r="E547" s="293"/>
      <c r="F547" s="293"/>
      <c r="G547" s="294"/>
      <c r="H547" s="300"/>
      <c r="I547" s="295"/>
      <c r="J547" s="295"/>
      <c r="K547" s="296"/>
      <c r="L547" s="301"/>
      <c r="M547" s="297"/>
      <c r="N547" s="298"/>
      <c r="P547" s="190" t="str">
        <f>IF(R547 = "", "", COUNT(R$4:$R547))</f>
        <v/>
      </c>
      <c r="Q547" s="190" t="str">
        <f t="shared" si="81"/>
        <v/>
      </c>
      <c r="R547" s="191" t="str">
        <f t="shared" si="82"/>
        <v/>
      </c>
      <c r="S547" s="192" t="str">
        <f t="shared" si="84"/>
        <v/>
      </c>
      <c r="T547" s="193" t="str">
        <f t="shared" si="85"/>
        <v/>
      </c>
      <c r="U547" s="194" t="str">
        <f t="shared" si="86"/>
        <v/>
      </c>
      <c r="V547" s="195" t="str">
        <f t="shared" si="83"/>
        <v/>
      </c>
      <c r="W547" s="336" t="str">
        <f t="shared" si="87"/>
        <v/>
      </c>
      <c r="X547" s="338" t="str">
        <f t="shared" si="88"/>
        <v/>
      </c>
      <c r="Y547" s="274"/>
      <c r="AR547" t="str">
        <f t="shared" si="89"/>
        <v/>
      </c>
      <c r="AS547" t="str">
        <f t="shared" si="90"/>
        <v/>
      </c>
    </row>
    <row r="548" spans="1:45">
      <c r="A548" s="291"/>
      <c r="B548" s="292"/>
      <c r="C548" s="293"/>
      <c r="D548" s="293"/>
      <c r="E548" s="293"/>
      <c r="F548" s="293"/>
      <c r="G548" s="294"/>
      <c r="H548" s="300"/>
      <c r="I548" s="295"/>
      <c r="J548" s="295"/>
      <c r="K548" s="296"/>
      <c r="L548" s="301"/>
      <c r="M548" s="297"/>
      <c r="N548" s="298"/>
      <c r="P548" s="190" t="str">
        <f>IF(R548 = "", "", COUNT(R$4:$R548))</f>
        <v/>
      </c>
      <c r="Q548" s="190" t="str">
        <f t="shared" si="81"/>
        <v/>
      </c>
      <c r="R548" s="191" t="str">
        <f t="shared" si="82"/>
        <v/>
      </c>
      <c r="S548" s="192" t="str">
        <f t="shared" si="84"/>
        <v/>
      </c>
      <c r="T548" s="193" t="str">
        <f t="shared" si="85"/>
        <v/>
      </c>
      <c r="U548" s="194" t="str">
        <f t="shared" si="86"/>
        <v/>
      </c>
      <c r="V548" s="195" t="str">
        <f t="shared" si="83"/>
        <v/>
      </c>
      <c r="W548" s="336" t="str">
        <f t="shared" si="87"/>
        <v/>
      </c>
      <c r="X548" s="338" t="str">
        <f t="shared" si="88"/>
        <v/>
      </c>
      <c r="Y548" s="274"/>
      <c r="AR548" t="str">
        <f t="shared" si="89"/>
        <v/>
      </c>
      <c r="AS548" t="str">
        <f t="shared" si="90"/>
        <v/>
      </c>
    </row>
    <row r="549" spans="1:45">
      <c r="A549" s="291"/>
      <c r="B549" s="292"/>
      <c r="C549" s="293"/>
      <c r="D549" s="293"/>
      <c r="E549" s="293"/>
      <c r="F549" s="293"/>
      <c r="G549" s="294"/>
      <c r="H549" s="300"/>
      <c r="I549" s="295"/>
      <c r="J549" s="295"/>
      <c r="K549" s="296"/>
      <c r="L549" s="301"/>
      <c r="M549" s="297"/>
      <c r="N549" s="298"/>
      <c r="P549" s="190" t="str">
        <f>IF(R549 = "", "", COUNT(R$4:$R549))</f>
        <v/>
      </c>
      <c r="Q549" s="190" t="str">
        <f t="shared" si="81"/>
        <v/>
      </c>
      <c r="R549" s="191" t="str">
        <f t="shared" si="82"/>
        <v/>
      </c>
      <c r="S549" s="192" t="str">
        <f t="shared" si="84"/>
        <v/>
      </c>
      <c r="T549" s="193" t="str">
        <f t="shared" si="85"/>
        <v/>
      </c>
      <c r="U549" s="194" t="str">
        <f t="shared" si="86"/>
        <v/>
      </c>
      <c r="V549" s="195" t="str">
        <f t="shared" si="83"/>
        <v/>
      </c>
      <c r="W549" s="336" t="str">
        <f t="shared" si="87"/>
        <v/>
      </c>
      <c r="X549" s="338" t="str">
        <f t="shared" si="88"/>
        <v/>
      </c>
      <c r="Y549" s="274"/>
      <c r="AR549" t="str">
        <f t="shared" si="89"/>
        <v/>
      </c>
      <c r="AS549" t="str">
        <f t="shared" si="90"/>
        <v/>
      </c>
    </row>
    <row r="550" spans="1:45">
      <c r="A550" s="291"/>
      <c r="B550" s="292"/>
      <c r="C550" s="293"/>
      <c r="D550" s="293"/>
      <c r="E550" s="293"/>
      <c r="F550" s="293"/>
      <c r="G550" s="294"/>
      <c r="H550" s="300"/>
      <c r="I550" s="295"/>
      <c r="J550" s="295"/>
      <c r="K550" s="296"/>
      <c r="L550" s="301"/>
      <c r="M550" s="297"/>
      <c r="N550" s="298"/>
      <c r="P550" s="190" t="str">
        <f>IF(R550 = "", "", COUNT(R$4:$R550))</f>
        <v/>
      </c>
      <c r="Q550" s="190" t="str">
        <f t="shared" si="81"/>
        <v/>
      </c>
      <c r="R550" s="191" t="str">
        <f t="shared" si="82"/>
        <v/>
      </c>
      <c r="S550" s="192" t="str">
        <f t="shared" si="84"/>
        <v/>
      </c>
      <c r="T550" s="193" t="str">
        <f t="shared" si="85"/>
        <v/>
      </c>
      <c r="U550" s="194" t="str">
        <f t="shared" si="86"/>
        <v/>
      </c>
      <c r="V550" s="195" t="str">
        <f t="shared" si="83"/>
        <v/>
      </c>
      <c r="W550" s="336" t="str">
        <f t="shared" si="87"/>
        <v/>
      </c>
      <c r="X550" s="338" t="str">
        <f t="shared" si="88"/>
        <v/>
      </c>
      <c r="Y550" s="274"/>
      <c r="AR550" t="str">
        <f t="shared" si="89"/>
        <v/>
      </c>
      <c r="AS550" t="str">
        <f t="shared" si="90"/>
        <v/>
      </c>
    </row>
    <row r="551" spans="1:45">
      <c r="A551" s="291"/>
      <c r="B551" s="292"/>
      <c r="C551" s="293"/>
      <c r="D551" s="293"/>
      <c r="E551" s="293"/>
      <c r="F551" s="293"/>
      <c r="G551" s="294"/>
      <c r="H551" s="300"/>
      <c r="I551" s="295"/>
      <c r="J551" s="295"/>
      <c r="K551" s="296"/>
      <c r="L551" s="301"/>
      <c r="M551" s="297"/>
      <c r="N551" s="298"/>
      <c r="P551" s="190" t="str">
        <f>IF(R551 = "", "", COUNT(R$4:$R551))</f>
        <v/>
      </c>
      <c r="Q551" s="190" t="str">
        <f t="shared" si="81"/>
        <v/>
      </c>
      <c r="R551" s="191" t="str">
        <f t="shared" si="82"/>
        <v/>
      </c>
      <c r="S551" s="192" t="str">
        <f t="shared" si="84"/>
        <v/>
      </c>
      <c r="T551" s="193" t="str">
        <f t="shared" si="85"/>
        <v/>
      </c>
      <c r="U551" s="194" t="str">
        <f t="shared" si="86"/>
        <v/>
      </c>
      <c r="V551" s="195" t="str">
        <f t="shared" si="83"/>
        <v/>
      </c>
      <c r="W551" s="336" t="str">
        <f t="shared" si="87"/>
        <v/>
      </c>
      <c r="X551" s="338" t="str">
        <f t="shared" si="88"/>
        <v/>
      </c>
      <c r="Y551" s="274"/>
      <c r="AR551" t="str">
        <f t="shared" si="89"/>
        <v/>
      </c>
      <c r="AS551" t="str">
        <f t="shared" si="90"/>
        <v/>
      </c>
    </row>
    <row r="552" spans="1:45">
      <c r="A552" s="291"/>
      <c r="B552" s="292"/>
      <c r="C552" s="293"/>
      <c r="D552" s="293"/>
      <c r="E552" s="293"/>
      <c r="F552" s="293"/>
      <c r="G552" s="294"/>
      <c r="H552" s="300"/>
      <c r="I552" s="295"/>
      <c r="J552" s="295"/>
      <c r="K552" s="296"/>
      <c r="L552" s="301"/>
      <c r="M552" s="297"/>
      <c r="N552" s="298"/>
      <c r="P552" s="190" t="str">
        <f>IF(R552 = "", "", COUNT(R$4:$R552))</f>
        <v/>
      </c>
      <c r="Q552" s="190" t="str">
        <f t="shared" si="81"/>
        <v/>
      </c>
      <c r="R552" s="191" t="str">
        <f t="shared" si="82"/>
        <v/>
      </c>
      <c r="S552" s="192" t="str">
        <f t="shared" si="84"/>
        <v/>
      </c>
      <c r="T552" s="193" t="str">
        <f t="shared" si="85"/>
        <v/>
      </c>
      <c r="U552" s="194" t="str">
        <f t="shared" si="86"/>
        <v/>
      </c>
      <c r="V552" s="195" t="str">
        <f t="shared" si="83"/>
        <v/>
      </c>
      <c r="W552" s="336" t="str">
        <f t="shared" si="87"/>
        <v/>
      </c>
      <c r="X552" s="338" t="str">
        <f t="shared" si="88"/>
        <v/>
      </c>
      <c r="Y552" s="274"/>
      <c r="AR552" t="str">
        <f t="shared" si="89"/>
        <v/>
      </c>
      <c r="AS552" t="str">
        <f t="shared" si="90"/>
        <v/>
      </c>
    </row>
    <row r="553" spans="1:45">
      <c r="A553" s="291"/>
      <c r="B553" s="292"/>
      <c r="C553" s="293"/>
      <c r="D553" s="293"/>
      <c r="E553" s="293"/>
      <c r="F553" s="293"/>
      <c r="G553" s="294"/>
      <c r="H553" s="300"/>
      <c r="I553" s="295"/>
      <c r="J553" s="295"/>
      <c r="K553" s="296"/>
      <c r="L553" s="301"/>
      <c r="M553" s="297"/>
      <c r="N553" s="298"/>
      <c r="P553" s="190" t="str">
        <f>IF(R553 = "", "", COUNT(R$4:$R553))</f>
        <v/>
      </c>
      <c r="Q553" s="190" t="str">
        <f t="shared" si="81"/>
        <v/>
      </c>
      <c r="R553" s="191" t="str">
        <f t="shared" si="82"/>
        <v/>
      </c>
      <c r="S553" s="192" t="str">
        <f t="shared" si="84"/>
        <v/>
      </c>
      <c r="T553" s="193" t="str">
        <f t="shared" si="85"/>
        <v/>
      </c>
      <c r="U553" s="194" t="str">
        <f t="shared" si="86"/>
        <v/>
      </c>
      <c r="V553" s="195" t="str">
        <f t="shared" si="83"/>
        <v/>
      </c>
      <c r="W553" s="336" t="str">
        <f t="shared" si="87"/>
        <v/>
      </c>
      <c r="X553" s="338" t="str">
        <f t="shared" si="88"/>
        <v/>
      </c>
      <c r="Y553" s="274"/>
      <c r="AR553" t="str">
        <f t="shared" si="89"/>
        <v/>
      </c>
      <c r="AS553" t="str">
        <f t="shared" si="90"/>
        <v/>
      </c>
    </row>
    <row r="554" spans="1:45">
      <c r="A554" s="291"/>
      <c r="B554" s="292"/>
      <c r="C554" s="293"/>
      <c r="D554" s="293"/>
      <c r="E554" s="293"/>
      <c r="F554" s="293"/>
      <c r="G554" s="294"/>
      <c r="H554" s="300"/>
      <c r="I554" s="295"/>
      <c r="J554" s="295"/>
      <c r="K554" s="296"/>
      <c r="L554" s="301"/>
      <c r="M554" s="297"/>
      <c r="N554" s="298"/>
      <c r="P554" s="190" t="str">
        <f>IF(R554 = "", "", COUNT(R$4:$R554))</f>
        <v/>
      </c>
      <c r="Q554" s="190" t="str">
        <f t="shared" si="81"/>
        <v/>
      </c>
      <c r="R554" s="191" t="str">
        <f t="shared" si="82"/>
        <v/>
      </c>
      <c r="S554" s="192" t="str">
        <f t="shared" si="84"/>
        <v/>
      </c>
      <c r="T554" s="193" t="str">
        <f t="shared" si="85"/>
        <v/>
      </c>
      <c r="U554" s="194" t="str">
        <f t="shared" si="86"/>
        <v/>
      </c>
      <c r="V554" s="195" t="str">
        <f t="shared" si="83"/>
        <v/>
      </c>
      <c r="W554" s="336" t="str">
        <f t="shared" si="87"/>
        <v/>
      </c>
      <c r="X554" s="338" t="str">
        <f t="shared" si="88"/>
        <v/>
      </c>
      <c r="Y554" s="274"/>
      <c r="AR554" t="str">
        <f t="shared" si="89"/>
        <v/>
      </c>
      <c r="AS554" t="str">
        <f t="shared" si="90"/>
        <v/>
      </c>
    </row>
    <row r="555" spans="1:45">
      <c r="A555" s="291"/>
      <c r="B555" s="292"/>
      <c r="C555" s="293"/>
      <c r="D555" s="293"/>
      <c r="E555" s="293"/>
      <c r="F555" s="293"/>
      <c r="G555" s="294"/>
      <c r="H555" s="300"/>
      <c r="I555" s="295"/>
      <c r="J555" s="295"/>
      <c r="K555" s="296"/>
      <c r="L555" s="301"/>
      <c r="M555" s="297"/>
      <c r="N555" s="298"/>
      <c r="P555" s="190" t="str">
        <f>IF(R555 = "", "", COUNT(R$4:$R555))</f>
        <v/>
      </c>
      <c r="Q555" s="190" t="str">
        <f t="shared" si="81"/>
        <v/>
      </c>
      <c r="R555" s="191" t="str">
        <f t="shared" si="82"/>
        <v/>
      </c>
      <c r="S555" s="192" t="str">
        <f t="shared" si="84"/>
        <v/>
      </c>
      <c r="T555" s="193" t="str">
        <f t="shared" si="85"/>
        <v/>
      </c>
      <c r="U555" s="194" t="str">
        <f t="shared" si="86"/>
        <v/>
      </c>
      <c r="V555" s="195" t="str">
        <f t="shared" si="83"/>
        <v/>
      </c>
      <c r="W555" s="336" t="str">
        <f t="shared" si="87"/>
        <v/>
      </c>
      <c r="X555" s="338" t="str">
        <f t="shared" si="88"/>
        <v/>
      </c>
      <c r="Y555" s="274"/>
      <c r="AR555" t="str">
        <f t="shared" si="89"/>
        <v/>
      </c>
      <c r="AS555" t="str">
        <f t="shared" si="90"/>
        <v/>
      </c>
    </row>
    <row r="556" spans="1:45">
      <c r="A556" s="291"/>
      <c r="B556" s="292"/>
      <c r="C556" s="293"/>
      <c r="D556" s="293"/>
      <c r="E556" s="293"/>
      <c r="F556" s="293"/>
      <c r="G556" s="294"/>
      <c r="H556" s="300"/>
      <c r="I556" s="295"/>
      <c r="J556" s="295"/>
      <c r="K556" s="296"/>
      <c r="L556" s="301"/>
      <c r="M556" s="297"/>
      <c r="N556" s="298"/>
      <c r="P556" s="190" t="str">
        <f>IF(R556 = "", "", COUNT(R$4:$R556))</f>
        <v/>
      </c>
      <c r="Q556" s="190" t="str">
        <f t="shared" si="81"/>
        <v/>
      </c>
      <c r="R556" s="191" t="str">
        <f t="shared" si="82"/>
        <v/>
      </c>
      <c r="S556" s="192" t="str">
        <f t="shared" si="84"/>
        <v/>
      </c>
      <c r="T556" s="193" t="str">
        <f t="shared" si="85"/>
        <v/>
      </c>
      <c r="U556" s="194" t="str">
        <f t="shared" si="86"/>
        <v/>
      </c>
      <c r="V556" s="195" t="str">
        <f t="shared" si="83"/>
        <v/>
      </c>
      <c r="W556" s="336" t="str">
        <f t="shared" si="87"/>
        <v/>
      </c>
      <c r="X556" s="338" t="str">
        <f t="shared" si="88"/>
        <v/>
      </c>
      <c r="Y556" s="274"/>
      <c r="AR556" t="str">
        <f t="shared" si="89"/>
        <v/>
      </c>
      <c r="AS556" t="str">
        <f t="shared" si="90"/>
        <v/>
      </c>
    </row>
    <row r="557" spans="1:45">
      <c r="A557" s="291"/>
      <c r="B557" s="292"/>
      <c r="C557" s="293"/>
      <c r="D557" s="293"/>
      <c r="E557" s="293"/>
      <c r="F557" s="293"/>
      <c r="G557" s="294"/>
      <c r="H557" s="300"/>
      <c r="I557" s="295"/>
      <c r="J557" s="295"/>
      <c r="K557" s="296"/>
      <c r="L557" s="301"/>
      <c r="M557" s="297"/>
      <c r="N557" s="298"/>
      <c r="P557" s="190" t="str">
        <f>IF(R557 = "", "", COUNT(R$4:$R557))</f>
        <v/>
      </c>
      <c r="Q557" s="190" t="str">
        <f t="shared" si="81"/>
        <v/>
      </c>
      <c r="R557" s="191" t="str">
        <f t="shared" si="82"/>
        <v/>
      </c>
      <c r="S557" s="192" t="str">
        <f t="shared" si="84"/>
        <v/>
      </c>
      <c r="T557" s="193" t="str">
        <f t="shared" si="85"/>
        <v/>
      </c>
      <c r="U557" s="194" t="str">
        <f t="shared" si="86"/>
        <v/>
      </c>
      <c r="V557" s="195" t="str">
        <f t="shared" si="83"/>
        <v/>
      </c>
      <c r="W557" s="336" t="str">
        <f t="shared" si="87"/>
        <v/>
      </c>
      <c r="X557" s="338" t="str">
        <f t="shared" si="88"/>
        <v/>
      </c>
      <c r="Y557" s="274"/>
      <c r="AR557" t="str">
        <f t="shared" si="89"/>
        <v/>
      </c>
      <c r="AS557" t="str">
        <f t="shared" si="90"/>
        <v/>
      </c>
    </row>
    <row r="558" spans="1:45">
      <c r="A558" s="291"/>
      <c r="B558" s="292"/>
      <c r="C558" s="293"/>
      <c r="D558" s="293"/>
      <c r="E558" s="293"/>
      <c r="F558" s="293"/>
      <c r="G558" s="294"/>
      <c r="H558" s="300"/>
      <c r="I558" s="295"/>
      <c r="J558" s="295"/>
      <c r="K558" s="296"/>
      <c r="L558" s="301"/>
      <c r="M558" s="297"/>
      <c r="N558" s="298"/>
      <c r="P558" s="190" t="str">
        <f>IF(R558 = "", "", COUNT(R$4:$R558))</f>
        <v/>
      </c>
      <c r="Q558" s="190" t="str">
        <f t="shared" si="81"/>
        <v/>
      </c>
      <c r="R558" s="191" t="str">
        <f t="shared" si="82"/>
        <v/>
      </c>
      <c r="S558" s="192" t="str">
        <f t="shared" si="84"/>
        <v/>
      </c>
      <c r="T558" s="193" t="str">
        <f t="shared" si="85"/>
        <v/>
      </c>
      <c r="U558" s="194" t="str">
        <f t="shared" si="86"/>
        <v/>
      </c>
      <c r="V558" s="195" t="str">
        <f t="shared" si="83"/>
        <v/>
      </c>
      <c r="W558" s="336" t="str">
        <f t="shared" si="87"/>
        <v/>
      </c>
      <c r="X558" s="338" t="str">
        <f t="shared" si="88"/>
        <v/>
      </c>
      <c r="Y558" s="274"/>
      <c r="AR558" t="str">
        <f t="shared" si="89"/>
        <v/>
      </c>
      <c r="AS558" t="str">
        <f t="shared" si="90"/>
        <v/>
      </c>
    </row>
    <row r="559" spans="1:45">
      <c r="A559" s="291"/>
      <c r="B559" s="292"/>
      <c r="C559" s="293"/>
      <c r="D559" s="293"/>
      <c r="E559" s="293"/>
      <c r="F559" s="293"/>
      <c r="G559" s="294"/>
      <c r="H559" s="300"/>
      <c r="I559" s="295"/>
      <c r="J559" s="295"/>
      <c r="K559" s="296"/>
      <c r="L559" s="301"/>
      <c r="M559" s="297"/>
      <c r="N559" s="298"/>
      <c r="P559" s="190" t="str">
        <f>IF(R559 = "", "", COUNT(R$4:$R559))</f>
        <v/>
      </c>
      <c r="Q559" s="190" t="str">
        <f t="shared" si="81"/>
        <v/>
      </c>
      <c r="R559" s="191" t="str">
        <f t="shared" si="82"/>
        <v/>
      </c>
      <c r="S559" s="192" t="str">
        <f t="shared" si="84"/>
        <v/>
      </c>
      <c r="T559" s="193" t="str">
        <f t="shared" si="85"/>
        <v/>
      </c>
      <c r="U559" s="194" t="str">
        <f t="shared" si="86"/>
        <v/>
      </c>
      <c r="V559" s="195" t="str">
        <f t="shared" si="83"/>
        <v/>
      </c>
      <c r="W559" s="336" t="str">
        <f t="shared" si="87"/>
        <v/>
      </c>
      <c r="X559" s="338" t="str">
        <f t="shared" si="88"/>
        <v/>
      </c>
      <c r="Y559" s="274"/>
      <c r="AR559" t="str">
        <f t="shared" si="89"/>
        <v/>
      </c>
      <c r="AS559" t="str">
        <f t="shared" si="90"/>
        <v/>
      </c>
    </row>
    <row r="560" spans="1:45">
      <c r="A560" s="291"/>
      <c r="B560" s="292"/>
      <c r="C560" s="293"/>
      <c r="D560" s="293"/>
      <c r="E560" s="293"/>
      <c r="F560" s="293"/>
      <c r="G560" s="294"/>
      <c r="H560" s="300"/>
      <c r="I560" s="295"/>
      <c r="J560" s="295"/>
      <c r="K560" s="296"/>
      <c r="L560" s="301"/>
      <c r="M560" s="297"/>
      <c r="N560" s="298"/>
      <c r="P560" s="190" t="str">
        <f>IF(R560 = "", "", COUNT(R$4:$R560))</f>
        <v/>
      </c>
      <c r="Q560" s="190" t="str">
        <f t="shared" si="81"/>
        <v/>
      </c>
      <c r="R560" s="191" t="str">
        <f t="shared" si="82"/>
        <v/>
      </c>
      <c r="S560" s="192" t="str">
        <f t="shared" si="84"/>
        <v/>
      </c>
      <c r="T560" s="193" t="str">
        <f t="shared" si="85"/>
        <v/>
      </c>
      <c r="U560" s="194" t="str">
        <f t="shared" si="86"/>
        <v/>
      </c>
      <c r="V560" s="195" t="str">
        <f t="shared" si="83"/>
        <v/>
      </c>
      <c r="W560" s="336" t="str">
        <f t="shared" si="87"/>
        <v/>
      </c>
      <c r="X560" s="338" t="str">
        <f t="shared" si="88"/>
        <v/>
      </c>
      <c r="Y560" s="274"/>
      <c r="AR560" t="str">
        <f t="shared" si="89"/>
        <v/>
      </c>
      <c r="AS560" t="str">
        <f t="shared" si="90"/>
        <v/>
      </c>
    </row>
    <row r="561" spans="1:45">
      <c r="A561" s="291"/>
      <c r="B561" s="292"/>
      <c r="C561" s="293"/>
      <c r="D561" s="293"/>
      <c r="E561" s="293"/>
      <c r="F561" s="293"/>
      <c r="G561" s="294"/>
      <c r="H561" s="300"/>
      <c r="I561" s="295"/>
      <c r="J561" s="295"/>
      <c r="K561" s="296"/>
      <c r="L561" s="301"/>
      <c r="M561" s="297"/>
      <c r="N561" s="298"/>
      <c r="P561" s="190" t="str">
        <f>IF(R561 = "", "", COUNT(R$4:$R561))</f>
        <v/>
      </c>
      <c r="Q561" s="190" t="str">
        <f t="shared" si="81"/>
        <v/>
      </c>
      <c r="R561" s="191" t="str">
        <f t="shared" si="82"/>
        <v/>
      </c>
      <c r="S561" s="192" t="str">
        <f t="shared" si="84"/>
        <v/>
      </c>
      <c r="T561" s="193" t="str">
        <f t="shared" si="85"/>
        <v/>
      </c>
      <c r="U561" s="194" t="str">
        <f t="shared" si="86"/>
        <v/>
      </c>
      <c r="V561" s="195" t="str">
        <f t="shared" si="83"/>
        <v/>
      </c>
      <c r="W561" s="336" t="str">
        <f t="shared" si="87"/>
        <v/>
      </c>
      <c r="X561" s="338" t="str">
        <f t="shared" si="88"/>
        <v/>
      </c>
      <c r="Y561" s="274"/>
      <c r="AR561" t="str">
        <f t="shared" si="89"/>
        <v/>
      </c>
      <c r="AS561" t="str">
        <f t="shared" si="90"/>
        <v/>
      </c>
    </row>
    <row r="562" spans="1:45">
      <c r="A562" s="291"/>
      <c r="B562" s="292"/>
      <c r="C562" s="293"/>
      <c r="D562" s="293"/>
      <c r="E562" s="293"/>
      <c r="F562" s="293"/>
      <c r="G562" s="294"/>
      <c r="H562" s="300"/>
      <c r="I562" s="295"/>
      <c r="J562" s="295"/>
      <c r="K562" s="296"/>
      <c r="L562" s="301"/>
      <c r="M562" s="297"/>
      <c r="N562" s="298"/>
      <c r="P562" s="190" t="str">
        <f>IF(R562 = "", "", COUNT(R$4:$R562))</f>
        <v/>
      </c>
      <c r="Q562" s="190" t="str">
        <f t="shared" si="81"/>
        <v/>
      </c>
      <c r="R562" s="191" t="str">
        <f t="shared" si="82"/>
        <v/>
      </c>
      <c r="S562" s="192" t="str">
        <f t="shared" si="84"/>
        <v/>
      </c>
      <c r="T562" s="193" t="str">
        <f t="shared" si="85"/>
        <v/>
      </c>
      <c r="U562" s="194" t="str">
        <f t="shared" si="86"/>
        <v/>
      </c>
      <c r="V562" s="195" t="str">
        <f t="shared" si="83"/>
        <v/>
      </c>
      <c r="W562" s="336" t="str">
        <f t="shared" si="87"/>
        <v/>
      </c>
      <c r="X562" s="338" t="str">
        <f t="shared" si="88"/>
        <v/>
      </c>
      <c r="Y562" s="274"/>
      <c r="AR562" t="str">
        <f t="shared" si="89"/>
        <v/>
      </c>
      <c r="AS562" t="str">
        <f t="shared" si="90"/>
        <v/>
      </c>
    </row>
    <row r="563" spans="1:45">
      <c r="A563" s="291"/>
      <c r="B563" s="292"/>
      <c r="C563" s="293"/>
      <c r="D563" s="293"/>
      <c r="E563" s="293"/>
      <c r="F563" s="293"/>
      <c r="G563" s="294"/>
      <c r="H563" s="300"/>
      <c r="I563" s="295"/>
      <c r="J563" s="295"/>
      <c r="K563" s="296"/>
      <c r="L563" s="301"/>
      <c r="M563" s="297"/>
      <c r="N563" s="298"/>
      <c r="P563" s="190" t="str">
        <f>IF(R563 = "", "", COUNT(R$4:$R563))</f>
        <v/>
      </c>
      <c r="Q563" s="190" t="str">
        <f t="shared" si="81"/>
        <v/>
      </c>
      <c r="R563" s="191" t="str">
        <f t="shared" si="82"/>
        <v/>
      </c>
      <c r="S563" s="192" t="str">
        <f t="shared" si="84"/>
        <v/>
      </c>
      <c r="T563" s="193" t="str">
        <f t="shared" si="85"/>
        <v/>
      </c>
      <c r="U563" s="194" t="str">
        <f t="shared" si="86"/>
        <v/>
      </c>
      <c r="V563" s="195" t="str">
        <f t="shared" si="83"/>
        <v/>
      </c>
      <c r="W563" s="336" t="str">
        <f t="shared" si="87"/>
        <v/>
      </c>
      <c r="X563" s="338" t="str">
        <f t="shared" si="88"/>
        <v/>
      </c>
      <c r="Y563" s="274"/>
      <c r="AR563" t="str">
        <f t="shared" si="89"/>
        <v/>
      </c>
      <c r="AS563" t="str">
        <f t="shared" si="90"/>
        <v/>
      </c>
    </row>
    <row r="564" spans="1:45">
      <c r="A564" s="291"/>
      <c r="B564" s="292"/>
      <c r="C564" s="293"/>
      <c r="D564" s="293"/>
      <c r="E564" s="293"/>
      <c r="F564" s="293"/>
      <c r="G564" s="294"/>
      <c r="H564" s="300"/>
      <c r="I564" s="295"/>
      <c r="J564" s="295"/>
      <c r="K564" s="296"/>
      <c r="L564" s="301"/>
      <c r="M564" s="297"/>
      <c r="N564" s="298"/>
      <c r="P564" s="190" t="str">
        <f>IF(R564 = "", "", COUNT(R$4:$R564))</f>
        <v/>
      </c>
      <c r="Q564" s="190" t="str">
        <f t="shared" si="81"/>
        <v/>
      </c>
      <c r="R564" s="191" t="str">
        <f t="shared" si="82"/>
        <v/>
      </c>
      <c r="S564" s="192" t="str">
        <f t="shared" si="84"/>
        <v/>
      </c>
      <c r="T564" s="193" t="str">
        <f t="shared" si="85"/>
        <v/>
      </c>
      <c r="U564" s="194" t="str">
        <f t="shared" si="86"/>
        <v/>
      </c>
      <c r="V564" s="195" t="str">
        <f t="shared" si="83"/>
        <v/>
      </c>
      <c r="W564" s="336" t="str">
        <f t="shared" si="87"/>
        <v/>
      </c>
      <c r="X564" s="338" t="str">
        <f t="shared" si="88"/>
        <v/>
      </c>
      <c r="Y564" s="274"/>
      <c r="AR564" t="str">
        <f t="shared" si="89"/>
        <v/>
      </c>
      <c r="AS564" t="str">
        <f t="shared" si="90"/>
        <v/>
      </c>
    </row>
    <row r="565" spans="1:45">
      <c r="A565" s="291"/>
      <c r="B565" s="292"/>
      <c r="C565" s="293"/>
      <c r="D565" s="293"/>
      <c r="E565" s="293"/>
      <c r="F565" s="293"/>
      <c r="G565" s="294"/>
      <c r="H565" s="300"/>
      <c r="I565" s="295"/>
      <c r="J565" s="295"/>
      <c r="K565" s="296"/>
      <c r="L565" s="301"/>
      <c r="M565" s="297"/>
      <c r="N565" s="298"/>
      <c r="P565" s="190" t="str">
        <f>IF(R565 = "", "", COUNT(R$4:$R565))</f>
        <v/>
      </c>
      <c r="Q565" s="190" t="str">
        <f t="shared" si="81"/>
        <v/>
      </c>
      <c r="R565" s="191" t="str">
        <f t="shared" si="82"/>
        <v/>
      </c>
      <c r="S565" s="192" t="str">
        <f t="shared" si="84"/>
        <v/>
      </c>
      <c r="T565" s="193" t="str">
        <f t="shared" si="85"/>
        <v/>
      </c>
      <c r="U565" s="194" t="str">
        <f t="shared" si="86"/>
        <v/>
      </c>
      <c r="V565" s="195" t="str">
        <f t="shared" si="83"/>
        <v/>
      </c>
      <c r="W565" s="336" t="str">
        <f t="shared" si="87"/>
        <v/>
      </c>
      <c r="X565" s="338" t="str">
        <f t="shared" si="88"/>
        <v/>
      </c>
      <c r="Y565" s="274"/>
      <c r="AR565" t="str">
        <f t="shared" si="89"/>
        <v/>
      </c>
      <c r="AS565" t="str">
        <f t="shared" si="90"/>
        <v/>
      </c>
    </row>
    <row r="566" spans="1:45">
      <c r="A566" s="291"/>
      <c r="B566" s="292"/>
      <c r="C566" s="293"/>
      <c r="D566" s="293"/>
      <c r="E566" s="293"/>
      <c r="F566" s="293"/>
      <c r="G566" s="294"/>
      <c r="H566" s="300"/>
      <c r="I566" s="295"/>
      <c r="J566" s="295"/>
      <c r="K566" s="296"/>
      <c r="L566" s="301"/>
      <c r="M566" s="297"/>
      <c r="N566" s="298"/>
      <c r="P566" s="190" t="str">
        <f>IF(R566 = "", "", COUNT(R$4:$R566))</f>
        <v/>
      </c>
      <c r="Q566" s="190" t="str">
        <f t="shared" si="81"/>
        <v/>
      </c>
      <c r="R566" s="191" t="str">
        <f t="shared" si="82"/>
        <v/>
      </c>
      <c r="S566" s="192" t="str">
        <f t="shared" si="84"/>
        <v/>
      </c>
      <c r="T566" s="193" t="str">
        <f t="shared" si="85"/>
        <v/>
      </c>
      <c r="U566" s="194" t="str">
        <f t="shared" si="86"/>
        <v/>
      </c>
      <c r="V566" s="195" t="str">
        <f t="shared" si="83"/>
        <v/>
      </c>
      <c r="W566" s="336" t="str">
        <f t="shared" si="87"/>
        <v/>
      </c>
      <c r="X566" s="338" t="str">
        <f t="shared" si="88"/>
        <v/>
      </c>
      <c r="Y566" s="274"/>
      <c r="AR566" t="str">
        <f t="shared" si="89"/>
        <v/>
      </c>
      <c r="AS566" t="str">
        <f t="shared" si="90"/>
        <v/>
      </c>
    </row>
    <row r="567" spans="1:45">
      <c r="A567" s="291"/>
      <c r="B567" s="292"/>
      <c r="C567" s="293"/>
      <c r="D567" s="293"/>
      <c r="E567" s="293"/>
      <c r="F567" s="293"/>
      <c r="G567" s="294"/>
      <c r="H567" s="300"/>
      <c r="I567" s="295"/>
      <c r="J567" s="295"/>
      <c r="K567" s="296"/>
      <c r="L567" s="301"/>
      <c r="M567" s="297"/>
      <c r="N567" s="298"/>
      <c r="P567" s="190" t="str">
        <f>IF(R567 = "", "", COUNT(R$4:$R567))</f>
        <v/>
      </c>
      <c r="Q567" s="190" t="str">
        <f t="shared" si="81"/>
        <v/>
      </c>
      <c r="R567" s="191" t="str">
        <f t="shared" si="82"/>
        <v/>
      </c>
      <c r="S567" s="192" t="str">
        <f t="shared" si="84"/>
        <v/>
      </c>
      <c r="T567" s="193" t="str">
        <f t="shared" si="85"/>
        <v/>
      </c>
      <c r="U567" s="194" t="str">
        <f t="shared" si="86"/>
        <v/>
      </c>
      <c r="V567" s="195" t="str">
        <f t="shared" si="83"/>
        <v/>
      </c>
      <c r="W567" s="336" t="str">
        <f t="shared" si="87"/>
        <v/>
      </c>
      <c r="X567" s="338" t="str">
        <f t="shared" si="88"/>
        <v/>
      </c>
      <c r="Y567" s="274"/>
      <c r="AR567" t="str">
        <f t="shared" si="89"/>
        <v/>
      </c>
      <c r="AS567" t="str">
        <f t="shared" si="90"/>
        <v/>
      </c>
    </row>
    <row r="568" spans="1:45">
      <c r="A568" s="291"/>
      <c r="B568" s="292"/>
      <c r="C568" s="293"/>
      <c r="D568" s="293"/>
      <c r="E568" s="293"/>
      <c r="F568" s="293"/>
      <c r="G568" s="294"/>
      <c r="H568" s="300"/>
      <c r="I568" s="295"/>
      <c r="J568" s="295"/>
      <c r="K568" s="296"/>
      <c r="L568" s="301"/>
      <c r="M568" s="297"/>
      <c r="N568" s="298"/>
      <c r="P568" s="190" t="str">
        <f>IF(R568 = "", "", COUNT(R$4:$R568))</f>
        <v/>
      </c>
      <c r="Q568" s="190" t="str">
        <f t="shared" si="81"/>
        <v/>
      </c>
      <c r="R568" s="191" t="str">
        <f t="shared" si="82"/>
        <v/>
      </c>
      <c r="S568" s="192" t="str">
        <f t="shared" si="84"/>
        <v/>
      </c>
      <c r="T568" s="193" t="str">
        <f t="shared" si="85"/>
        <v/>
      </c>
      <c r="U568" s="194" t="str">
        <f t="shared" si="86"/>
        <v/>
      </c>
      <c r="V568" s="195" t="str">
        <f t="shared" si="83"/>
        <v/>
      </c>
      <c r="W568" s="336" t="str">
        <f t="shared" si="87"/>
        <v/>
      </c>
      <c r="X568" s="338" t="str">
        <f t="shared" si="88"/>
        <v/>
      </c>
      <c r="Y568" s="274"/>
      <c r="AR568" t="str">
        <f t="shared" si="89"/>
        <v/>
      </c>
      <c r="AS568" t="str">
        <f t="shared" si="90"/>
        <v/>
      </c>
    </row>
    <row r="569" spans="1:45">
      <c r="A569" s="291"/>
      <c r="B569" s="292"/>
      <c r="C569" s="293"/>
      <c r="D569" s="293"/>
      <c r="E569" s="293"/>
      <c r="F569" s="293"/>
      <c r="G569" s="294"/>
      <c r="H569" s="300"/>
      <c r="I569" s="295"/>
      <c r="J569" s="295"/>
      <c r="K569" s="296"/>
      <c r="L569" s="301"/>
      <c r="M569" s="297"/>
      <c r="N569" s="298"/>
      <c r="P569" s="190" t="str">
        <f>IF(R569 = "", "", COUNT(R$4:$R569))</f>
        <v/>
      </c>
      <c r="Q569" s="190" t="str">
        <f t="shared" si="81"/>
        <v/>
      </c>
      <c r="R569" s="191" t="str">
        <f t="shared" si="82"/>
        <v/>
      </c>
      <c r="S569" s="192" t="str">
        <f t="shared" si="84"/>
        <v/>
      </c>
      <c r="T569" s="193" t="str">
        <f t="shared" si="85"/>
        <v/>
      </c>
      <c r="U569" s="194" t="str">
        <f t="shared" si="86"/>
        <v/>
      </c>
      <c r="V569" s="195" t="str">
        <f t="shared" si="83"/>
        <v/>
      </c>
      <c r="W569" s="336" t="str">
        <f t="shared" si="87"/>
        <v/>
      </c>
      <c r="X569" s="338" t="str">
        <f t="shared" si="88"/>
        <v/>
      </c>
      <c r="Y569" s="274"/>
      <c r="AR569" t="str">
        <f t="shared" si="89"/>
        <v/>
      </c>
      <c r="AS569" t="str">
        <f t="shared" si="90"/>
        <v/>
      </c>
    </row>
    <row r="570" spans="1:45">
      <c r="A570" s="291"/>
      <c r="B570" s="292"/>
      <c r="C570" s="293"/>
      <c r="D570" s="293"/>
      <c r="E570" s="293"/>
      <c r="F570" s="293"/>
      <c r="G570" s="294"/>
      <c r="H570" s="300"/>
      <c r="I570" s="295"/>
      <c r="J570" s="295"/>
      <c r="K570" s="296"/>
      <c r="L570" s="301"/>
      <c r="M570" s="297"/>
      <c r="N570" s="298"/>
      <c r="P570" s="190" t="str">
        <f>IF(R570 = "", "", COUNT(R$4:$R570))</f>
        <v/>
      </c>
      <c r="Q570" s="190" t="str">
        <f t="shared" si="81"/>
        <v/>
      </c>
      <c r="R570" s="191" t="str">
        <f t="shared" si="82"/>
        <v/>
      </c>
      <c r="S570" s="192" t="str">
        <f t="shared" si="84"/>
        <v/>
      </c>
      <c r="T570" s="193" t="str">
        <f t="shared" si="85"/>
        <v/>
      </c>
      <c r="U570" s="194" t="str">
        <f t="shared" si="86"/>
        <v/>
      </c>
      <c r="V570" s="195" t="str">
        <f t="shared" si="83"/>
        <v/>
      </c>
      <c r="W570" s="336" t="str">
        <f t="shared" si="87"/>
        <v/>
      </c>
      <c r="X570" s="338" t="str">
        <f t="shared" si="88"/>
        <v/>
      </c>
      <c r="Y570" s="274"/>
      <c r="AR570" t="str">
        <f t="shared" si="89"/>
        <v/>
      </c>
      <c r="AS570" t="str">
        <f t="shared" si="90"/>
        <v/>
      </c>
    </row>
    <row r="571" spans="1:45">
      <c r="A571" s="291"/>
      <c r="B571" s="292"/>
      <c r="C571" s="293"/>
      <c r="D571" s="293"/>
      <c r="E571" s="293"/>
      <c r="F571" s="293"/>
      <c r="G571" s="294"/>
      <c r="H571" s="300"/>
      <c r="I571" s="295"/>
      <c r="J571" s="295"/>
      <c r="K571" s="296"/>
      <c r="L571" s="301"/>
      <c r="M571" s="297"/>
      <c r="N571" s="298"/>
      <c r="P571" s="190" t="str">
        <f>IF(R571 = "", "", COUNT(R$4:$R571))</f>
        <v/>
      </c>
      <c r="Q571" s="190" t="str">
        <f t="shared" si="81"/>
        <v/>
      </c>
      <c r="R571" s="191" t="str">
        <f t="shared" si="82"/>
        <v/>
      </c>
      <c r="S571" s="192" t="str">
        <f t="shared" si="84"/>
        <v/>
      </c>
      <c r="T571" s="193" t="str">
        <f t="shared" si="85"/>
        <v/>
      </c>
      <c r="U571" s="194" t="str">
        <f t="shared" si="86"/>
        <v/>
      </c>
      <c r="V571" s="195" t="str">
        <f t="shared" si="83"/>
        <v/>
      </c>
      <c r="W571" s="336" t="str">
        <f t="shared" si="87"/>
        <v/>
      </c>
      <c r="X571" s="338" t="str">
        <f t="shared" si="88"/>
        <v/>
      </c>
      <c r="Y571" s="274"/>
      <c r="AR571" t="str">
        <f t="shared" si="89"/>
        <v/>
      </c>
      <c r="AS571" t="str">
        <f t="shared" si="90"/>
        <v/>
      </c>
    </row>
    <row r="572" spans="1:45">
      <c r="A572" s="291"/>
      <c r="B572" s="292"/>
      <c r="C572" s="293"/>
      <c r="D572" s="293"/>
      <c r="E572" s="293"/>
      <c r="F572" s="293"/>
      <c r="G572" s="294"/>
      <c r="H572" s="300"/>
      <c r="I572" s="295"/>
      <c r="J572" s="295"/>
      <c r="K572" s="296"/>
      <c r="L572" s="301"/>
      <c r="M572" s="297"/>
      <c r="N572" s="298"/>
      <c r="P572" s="190" t="str">
        <f>IF(R572 = "", "", COUNT(R$4:$R572))</f>
        <v/>
      </c>
      <c r="Q572" s="190" t="str">
        <f t="shared" si="81"/>
        <v/>
      </c>
      <c r="R572" s="191" t="str">
        <f t="shared" si="82"/>
        <v/>
      </c>
      <c r="S572" s="192" t="str">
        <f t="shared" si="84"/>
        <v/>
      </c>
      <c r="T572" s="193" t="str">
        <f t="shared" si="85"/>
        <v/>
      </c>
      <c r="U572" s="194" t="str">
        <f t="shared" si="86"/>
        <v/>
      </c>
      <c r="V572" s="195" t="str">
        <f t="shared" si="83"/>
        <v/>
      </c>
      <c r="W572" s="336" t="str">
        <f t="shared" si="87"/>
        <v/>
      </c>
      <c r="X572" s="338" t="str">
        <f t="shared" si="88"/>
        <v/>
      </c>
      <c r="Y572" s="274"/>
      <c r="AR572" t="str">
        <f t="shared" si="89"/>
        <v/>
      </c>
      <c r="AS572" t="str">
        <f t="shared" si="90"/>
        <v/>
      </c>
    </row>
    <row r="573" spans="1:45">
      <c r="A573" s="291"/>
      <c r="B573" s="292"/>
      <c r="C573" s="293"/>
      <c r="D573" s="293"/>
      <c r="E573" s="293"/>
      <c r="F573" s="293"/>
      <c r="G573" s="294"/>
      <c r="H573" s="300"/>
      <c r="I573" s="295"/>
      <c r="J573" s="295"/>
      <c r="K573" s="296"/>
      <c r="L573" s="301"/>
      <c r="M573" s="297"/>
      <c r="N573" s="298"/>
      <c r="P573" s="190" t="str">
        <f>IF(R573 = "", "", COUNT(R$4:$R573))</f>
        <v/>
      </c>
      <c r="Q573" s="190" t="str">
        <f t="shared" si="81"/>
        <v/>
      </c>
      <c r="R573" s="191" t="str">
        <f t="shared" si="82"/>
        <v/>
      </c>
      <c r="S573" s="192" t="str">
        <f t="shared" si="84"/>
        <v/>
      </c>
      <c r="T573" s="193" t="str">
        <f t="shared" si="85"/>
        <v/>
      </c>
      <c r="U573" s="194" t="str">
        <f t="shared" si="86"/>
        <v/>
      </c>
      <c r="V573" s="195" t="str">
        <f t="shared" si="83"/>
        <v/>
      </c>
      <c r="W573" s="336" t="str">
        <f t="shared" si="87"/>
        <v/>
      </c>
      <c r="X573" s="338" t="str">
        <f t="shared" si="88"/>
        <v/>
      </c>
      <c r="Y573" s="274"/>
      <c r="AR573" t="str">
        <f t="shared" si="89"/>
        <v/>
      </c>
      <c r="AS573" t="str">
        <f t="shared" si="90"/>
        <v/>
      </c>
    </row>
    <row r="574" spans="1:45">
      <c r="A574" s="291"/>
      <c r="B574" s="292"/>
      <c r="C574" s="293"/>
      <c r="D574" s="293"/>
      <c r="E574" s="293"/>
      <c r="F574" s="293"/>
      <c r="G574" s="294"/>
      <c r="H574" s="300"/>
      <c r="I574" s="295"/>
      <c r="J574" s="295"/>
      <c r="K574" s="296"/>
      <c r="L574" s="301"/>
      <c r="M574" s="297"/>
      <c r="N574" s="298"/>
      <c r="P574" s="190" t="str">
        <f>IF(R574 = "", "", COUNT(R$4:$R574))</f>
        <v/>
      </c>
      <c r="Q574" s="190" t="str">
        <f t="shared" si="81"/>
        <v/>
      </c>
      <c r="R574" s="191" t="str">
        <f t="shared" si="82"/>
        <v/>
      </c>
      <c r="S574" s="192" t="str">
        <f t="shared" si="84"/>
        <v/>
      </c>
      <c r="T574" s="193" t="str">
        <f t="shared" si="85"/>
        <v/>
      </c>
      <c r="U574" s="194" t="str">
        <f t="shared" si="86"/>
        <v/>
      </c>
      <c r="V574" s="195" t="str">
        <f t="shared" si="83"/>
        <v/>
      </c>
      <c r="W574" s="336" t="str">
        <f t="shared" si="87"/>
        <v/>
      </c>
      <c r="X574" s="338" t="str">
        <f t="shared" si="88"/>
        <v/>
      </c>
      <c r="Y574" s="274"/>
      <c r="AR574" t="str">
        <f t="shared" si="89"/>
        <v/>
      </c>
      <c r="AS574" t="str">
        <f t="shared" si="90"/>
        <v/>
      </c>
    </row>
    <row r="575" spans="1:45">
      <c r="A575" s="291"/>
      <c r="B575" s="292"/>
      <c r="C575" s="293"/>
      <c r="D575" s="293"/>
      <c r="E575" s="293"/>
      <c r="F575" s="293"/>
      <c r="G575" s="294"/>
      <c r="H575" s="300"/>
      <c r="I575" s="295"/>
      <c r="J575" s="295"/>
      <c r="K575" s="296"/>
      <c r="L575" s="301"/>
      <c r="M575" s="297"/>
      <c r="N575" s="298"/>
      <c r="P575" s="190" t="str">
        <f>IF(R575 = "", "", COUNT(R$4:$R575))</f>
        <v/>
      </c>
      <c r="Q575" s="190" t="str">
        <f t="shared" si="81"/>
        <v/>
      </c>
      <c r="R575" s="191" t="str">
        <f t="shared" si="82"/>
        <v/>
      </c>
      <c r="S575" s="192" t="str">
        <f t="shared" si="84"/>
        <v/>
      </c>
      <c r="T575" s="193" t="str">
        <f t="shared" si="85"/>
        <v/>
      </c>
      <c r="U575" s="194" t="str">
        <f t="shared" si="86"/>
        <v/>
      </c>
      <c r="V575" s="195" t="str">
        <f t="shared" si="83"/>
        <v/>
      </c>
      <c r="W575" s="336" t="str">
        <f t="shared" si="87"/>
        <v/>
      </c>
      <c r="X575" s="338" t="str">
        <f t="shared" si="88"/>
        <v/>
      </c>
      <c r="Y575" s="274"/>
      <c r="AR575" t="str">
        <f t="shared" si="89"/>
        <v/>
      </c>
      <c r="AS575" t="str">
        <f t="shared" si="90"/>
        <v/>
      </c>
    </row>
    <row r="576" spans="1:45">
      <c r="A576" s="291"/>
      <c r="B576" s="292"/>
      <c r="C576" s="293"/>
      <c r="D576" s="293"/>
      <c r="E576" s="293"/>
      <c r="F576" s="293"/>
      <c r="G576" s="294"/>
      <c r="H576" s="300"/>
      <c r="I576" s="295"/>
      <c r="J576" s="295"/>
      <c r="K576" s="296"/>
      <c r="L576" s="301"/>
      <c r="M576" s="297"/>
      <c r="N576" s="298"/>
      <c r="P576" s="190" t="str">
        <f>IF(R576 = "", "", COUNT(R$4:$R576))</f>
        <v/>
      </c>
      <c r="Q576" s="190" t="str">
        <f t="shared" si="81"/>
        <v/>
      </c>
      <c r="R576" s="191" t="str">
        <f t="shared" si="82"/>
        <v/>
      </c>
      <c r="S576" s="192" t="str">
        <f t="shared" si="84"/>
        <v/>
      </c>
      <c r="T576" s="193" t="str">
        <f t="shared" si="85"/>
        <v/>
      </c>
      <c r="U576" s="194" t="str">
        <f t="shared" si="86"/>
        <v/>
      </c>
      <c r="V576" s="195" t="str">
        <f t="shared" si="83"/>
        <v/>
      </c>
      <c r="W576" s="336" t="str">
        <f t="shared" si="87"/>
        <v/>
      </c>
      <c r="X576" s="338" t="str">
        <f t="shared" si="88"/>
        <v/>
      </c>
      <c r="Y576" s="274"/>
      <c r="AR576" t="str">
        <f t="shared" si="89"/>
        <v/>
      </c>
      <c r="AS576" t="str">
        <f t="shared" si="90"/>
        <v/>
      </c>
    </row>
    <row r="577" spans="1:45">
      <c r="A577" s="291"/>
      <c r="B577" s="292"/>
      <c r="C577" s="293"/>
      <c r="D577" s="293"/>
      <c r="E577" s="293"/>
      <c r="F577" s="293"/>
      <c r="G577" s="294"/>
      <c r="H577" s="300"/>
      <c r="I577" s="295"/>
      <c r="J577" s="295"/>
      <c r="K577" s="296"/>
      <c r="L577" s="301"/>
      <c r="M577" s="297"/>
      <c r="N577" s="298"/>
      <c r="P577" s="190" t="str">
        <f>IF(R577 = "", "", COUNT(R$4:$R577))</f>
        <v/>
      </c>
      <c r="Q577" s="190" t="str">
        <f t="shared" si="81"/>
        <v/>
      </c>
      <c r="R577" s="191" t="str">
        <f t="shared" si="82"/>
        <v/>
      </c>
      <c r="S577" s="192" t="str">
        <f t="shared" si="84"/>
        <v/>
      </c>
      <c r="T577" s="193" t="str">
        <f t="shared" si="85"/>
        <v/>
      </c>
      <c r="U577" s="194" t="str">
        <f t="shared" si="86"/>
        <v/>
      </c>
      <c r="V577" s="195" t="str">
        <f t="shared" si="83"/>
        <v/>
      </c>
      <c r="W577" s="336" t="str">
        <f t="shared" si="87"/>
        <v/>
      </c>
      <c r="X577" s="338" t="str">
        <f t="shared" si="88"/>
        <v/>
      </c>
      <c r="Y577" s="274"/>
      <c r="AR577" t="str">
        <f t="shared" si="89"/>
        <v/>
      </c>
      <c r="AS577" t="str">
        <f t="shared" si="90"/>
        <v/>
      </c>
    </row>
    <row r="578" spans="1:45">
      <c r="A578" s="291"/>
      <c r="B578" s="292"/>
      <c r="C578" s="293"/>
      <c r="D578" s="293"/>
      <c r="E578" s="293"/>
      <c r="F578" s="293"/>
      <c r="G578" s="294"/>
      <c r="H578" s="300"/>
      <c r="I578" s="295"/>
      <c r="J578" s="295"/>
      <c r="K578" s="296"/>
      <c r="L578" s="301"/>
      <c r="M578" s="297"/>
      <c r="N578" s="298"/>
      <c r="P578" s="190" t="str">
        <f>IF(R578 = "", "", COUNT(R$4:$R578))</f>
        <v/>
      </c>
      <c r="Q578" s="190" t="str">
        <f t="shared" si="81"/>
        <v/>
      </c>
      <c r="R578" s="191" t="str">
        <f t="shared" si="82"/>
        <v/>
      </c>
      <c r="S578" s="192" t="str">
        <f t="shared" si="84"/>
        <v/>
      </c>
      <c r="T578" s="193" t="str">
        <f t="shared" si="85"/>
        <v/>
      </c>
      <c r="U578" s="194" t="str">
        <f t="shared" si="86"/>
        <v/>
      </c>
      <c r="V578" s="195" t="str">
        <f t="shared" si="83"/>
        <v/>
      </c>
      <c r="W578" s="336" t="str">
        <f t="shared" si="87"/>
        <v/>
      </c>
      <c r="X578" s="338" t="str">
        <f t="shared" si="88"/>
        <v/>
      </c>
      <c r="Y578" s="274"/>
      <c r="AR578" t="str">
        <f t="shared" si="89"/>
        <v/>
      </c>
      <c r="AS578" t="str">
        <f t="shared" si="90"/>
        <v/>
      </c>
    </row>
    <row r="579" spans="1:45">
      <c r="A579" s="291"/>
      <c r="B579" s="292"/>
      <c r="C579" s="293"/>
      <c r="D579" s="293"/>
      <c r="E579" s="293"/>
      <c r="F579" s="293"/>
      <c r="G579" s="294"/>
      <c r="H579" s="300"/>
      <c r="I579" s="295"/>
      <c r="J579" s="295"/>
      <c r="K579" s="296"/>
      <c r="L579" s="301"/>
      <c r="M579" s="297"/>
      <c r="N579" s="298"/>
      <c r="P579" s="190" t="str">
        <f>IF(R579 = "", "", COUNT(R$4:$R579))</f>
        <v/>
      </c>
      <c r="Q579" s="190" t="str">
        <f t="shared" si="81"/>
        <v/>
      </c>
      <c r="R579" s="191" t="str">
        <f t="shared" si="82"/>
        <v/>
      </c>
      <c r="S579" s="192" t="str">
        <f t="shared" si="84"/>
        <v/>
      </c>
      <c r="T579" s="193" t="str">
        <f t="shared" si="85"/>
        <v/>
      </c>
      <c r="U579" s="194" t="str">
        <f t="shared" si="86"/>
        <v/>
      </c>
      <c r="V579" s="195" t="str">
        <f t="shared" si="83"/>
        <v/>
      </c>
      <c r="W579" s="336" t="str">
        <f t="shared" si="87"/>
        <v/>
      </c>
      <c r="X579" s="338" t="str">
        <f t="shared" si="88"/>
        <v/>
      </c>
      <c r="Y579" s="274"/>
      <c r="AR579" t="str">
        <f t="shared" si="89"/>
        <v/>
      </c>
      <c r="AS579" t="str">
        <f t="shared" si="90"/>
        <v/>
      </c>
    </row>
    <row r="580" spans="1:45">
      <c r="A580" s="291"/>
      <c r="B580" s="292"/>
      <c r="C580" s="293"/>
      <c r="D580" s="293"/>
      <c r="E580" s="293"/>
      <c r="F580" s="293"/>
      <c r="G580" s="294"/>
      <c r="H580" s="300"/>
      <c r="I580" s="295"/>
      <c r="J580" s="295"/>
      <c r="K580" s="296"/>
      <c r="L580" s="301"/>
      <c r="M580" s="297"/>
      <c r="N580" s="298"/>
      <c r="P580" s="190" t="str">
        <f>IF(R580 = "", "", COUNT(R$4:$R580))</f>
        <v/>
      </c>
      <c r="Q580" s="190" t="str">
        <f t="shared" ref="Q580:Q643" si="91">IF(C580 &gt; 0, YEAR(B580), "")</f>
        <v/>
      </c>
      <c r="R580" s="191" t="str">
        <f t="shared" ref="R580:R643" si="92">IF(A580="", "", IF(G580="",1,IF(G580="O",1,IF(G580="C",8.4,IF(G580="B",8.4,IF(G580="A",76.8,IF(G580="K",76.8,"ERR")))))))</f>
        <v/>
      </c>
      <c r="S580" s="192" t="str">
        <f t="shared" si="84"/>
        <v/>
      </c>
      <c r="T580" s="193" t="str">
        <f t="shared" si="85"/>
        <v/>
      </c>
      <c r="U580" s="194" t="str">
        <f t="shared" si="86"/>
        <v/>
      </c>
      <c r="V580" s="195" t="str">
        <f t="shared" ref="V580:V643" si="93">IF(IF(M580&lt;&gt;"",G580,"")=0, "O", IF(M580&lt;&gt;"",G580,""))</f>
        <v/>
      </c>
      <c r="W580" s="336" t="str">
        <f t="shared" si="87"/>
        <v/>
      </c>
      <c r="X580" s="338" t="str">
        <f t="shared" si="88"/>
        <v/>
      </c>
      <c r="Y580" s="274"/>
      <c r="AR580" t="str">
        <f t="shared" si="89"/>
        <v/>
      </c>
      <c r="AS580" t="str">
        <f t="shared" si="90"/>
        <v/>
      </c>
    </row>
    <row r="581" spans="1:45">
      <c r="A581" s="291"/>
      <c r="B581" s="292"/>
      <c r="C581" s="293"/>
      <c r="D581" s="293"/>
      <c r="E581" s="293"/>
      <c r="F581" s="293"/>
      <c r="G581" s="294"/>
      <c r="H581" s="300"/>
      <c r="I581" s="295"/>
      <c r="J581" s="295"/>
      <c r="K581" s="296"/>
      <c r="L581" s="301"/>
      <c r="M581" s="297"/>
      <c r="N581" s="298"/>
      <c r="P581" s="190" t="str">
        <f>IF(R581 = "", "", COUNT(R$4:$R581))</f>
        <v/>
      </c>
      <c r="Q581" s="190" t="str">
        <f t="shared" si="91"/>
        <v/>
      </c>
      <c r="R581" s="191" t="str">
        <f t="shared" si="92"/>
        <v/>
      </c>
      <c r="S581" s="192" t="str">
        <f t="shared" ref="S581:S644" si="94">IF(L581&lt;&gt;"",R581,"")</f>
        <v/>
      </c>
      <c r="T581" s="193" t="str">
        <f t="shared" ref="T581:T644" si="95">IF(IF(L581&lt;&gt;"",G581,"")=0, "O", IF(L581&lt;&gt;"",G581,""))</f>
        <v/>
      </c>
      <c r="U581" s="194" t="str">
        <f t="shared" ref="U581:U644" si="96">IF(M581&lt;&gt;"",R581,"")</f>
        <v/>
      </c>
      <c r="V581" s="195" t="str">
        <f t="shared" si="93"/>
        <v/>
      </c>
      <c r="W581" s="336" t="str">
        <f t="shared" ref="W581:W644" si="97">IF(N581&lt;&gt;"",R581,"")</f>
        <v/>
      </c>
      <c r="X581" s="338" t="str">
        <f t="shared" ref="X581:X644" si="98">IF(IF(N581&lt;&gt;"",G581,"")=0, "O", IF(N581&lt;&gt;"",G581,""))</f>
        <v/>
      </c>
      <c r="Y581" s="274"/>
      <c r="AR581" t="str">
        <f t="shared" ref="AR581:AR644" si="99">IF(P581&gt;0, P581, "")</f>
        <v/>
      </c>
      <c r="AS581" t="str">
        <f t="shared" ref="AS581:AS644" si="100">IF(OR(L581="Y",M581="Y",N581="Y"),"Y","")</f>
        <v/>
      </c>
    </row>
    <row r="582" spans="1:45">
      <c r="A582" s="291"/>
      <c r="B582" s="292"/>
      <c r="C582" s="293"/>
      <c r="D582" s="293"/>
      <c r="E582" s="293"/>
      <c r="F582" s="293"/>
      <c r="G582" s="294"/>
      <c r="H582" s="300"/>
      <c r="I582" s="295"/>
      <c r="J582" s="295"/>
      <c r="K582" s="296"/>
      <c r="L582" s="301"/>
      <c r="M582" s="297"/>
      <c r="N582" s="298"/>
      <c r="P582" s="190" t="str">
        <f>IF(R582 = "", "", COUNT(R$4:$R582))</f>
        <v/>
      </c>
      <c r="Q582" s="190" t="str">
        <f t="shared" si="91"/>
        <v/>
      </c>
      <c r="R582" s="191" t="str">
        <f t="shared" si="92"/>
        <v/>
      </c>
      <c r="S582" s="192" t="str">
        <f t="shared" si="94"/>
        <v/>
      </c>
      <c r="T582" s="193" t="str">
        <f t="shared" si="95"/>
        <v/>
      </c>
      <c r="U582" s="194" t="str">
        <f t="shared" si="96"/>
        <v/>
      </c>
      <c r="V582" s="195" t="str">
        <f t="shared" si="93"/>
        <v/>
      </c>
      <c r="W582" s="336" t="str">
        <f t="shared" si="97"/>
        <v/>
      </c>
      <c r="X582" s="338" t="str">
        <f t="shared" si="98"/>
        <v/>
      </c>
      <c r="Y582" s="274"/>
      <c r="AR582" t="str">
        <f t="shared" si="99"/>
        <v/>
      </c>
      <c r="AS582" t="str">
        <f t="shared" si="100"/>
        <v/>
      </c>
    </row>
    <row r="583" spans="1:45">
      <c r="A583" s="291"/>
      <c r="B583" s="292"/>
      <c r="C583" s="293"/>
      <c r="D583" s="293"/>
      <c r="E583" s="293"/>
      <c r="F583" s="293"/>
      <c r="G583" s="294"/>
      <c r="H583" s="300"/>
      <c r="I583" s="295"/>
      <c r="J583" s="295"/>
      <c r="K583" s="296"/>
      <c r="L583" s="301"/>
      <c r="M583" s="297"/>
      <c r="N583" s="298"/>
      <c r="P583" s="190" t="str">
        <f>IF(R583 = "", "", COUNT(R$4:$R583))</f>
        <v/>
      </c>
      <c r="Q583" s="190" t="str">
        <f t="shared" si="91"/>
        <v/>
      </c>
      <c r="R583" s="191" t="str">
        <f t="shared" si="92"/>
        <v/>
      </c>
      <c r="S583" s="192" t="str">
        <f t="shared" si="94"/>
        <v/>
      </c>
      <c r="T583" s="193" t="str">
        <f t="shared" si="95"/>
        <v/>
      </c>
      <c r="U583" s="194" t="str">
        <f t="shared" si="96"/>
        <v/>
      </c>
      <c r="V583" s="195" t="str">
        <f t="shared" si="93"/>
        <v/>
      </c>
      <c r="W583" s="336" t="str">
        <f t="shared" si="97"/>
        <v/>
      </c>
      <c r="X583" s="338" t="str">
        <f t="shared" si="98"/>
        <v/>
      </c>
      <c r="Y583" s="274"/>
      <c r="AR583" t="str">
        <f t="shared" si="99"/>
        <v/>
      </c>
      <c r="AS583" t="str">
        <f t="shared" si="100"/>
        <v/>
      </c>
    </row>
    <row r="584" spans="1:45">
      <c r="A584" s="291"/>
      <c r="B584" s="292"/>
      <c r="C584" s="293"/>
      <c r="D584" s="293"/>
      <c r="E584" s="293"/>
      <c r="F584" s="293"/>
      <c r="G584" s="294"/>
      <c r="H584" s="300"/>
      <c r="I584" s="295"/>
      <c r="J584" s="295"/>
      <c r="K584" s="296"/>
      <c r="L584" s="301"/>
      <c r="M584" s="297"/>
      <c r="N584" s="298"/>
      <c r="P584" s="190" t="str">
        <f>IF(R584 = "", "", COUNT(R$4:$R584))</f>
        <v/>
      </c>
      <c r="Q584" s="190" t="str">
        <f t="shared" si="91"/>
        <v/>
      </c>
      <c r="R584" s="191" t="str">
        <f t="shared" si="92"/>
        <v/>
      </c>
      <c r="S584" s="192" t="str">
        <f t="shared" si="94"/>
        <v/>
      </c>
      <c r="T584" s="193" t="str">
        <f t="shared" si="95"/>
        <v/>
      </c>
      <c r="U584" s="194" t="str">
        <f t="shared" si="96"/>
        <v/>
      </c>
      <c r="V584" s="195" t="str">
        <f t="shared" si="93"/>
        <v/>
      </c>
      <c r="W584" s="336" t="str">
        <f t="shared" si="97"/>
        <v/>
      </c>
      <c r="X584" s="338" t="str">
        <f t="shared" si="98"/>
        <v/>
      </c>
      <c r="Y584" s="274"/>
      <c r="AR584" t="str">
        <f t="shared" si="99"/>
        <v/>
      </c>
      <c r="AS584" t="str">
        <f t="shared" si="100"/>
        <v/>
      </c>
    </row>
    <row r="585" spans="1:45">
      <c r="A585" s="291"/>
      <c r="B585" s="292"/>
      <c r="C585" s="293"/>
      <c r="D585" s="293"/>
      <c r="E585" s="293"/>
      <c r="F585" s="293"/>
      <c r="G585" s="294"/>
      <c r="H585" s="300"/>
      <c r="I585" s="295"/>
      <c r="J585" s="295"/>
      <c r="K585" s="296"/>
      <c r="L585" s="301"/>
      <c r="M585" s="297"/>
      <c r="N585" s="298"/>
      <c r="P585" s="190" t="str">
        <f>IF(R585 = "", "", COUNT(R$4:$R585))</f>
        <v/>
      </c>
      <c r="Q585" s="190" t="str">
        <f t="shared" si="91"/>
        <v/>
      </c>
      <c r="R585" s="191" t="str">
        <f t="shared" si="92"/>
        <v/>
      </c>
      <c r="S585" s="192" t="str">
        <f t="shared" si="94"/>
        <v/>
      </c>
      <c r="T585" s="193" t="str">
        <f t="shared" si="95"/>
        <v/>
      </c>
      <c r="U585" s="194" t="str">
        <f t="shared" si="96"/>
        <v/>
      </c>
      <c r="V585" s="195" t="str">
        <f t="shared" si="93"/>
        <v/>
      </c>
      <c r="W585" s="336" t="str">
        <f t="shared" si="97"/>
        <v/>
      </c>
      <c r="X585" s="338" t="str">
        <f t="shared" si="98"/>
        <v/>
      </c>
      <c r="Y585" s="274"/>
      <c r="AR585" t="str">
        <f t="shared" si="99"/>
        <v/>
      </c>
      <c r="AS585" t="str">
        <f t="shared" si="100"/>
        <v/>
      </c>
    </row>
    <row r="586" spans="1:45">
      <c r="A586" s="291"/>
      <c r="B586" s="292"/>
      <c r="C586" s="293"/>
      <c r="D586" s="293"/>
      <c r="E586" s="293"/>
      <c r="F586" s="293"/>
      <c r="G586" s="294"/>
      <c r="H586" s="300"/>
      <c r="I586" s="295"/>
      <c r="J586" s="295"/>
      <c r="K586" s="296"/>
      <c r="L586" s="301"/>
      <c r="M586" s="297"/>
      <c r="N586" s="298"/>
      <c r="P586" s="190" t="str">
        <f>IF(R586 = "", "", COUNT(R$4:$R586))</f>
        <v/>
      </c>
      <c r="Q586" s="190" t="str">
        <f t="shared" si="91"/>
        <v/>
      </c>
      <c r="R586" s="191" t="str">
        <f t="shared" si="92"/>
        <v/>
      </c>
      <c r="S586" s="192" t="str">
        <f t="shared" si="94"/>
        <v/>
      </c>
      <c r="T586" s="193" t="str">
        <f t="shared" si="95"/>
        <v/>
      </c>
      <c r="U586" s="194" t="str">
        <f t="shared" si="96"/>
        <v/>
      </c>
      <c r="V586" s="195" t="str">
        <f t="shared" si="93"/>
        <v/>
      </c>
      <c r="W586" s="336" t="str">
        <f t="shared" si="97"/>
        <v/>
      </c>
      <c r="X586" s="338" t="str">
        <f t="shared" si="98"/>
        <v/>
      </c>
      <c r="Y586" s="274"/>
      <c r="AR586" t="str">
        <f t="shared" si="99"/>
        <v/>
      </c>
      <c r="AS586" t="str">
        <f t="shared" si="100"/>
        <v/>
      </c>
    </row>
    <row r="587" spans="1:45">
      <c r="A587" s="291"/>
      <c r="B587" s="292"/>
      <c r="C587" s="293"/>
      <c r="D587" s="293"/>
      <c r="E587" s="293"/>
      <c r="F587" s="293"/>
      <c r="G587" s="294"/>
      <c r="H587" s="300"/>
      <c r="I587" s="295"/>
      <c r="J587" s="295"/>
      <c r="K587" s="296"/>
      <c r="L587" s="301"/>
      <c r="M587" s="297"/>
      <c r="N587" s="298"/>
      <c r="P587" s="190" t="str">
        <f>IF(R587 = "", "", COUNT(R$4:$R587))</f>
        <v/>
      </c>
      <c r="Q587" s="190" t="str">
        <f t="shared" si="91"/>
        <v/>
      </c>
      <c r="R587" s="191" t="str">
        <f t="shared" si="92"/>
        <v/>
      </c>
      <c r="S587" s="192" t="str">
        <f t="shared" si="94"/>
        <v/>
      </c>
      <c r="T587" s="193" t="str">
        <f t="shared" si="95"/>
        <v/>
      </c>
      <c r="U587" s="194" t="str">
        <f t="shared" si="96"/>
        <v/>
      </c>
      <c r="V587" s="195" t="str">
        <f t="shared" si="93"/>
        <v/>
      </c>
      <c r="W587" s="336" t="str">
        <f t="shared" si="97"/>
        <v/>
      </c>
      <c r="X587" s="338" t="str">
        <f t="shared" si="98"/>
        <v/>
      </c>
      <c r="Y587" s="274"/>
      <c r="AR587" t="str">
        <f t="shared" si="99"/>
        <v/>
      </c>
      <c r="AS587" t="str">
        <f t="shared" si="100"/>
        <v/>
      </c>
    </row>
    <row r="588" spans="1:45">
      <c r="A588" s="291"/>
      <c r="B588" s="292"/>
      <c r="C588" s="293"/>
      <c r="D588" s="293"/>
      <c r="E588" s="293"/>
      <c r="F588" s="293"/>
      <c r="G588" s="294"/>
      <c r="H588" s="300"/>
      <c r="I588" s="295"/>
      <c r="J588" s="295"/>
      <c r="K588" s="296"/>
      <c r="L588" s="301"/>
      <c r="M588" s="297"/>
      <c r="N588" s="298"/>
      <c r="P588" s="190" t="str">
        <f>IF(R588 = "", "", COUNT(R$4:$R588))</f>
        <v/>
      </c>
      <c r="Q588" s="190" t="str">
        <f t="shared" si="91"/>
        <v/>
      </c>
      <c r="R588" s="191" t="str">
        <f t="shared" si="92"/>
        <v/>
      </c>
      <c r="S588" s="192" t="str">
        <f t="shared" si="94"/>
        <v/>
      </c>
      <c r="T588" s="193" t="str">
        <f t="shared" si="95"/>
        <v/>
      </c>
      <c r="U588" s="194" t="str">
        <f t="shared" si="96"/>
        <v/>
      </c>
      <c r="V588" s="195" t="str">
        <f t="shared" si="93"/>
        <v/>
      </c>
      <c r="W588" s="336" t="str">
        <f t="shared" si="97"/>
        <v/>
      </c>
      <c r="X588" s="338" t="str">
        <f t="shared" si="98"/>
        <v/>
      </c>
      <c r="Y588" s="274"/>
      <c r="AR588" t="str">
        <f t="shared" si="99"/>
        <v/>
      </c>
      <c r="AS588" t="str">
        <f t="shared" si="100"/>
        <v/>
      </c>
    </row>
    <row r="589" spans="1:45">
      <c r="A589" s="291"/>
      <c r="B589" s="292"/>
      <c r="C589" s="293"/>
      <c r="D589" s="293"/>
      <c r="E589" s="293"/>
      <c r="F589" s="293"/>
      <c r="G589" s="294"/>
      <c r="H589" s="300"/>
      <c r="I589" s="295"/>
      <c r="J589" s="295"/>
      <c r="K589" s="296"/>
      <c r="L589" s="301"/>
      <c r="M589" s="297"/>
      <c r="N589" s="298"/>
      <c r="P589" s="190" t="str">
        <f>IF(R589 = "", "", COUNT(R$4:$R589))</f>
        <v/>
      </c>
      <c r="Q589" s="190" t="str">
        <f t="shared" si="91"/>
        <v/>
      </c>
      <c r="R589" s="191" t="str">
        <f t="shared" si="92"/>
        <v/>
      </c>
      <c r="S589" s="192" t="str">
        <f t="shared" si="94"/>
        <v/>
      </c>
      <c r="T589" s="193" t="str">
        <f t="shared" si="95"/>
        <v/>
      </c>
      <c r="U589" s="194" t="str">
        <f t="shared" si="96"/>
        <v/>
      </c>
      <c r="V589" s="195" t="str">
        <f t="shared" si="93"/>
        <v/>
      </c>
      <c r="W589" s="336" t="str">
        <f t="shared" si="97"/>
        <v/>
      </c>
      <c r="X589" s="338" t="str">
        <f t="shared" si="98"/>
        <v/>
      </c>
      <c r="Y589" s="274"/>
      <c r="AR589" t="str">
        <f t="shared" si="99"/>
        <v/>
      </c>
      <c r="AS589" t="str">
        <f t="shared" si="100"/>
        <v/>
      </c>
    </row>
    <row r="590" spans="1:45">
      <c r="A590" s="291"/>
      <c r="B590" s="292"/>
      <c r="C590" s="293"/>
      <c r="D590" s="293"/>
      <c r="E590" s="293"/>
      <c r="F590" s="293"/>
      <c r="G590" s="294"/>
      <c r="H590" s="300"/>
      <c r="I590" s="295"/>
      <c r="J590" s="295"/>
      <c r="K590" s="296"/>
      <c r="L590" s="301"/>
      <c r="M590" s="297"/>
      <c r="N590" s="298"/>
      <c r="P590" s="190" t="str">
        <f>IF(R590 = "", "", COUNT(R$4:$R590))</f>
        <v/>
      </c>
      <c r="Q590" s="190" t="str">
        <f t="shared" si="91"/>
        <v/>
      </c>
      <c r="R590" s="191" t="str">
        <f t="shared" si="92"/>
        <v/>
      </c>
      <c r="S590" s="192" t="str">
        <f t="shared" si="94"/>
        <v/>
      </c>
      <c r="T590" s="193" t="str">
        <f t="shared" si="95"/>
        <v/>
      </c>
      <c r="U590" s="194" t="str">
        <f t="shared" si="96"/>
        <v/>
      </c>
      <c r="V590" s="195" t="str">
        <f t="shared" si="93"/>
        <v/>
      </c>
      <c r="W590" s="336" t="str">
        <f t="shared" si="97"/>
        <v/>
      </c>
      <c r="X590" s="338" t="str">
        <f t="shared" si="98"/>
        <v/>
      </c>
      <c r="Y590" s="274"/>
      <c r="AR590" t="str">
        <f t="shared" si="99"/>
        <v/>
      </c>
      <c r="AS590" t="str">
        <f t="shared" si="100"/>
        <v/>
      </c>
    </row>
    <row r="591" spans="1:45">
      <c r="A591" s="291"/>
      <c r="B591" s="292"/>
      <c r="C591" s="293"/>
      <c r="D591" s="293"/>
      <c r="E591" s="293"/>
      <c r="F591" s="293"/>
      <c r="G591" s="294"/>
      <c r="H591" s="300"/>
      <c r="I591" s="295"/>
      <c r="J591" s="295"/>
      <c r="K591" s="296"/>
      <c r="L591" s="301"/>
      <c r="M591" s="297"/>
      <c r="N591" s="298"/>
      <c r="P591" s="190" t="str">
        <f>IF(R591 = "", "", COUNT(R$4:$R591))</f>
        <v/>
      </c>
      <c r="Q591" s="190" t="str">
        <f t="shared" si="91"/>
        <v/>
      </c>
      <c r="R591" s="191" t="str">
        <f t="shared" si="92"/>
        <v/>
      </c>
      <c r="S591" s="192" t="str">
        <f t="shared" si="94"/>
        <v/>
      </c>
      <c r="T591" s="193" t="str">
        <f t="shared" si="95"/>
        <v/>
      </c>
      <c r="U591" s="194" t="str">
        <f t="shared" si="96"/>
        <v/>
      </c>
      <c r="V591" s="195" t="str">
        <f t="shared" si="93"/>
        <v/>
      </c>
      <c r="W591" s="336" t="str">
        <f t="shared" si="97"/>
        <v/>
      </c>
      <c r="X591" s="338" t="str">
        <f t="shared" si="98"/>
        <v/>
      </c>
      <c r="Y591" s="274"/>
      <c r="AR591" t="str">
        <f t="shared" si="99"/>
        <v/>
      </c>
      <c r="AS591" t="str">
        <f t="shared" si="100"/>
        <v/>
      </c>
    </row>
    <row r="592" spans="1:45">
      <c r="A592" s="291"/>
      <c r="B592" s="292"/>
      <c r="C592" s="293"/>
      <c r="D592" s="293"/>
      <c r="E592" s="293"/>
      <c r="F592" s="293"/>
      <c r="G592" s="294"/>
      <c r="H592" s="300"/>
      <c r="I592" s="295"/>
      <c r="J592" s="295"/>
      <c r="K592" s="296"/>
      <c r="L592" s="301"/>
      <c r="M592" s="297"/>
      <c r="N592" s="298"/>
      <c r="P592" s="190" t="str">
        <f>IF(R592 = "", "", COUNT(R$4:$R592))</f>
        <v/>
      </c>
      <c r="Q592" s="190" t="str">
        <f t="shared" si="91"/>
        <v/>
      </c>
      <c r="R592" s="191" t="str">
        <f t="shared" si="92"/>
        <v/>
      </c>
      <c r="S592" s="192" t="str">
        <f t="shared" si="94"/>
        <v/>
      </c>
      <c r="T592" s="193" t="str">
        <f t="shared" si="95"/>
        <v/>
      </c>
      <c r="U592" s="194" t="str">
        <f t="shared" si="96"/>
        <v/>
      </c>
      <c r="V592" s="195" t="str">
        <f t="shared" si="93"/>
        <v/>
      </c>
      <c r="W592" s="336" t="str">
        <f t="shared" si="97"/>
        <v/>
      </c>
      <c r="X592" s="338" t="str">
        <f t="shared" si="98"/>
        <v/>
      </c>
      <c r="Y592" s="274"/>
      <c r="AR592" t="str">
        <f t="shared" si="99"/>
        <v/>
      </c>
      <c r="AS592" t="str">
        <f t="shared" si="100"/>
        <v/>
      </c>
    </row>
    <row r="593" spans="1:45">
      <c r="A593" s="291"/>
      <c r="B593" s="292"/>
      <c r="C593" s="293"/>
      <c r="D593" s="293"/>
      <c r="E593" s="293"/>
      <c r="F593" s="293"/>
      <c r="G593" s="294"/>
      <c r="H593" s="300"/>
      <c r="I593" s="295"/>
      <c r="J593" s="295"/>
      <c r="K593" s="296"/>
      <c r="L593" s="301"/>
      <c r="M593" s="297"/>
      <c r="N593" s="298"/>
      <c r="P593" s="190" t="str">
        <f>IF(R593 = "", "", COUNT(R$4:$R593))</f>
        <v/>
      </c>
      <c r="Q593" s="190" t="str">
        <f t="shared" si="91"/>
        <v/>
      </c>
      <c r="R593" s="191" t="str">
        <f t="shared" si="92"/>
        <v/>
      </c>
      <c r="S593" s="192" t="str">
        <f t="shared" si="94"/>
        <v/>
      </c>
      <c r="T593" s="193" t="str">
        <f t="shared" si="95"/>
        <v/>
      </c>
      <c r="U593" s="194" t="str">
        <f t="shared" si="96"/>
        <v/>
      </c>
      <c r="V593" s="195" t="str">
        <f t="shared" si="93"/>
        <v/>
      </c>
      <c r="W593" s="336" t="str">
        <f t="shared" si="97"/>
        <v/>
      </c>
      <c r="X593" s="338" t="str">
        <f t="shared" si="98"/>
        <v/>
      </c>
      <c r="Y593" s="274"/>
      <c r="AR593" t="str">
        <f t="shared" si="99"/>
        <v/>
      </c>
      <c r="AS593" t="str">
        <f t="shared" si="100"/>
        <v/>
      </c>
    </row>
    <row r="594" spans="1:45">
      <c r="A594" s="291"/>
      <c r="B594" s="292"/>
      <c r="C594" s="293"/>
      <c r="D594" s="293"/>
      <c r="E594" s="293"/>
      <c r="F594" s="293"/>
      <c r="G594" s="294"/>
      <c r="H594" s="300"/>
      <c r="I594" s="295"/>
      <c r="J594" s="295"/>
      <c r="K594" s="296"/>
      <c r="L594" s="301"/>
      <c r="M594" s="297"/>
      <c r="N594" s="298"/>
      <c r="P594" s="190" t="str">
        <f>IF(R594 = "", "", COUNT(R$4:$R594))</f>
        <v/>
      </c>
      <c r="Q594" s="190" t="str">
        <f t="shared" si="91"/>
        <v/>
      </c>
      <c r="R594" s="191" t="str">
        <f t="shared" si="92"/>
        <v/>
      </c>
      <c r="S594" s="192" t="str">
        <f t="shared" si="94"/>
        <v/>
      </c>
      <c r="T594" s="193" t="str">
        <f t="shared" si="95"/>
        <v/>
      </c>
      <c r="U594" s="194" t="str">
        <f t="shared" si="96"/>
        <v/>
      </c>
      <c r="V594" s="195" t="str">
        <f t="shared" si="93"/>
        <v/>
      </c>
      <c r="W594" s="336" t="str">
        <f t="shared" si="97"/>
        <v/>
      </c>
      <c r="X594" s="338" t="str">
        <f t="shared" si="98"/>
        <v/>
      </c>
      <c r="Y594" s="274"/>
      <c r="AR594" t="str">
        <f t="shared" si="99"/>
        <v/>
      </c>
      <c r="AS594" t="str">
        <f t="shared" si="100"/>
        <v/>
      </c>
    </row>
    <row r="595" spans="1:45">
      <c r="A595" s="291"/>
      <c r="B595" s="292"/>
      <c r="C595" s="293"/>
      <c r="D595" s="293"/>
      <c r="E595" s="293"/>
      <c r="F595" s="293"/>
      <c r="G595" s="294"/>
      <c r="H595" s="300"/>
      <c r="I595" s="295"/>
      <c r="J595" s="295"/>
      <c r="K595" s="296"/>
      <c r="L595" s="301"/>
      <c r="M595" s="297"/>
      <c r="N595" s="298"/>
      <c r="P595" s="190" t="str">
        <f>IF(R595 = "", "", COUNT(R$4:$R595))</f>
        <v/>
      </c>
      <c r="Q595" s="190" t="str">
        <f t="shared" si="91"/>
        <v/>
      </c>
      <c r="R595" s="191" t="str">
        <f t="shared" si="92"/>
        <v/>
      </c>
      <c r="S595" s="192" t="str">
        <f t="shared" si="94"/>
        <v/>
      </c>
      <c r="T595" s="193" t="str">
        <f t="shared" si="95"/>
        <v/>
      </c>
      <c r="U595" s="194" t="str">
        <f t="shared" si="96"/>
        <v/>
      </c>
      <c r="V595" s="195" t="str">
        <f t="shared" si="93"/>
        <v/>
      </c>
      <c r="W595" s="336" t="str">
        <f t="shared" si="97"/>
        <v/>
      </c>
      <c r="X595" s="338" t="str">
        <f t="shared" si="98"/>
        <v/>
      </c>
      <c r="Y595" s="274"/>
      <c r="AR595" t="str">
        <f t="shared" si="99"/>
        <v/>
      </c>
      <c r="AS595" t="str">
        <f t="shared" si="100"/>
        <v/>
      </c>
    </row>
    <row r="596" spans="1:45">
      <c r="A596" s="291"/>
      <c r="B596" s="292"/>
      <c r="C596" s="293"/>
      <c r="D596" s="293"/>
      <c r="E596" s="293"/>
      <c r="F596" s="293"/>
      <c r="G596" s="294"/>
      <c r="H596" s="300"/>
      <c r="I596" s="295"/>
      <c r="J596" s="295"/>
      <c r="K596" s="296"/>
      <c r="L596" s="301"/>
      <c r="M596" s="297"/>
      <c r="N596" s="298"/>
      <c r="P596" s="190" t="str">
        <f>IF(R596 = "", "", COUNT(R$4:$R596))</f>
        <v/>
      </c>
      <c r="Q596" s="190" t="str">
        <f t="shared" si="91"/>
        <v/>
      </c>
      <c r="R596" s="191" t="str">
        <f t="shared" si="92"/>
        <v/>
      </c>
      <c r="S596" s="192" t="str">
        <f t="shared" si="94"/>
        <v/>
      </c>
      <c r="T596" s="193" t="str">
        <f t="shared" si="95"/>
        <v/>
      </c>
      <c r="U596" s="194" t="str">
        <f t="shared" si="96"/>
        <v/>
      </c>
      <c r="V596" s="195" t="str">
        <f t="shared" si="93"/>
        <v/>
      </c>
      <c r="W596" s="336" t="str">
        <f t="shared" si="97"/>
        <v/>
      </c>
      <c r="X596" s="338" t="str">
        <f t="shared" si="98"/>
        <v/>
      </c>
      <c r="Y596" s="274"/>
      <c r="AR596" t="str">
        <f t="shared" si="99"/>
        <v/>
      </c>
      <c r="AS596" t="str">
        <f t="shared" si="100"/>
        <v/>
      </c>
    </row>
    <row r="597" spans="1:45">
      <c r="A597" s="291"/>
      <c r="B597" s="292"/>
      <c r="C597" s="293"/>
      <c r="D597" s="293"/>
      <c r="E597" s="293"/>
      <c r="F597" s="293"/>
      <c r="G597" s="294"/>
      <c r="H597" s="300"/>
      <c r="I597" s="295"/>
      <c r="J597" s="295"/>
      <c r="K597" s="296"/>
      <c r="L597" s="301"/>
      <c r="M597" s="297"/>
      <c r="N597" s="298"/>
      <c r="P597" s="190" t="str">
        <f>IF(R597 = "", "", COUNT(R$4:$R597))</f>
        <v/>
      </c>
      <c r="Q597" s="190" t="str">
        <f t="shared" si="91"/>
        <v/>
      </c>
      <c r="R597" s="191" t="str">
        <f t="shared" si="92"/>
        <v/>
      </c>
      <c r="S597" s="192" t="str">
        <f t="shared" si="94"/>
        <v/>
      </c>
      <c r="T597" s="193" t="str">
        <f t="shared" si="95"/>
        <v/>
      </c>
      <c r="U597" s="194" t="str">
        <f t="shared" si="96"/>
        <v/>
      </c>
      <c r="V597" s="195" t="str">
        <f t="shared" si="93"/>
        <v/>
      </c>
      <c r="W597" s="336" t="str">
        <f t="shared" si="97"/>
        <v/>
      </c>
      <c r="X597" s="338" t="str">
        <f t="shared" si="98"/>
        <v/>
      </c>
      <c r="Y597" s="274"/>
      <c r="AR597" t="str">
        <f t="shared" si="99"/>
        <v/>
      </c>
      <c r="AS597" t="str">
        <f t="shared" si="100"/>
        <v/>
      </c>
    </row>
    <row r="598" spans="1:45">
      <c r="A598" s="291"/>
      <c r="B598" s="292"/>
      <c r="C598" s="293"/>
      <c r="D598" s="293"/>
      <c r="E598" s="293"/>
      <c r="F598" s="293"/>
      <c r="G598" s="294"/>
      <c r="H598" s="300"/>
      <c r="I598" s="295"/>
      <c r="J598" s="295"/>
      <c r="K598" s="296"/>
      <c r="L598" s="301"/>
      <c r="M598" s="297"/>
      <c r="N598" s="298"/>
      <c r="P598" s="190" t="str">
        <f>IF(R598 = "", "", COUNT(R$4:$R598))</f>
        <v/>
      </c>
      <c r="Q598" s="190" t="str">
        <f t="shared" si="91"/>
        <v/>
      </c>
      <c r="R598" s="191" t="str">
        <f t="shared" si="92"/>
        <v/>
      </c>
      <c r="S598" s="192" t="str">
        <f t="shared" si="94"/>
        <v/>
      </c>
      <c r="T598" s="193" t="str">
        <f t="shared" si="95"/>
        <v/>
      </c>
      <c r="U598" s="194" t="str">
        <f t="shared" si="96"/>
        <v/>
      </c>
      <c r="V598" s="195" t="str">
        <f t="shared" si="93"/>
        <v/>
      </c>
      <c r="W598" s="336" t="str">
        <f t="shared" si="97"/>
        <v/>
      </c>
      <c r="X598" s="338" t="str">
        <f t="shared" si="98"/>
        <v/>
      </c>
      <c r="Y598" s="274"/>
      <c r="AR598" t="str">
        <f t="shared" si="99"/>
        <v/>
      </c>
      <c r="AS598" t="str">
        <f t="shared" si="100"/>
        <v/>
      </c>
    </row>
    <row r="599" spans="1:45">
      <c r="A599" s="291"/>
      <c r="B599" s="292"/>
      <c r="C599" s="293"/>
      <c r="D599" s="293"/>
      <c r="E599" s="293"/>
      <c r="F599" s="293"/>
      <c r="G599" s="294"/>
      <c r="H599" s="300"/>
      <c r="I599" s="295"/>
      <c r="J599" s="295"/>
      <c r="K599" s="296"/>
      <c r="L599" s="301"/>
      <c r="M599" s="297"/>
      <c r="N599" s="298"/>
      <c r="P599" s="190" t="str">
        <f>IF(R599 = "", "", COUNT(R$4:$R599))</f>
        <v/>
      </c>
      <c r="Q599" s="190" t="str">
        <f t="shared" si="91"/>
        <v/>
      </c>
      <c r="R599" s="191" t="str">
        <f t="shared" si="92"/>
        <v/>
      </c>
      <c r="S599" s="192" t="str">
        <f t="shared" si="94"/>
        <v/>
      </c>
      <c r="T599" s="193" t="str">
        <f t="shared" si="95"/>
        <v/>
      </c>
      <c r="U599" s="194" t="str">
        <f t="shared" si="96"/>
        <v/>
      </c>
      <c r="V599" s="195" t="str">
        <f t="shared" si="93"/>
        <v/>
      </c>
      <c r="W599" s="336" t="str">
        <f t="shared" si="97"/>
        <v/>
      </c>
      <c r="X599" s="338" t="str">
        <f t="shared" si="98"/>
        <v/>
      </c>
      <c r="Y599" s="274"/>
      <c r="AR599" t="str">
        <f t="shared" si="99"/>
        <v/>
      </c>
      <c r="AS599" t="str">
        <f t="shared" si="100"/>
        <v/>
      </c>
    </row>
    <row r="600" spans="1:45">
      <c r="A600" s="291"/>
      <c r="B600" s="292"/>
      <c r="C600" s="293"/>
      <c r="D600" s="293"/>
      <c r="E600" s="293"/>
      <c r="F600" s="293"/>
      <c r="G600" s="294"/>
      <c r="H600" s="300"/>
      <c r="I600" s="295"/>
      <c r="J600" s="295"/>
      <c r="K600" s="296"/>
      <c r="L600" s="301"/>
      <c r="M600" s="297"/>
      <c r="N600" s="298"/>
      <c r="P600" s="190" t="str">
        <f>IF(R600 = "", "", COUNT(R$4:$R600))</f>
        <v/>
      </c>
      <c r="Q600" s="190" t="str">
        <f t="shared" si="91"/>
        <v/>
      </c>
      <c r="R600" s="191" t="str">
        <f t="shared" si="92"/>
        <v/>
      </c>
      <c r="S600" s="192" t="str">
        <f t="shared" si="94"/>
        <v/>
      </c>
      <c r="T600" s="193" t="str">
        <f t="shared" si="95"/>
        <v/>
      </c>
      <c r="U600" s="194" t="str">
        <f t="shared" si="96"/>
        <v/>
      </c>
      <c r="V600" s="195" t="str">
        <f t="shared" si="93"/>
        <v/>
      </c>
      <c r="W600" s="336" t="str">
        <f t="shared" si="97"/>
        <v/>
      </c>
      <c r="X600" s="338" t="str">
        <f t="shared" si="98"/>
        <v/>
      </c>
      <c r="Y600" s="274"/>
      <c r="AR600" t="str">
        <f t="shared" si="99"/>
        <v/>
      </c>
      <c r="AS600" t="str">
        <f t="shared" si="100"/>
        <v/>
      </c>
    </row>
    <row r="601" spans="1:45">
      <c r="A601" s="291"/>
      <c r="B601" s="292"/>
      <c r="C601" s="293"/>
      <c r="D601" s="293"/>
      <c r="E601" s="293"/>
      <c r="F601" s="293"/>
      <c r="G601" s="294"/>
      <c r="H601" s="300"/>
      <c r="I601" s="295"/>
      <c r="J601" s="295"/>
      <c r="K601" s="296"/>
      <c r="L601" s="301"/>
      <c r="M601" s="297"/>
      <c r="N601" s="298"/>
      <c r="P601" s="190" t="str">
        <f>IF(R601 = "", "", COUNT(R$4:$R601))</f>
        <v/>
      </c>
      <c r="Q601" s="190" t="str">
        <f t="shared" si="91"/>
        <v/>
      </c>
      <c r="R601" s="191" t="str">
        <f t="shared" si="92"/>
        <v/>
      </c>
      <c r="S601" s="192" t="str">
        <f t="shared" si="94"/>
        <v/>
      </c>
      <c r="T601" s="193" t="str">
        <f t="shared" si="95"/>
        <v/>
      </c>
      <c r="U601" s="194" t="str">
        <f t="shared" si="96"/>
        <v/>
      </c>
      <c r="V601" s="195" t="str">
        <f t="shared" si="93"/>
        <v/>
      </c>
      <c r="W601" s="336" t="str">
        <f t="shared" si="97"/>
        <v/>
      </c>
      <c r="X601" s="338" t="str">
        <f t="shared" si="98"/>
        <v/>
      </c>
      <c r="Y601" s="274"/>
      <c r="AR601" t="str">
        <f t="shared" si="99"/>
        <v/>
      </c>
      <c r="AS601" t="str">
        <f t="shared" si="100"/>
        <v/>
      </c>
    </row>
    <row r="602" spans="1:45">
      <c r="A602" s="291"/>
      <c r="B602" s="292"/>
      <c r="C602" s="293"/>
      <c r="D602" s="293"/>
      <c r="E602" s="293"/>
      <c r="F602" s="293"/>
      <c r="G602" s="294"/>
      <c r="H602" s="300"/>
      <c r="I602" s="295"/>
      <c r="J602" s="295"/>
      <c r="K602" s="296"/>
      <c r="L602" s="301"/>
      <c r="M602" s="297"/>
      <c r="N602" s="298"/>
      <c r="P602" s="190" t="str">
        <f>IF(R602 = "", "", COUNT(R$4:$R602))</f>
        <v/>
      </c>
      <c r="Q602" s="190" t="str">
        <f t="shared" si="91"/>
        <v/>
      </c>
      <c r="R602" s="191" t="str">
        <f t="shared" si="92"/>
        <v/>
      </c>
      <c r="S602" s="192" t="str">
        <f t="shared" si="94"/>
        <v/>
      </c>
      <c r="T602" s="193" t="str">
        <f t="shared" si="95"/>
        <v/>
      </c>
      <c r="U602" s="194" t="str">
        <f t="shared" si="96"/>
        <v/>
      </c>
      <c r="V602" s="195" t="str">
        <f t="shared" si="93"/>
        <v/>
      </c>
      <c r="W602" s="336" t="str">
        <f t="shared" si="97"/>
        <v/>
      </c>
      <c r="X602" s="338" t="str">
        <f t="shared" si="98"/>
        <v/>
      </c>
      <c r="Y602" s="274"/>
      <c r="AR602" t="str">
        <f t="shared" si="99"/>
        <v/>
      </c>
      <c r="AS602" t="str">
        <f t="shared" si="100"/>
        <v/>
      </c>
    </row>
    <row r="603" spans="1:45">
      <c r="A603" s="291"/>
      <c r="B603" s="292"/>
      <c r="C603" s="293"/>
      <c r="D603" s="293"/>
      <c r="E603" s="293"/>
      <c r="F603" s="293"/>
      <c r="G603" s="294"/>
      <c r="H603" s="300"/>
      <c r="I603" s="295"/>
      <c r="J603" s="295"/>
      <c r="K603" s="296"/>
      <c r="L603" s="301"/>
      <c r="M603" s="297"/>
      <c r="N603" s="298"/>
      <c r="P603" s="190" t="str">
        <f>IF(R603 = "", "", COUNT(R$4:$R603))</f>
        <v/>
      </c>
      <c r="Q603" s="190" t="str">
        <f t="shared" si="91"/>
        <v/>
      </c>
      <c r="R603" s="191" t="str">
        <f t="shared" si="92"/>
        <v/>
      </c>
      <c r="S603" s="192" t="str">
        <f t="shared" si="94"/>
        <v/>
      </c>
      <c r="T603" s="193" t="str">
        <f t="shared" si="95"/>
        <v/>
      </c>
      <c r="U603" s="194" t="str">
        <f t="shared" si="96"/>
        <v/>
      </c>
      <c r="V603" s="195" t="str">
        <f t="shared" si="93"/>
        <v/>
      </c>
      <c r="W603" s="336" t="str">
        <f t="shared" si="97"/>
        <v/>
      </c>
      <c r="X603" s="338" t="str">
        <f t="shared" si="98"/>
        <v/>
      </c>
      <c r="Y603" s="274"/>
      <c r="AR603" t="str">
        <f t="shared" si="99"/>
        <v/>
      </c>
      <c r="AS603" t="str">
        <f t="shared" si="100"/>
        <v/>
      </c>
    </row>
    <row r="604" spans="1:45">
      <c r="A604" s="291"/>
      <c r="B604" s="292"/>
      <c r="C604" s="293"/>
      <c r="D604" s="293"/>
      <c r="E604" s="293"/>
      <c r="F604" s="293"/>
      <c r="G604" s="294"/>
      <c r="H604" s="300"/>
      <c r="I604" s="295"/>
      <c r="J604" s="295"/>
      <c r="K604" s="296"/>
      <c r="L604" s="301"/>
      <c r="M604" s="297"/>
      <c r="N604" s="298"/>
      <c r="P604" s="190" t="str">
        <f>IF(R604 = "", "", COUNT(R$4:$R604))</f>
        <v/>
      </c>
      <c r="Q604" s="190" t="str">
        <f t="shared" si="91"/>
        <v/>
      </c>
      <c r="R604" s="191" t="str">
        <f t="shared" si="92"/>
        <v/>
      </c>
      <c r="S604" s="192" t="str">
        <f t="shared" si="94"/>
        <v/>
      </c>
      <c r="T604" s="193" t="str">
        <f t="shared" si="95"/>
        <v/>
      </c>
      <c r="U604" s="194" t="str">
        <f t="shared" si="96"/>
        <v/>
      </c>
      <c r="V604" s="195" t="str">
        <f t="shared" si="93"/>
        <v/>
      </c>
      <c r="W604" s="336" t="str">
        <f t="shared" si="97"/>
        <v/>
      </c>
      <c r="X604" s="338" t="str">
        <f t="shared" si="98"/>
        <v/>
      </c>
      <c r="Y604" s="274"/>
      <c r="AR604" t="str">
        <f t="shared" si="99"/>
        <v/>
      </c>
      <c r="AS604" t="str">
        <f t="shared" si="100"/>
        <v/>
      </c>
    </row>
    <row r="605" spans="1:45">
      <c r="A605" s="291"/>
      <c r="B605" s="292"/>
      <c r="C605" s="293"/>
      <c r="D605" s="293"/>
      <c r="E605" s="293"/>
      <c r="F605" s="293"/>
      <c r="G605" s="294"/>
      <c r="H605" s="300"/>
      <c r="I605" s="295"/>
      <c r="J605" s="295"/>
      <c r="K605" s="296"/>
      <c r="L605" s="301"/>
      <c r="M605" s="297"/>
      <c r="N605" s="298"/>
      <c r="P605" s="190" t="str">
        <f>IF(R605 = "", "", COUNT(R$4:$R605))</f>
        <v/>
      </c>
      <c r="Q605" s="190" t="str">
        <f t="shared" si="91"/>
        <v/>
      </c>
      <c r="R605" s="191" t="str">
        <f t="shared" si="92"/>
        <v/>
      </c>
      <c r="S605" s="192" t="str">
        <f t="shared" si="94"/>
        <v/>
      </c>
      <c r="T605" s="193" t="str">
        <f t="shared" si="95"/>
        <v/>
      </c>
      <c r="U605" s="194" t="str">
        <f t="shared" si="96"/>
        <v/>
      </c>
      <c r="V605" s="195" t="str">
        <f t="shared" si="93"/>
        <v/>
      </c>
      <c r="W605" s="336" t="str">
        <f t="shared" si="97"/>
        <v/>
      </c>
      <c r="X605" s="338" t="str">
        <f t="shared" si="98"/>
        <v/>
      </c>
      <c r="Y605" s="274"/>
      <c r="AR605" t="str">
        <f t="shared" si="99"/>
        <v/>
      </c>
      <c r="AS605" t="str">
        <f t="shared" si="100"/>
        <v/>
      </c>
    </row>
    <row r="606" spans="1:45">
      <c r="A606" s="291"/>
      <c r="B606" s="292"/>
      <c r="C606" s="293"/>
      <c r="D606" s="293"/>
      <c r="E606" s="293"/>
      <c r="F606" s="293"/>
      <c r="G606" s="294"/>
      <c r="H606" s="300"/>
      <c r="I606" s="295"/>
      <c r="J606" s="295"/>
      <c r="K606" s="296"/>
      <c r="L606" s="301"/>
      <c r="M606" s="297"/>
      <c r="N606" s="298"/>
      <c r="P606" s="190" t="str">
        <f>IF(R606 = "", "", COUNT(R$4:$R606))</f>
        <v/>
      </c>
      <c r="Q606" s="190" t="str">
        <f t="shared" si="91"/>
        <v/>
      </c>
      <c r="R606" s="191" t="str">
        <f t="shared" si="92"/>
        <v/>
      </c>
      <c r="S606" s="192" t="str">
        <f t="shared" si="94"/>
        <v/>
      </c>
      <c r="T606" s="193" t="str">
        <f t="shared" si="95"/>
        <v/>
      </c>
      <c r="U606" s="194" t="str">
        <f t="shared" si="96"/>
        <v/>
      </c>
      <c r="V606" s="195" t="str">
        <f t="shared" si="93"/>
        <v/>
      </c>
      <c r="W606" s="336" t="str">
        <f t="shared" si="97"/>
        <v/>
      </c>
      <c r="X606" s="338" t="str">
        <f t="shared" si="98"/>
        <v/>
      </c>
      <c r="Y606" s="274"/>
      <c r="AR606" t="str">
        <f t="shared" si="99"/>
        <v/>
      </c>
      <c r="AS606" t="str">
        <f t="shared" si="100"/>
        <v/>
      </c>
    </row>
    <row r="607" spans="1:45">
      <c r="A607" s="291"/>
      <c r="B607" s="292"/>
      <c r="C607" s="293"/>
      <c r="D607" s="293"/>
      <c r="E607" s="293"/>
      <c r="F607" s="293"/>
      <c r="G607" s="294"/>
      <c r="H607" s="300"/>
      <c r="I607" s="295"/>
      <c r="J607" s="295"/>
      <c r="K607" s="296"/>
      <c r="L607" s="301"/>
      <c r="M607" s="297"/>
      <c r="N607" s="298"/>
      <c r="P607" s="190" t="str">
        <f>IF(R607 = "", "", COUNT(R$4:$R607))</f>
        <v/>
      </c>
      <c r="Q607" s="190" t="str">
        <f t="shared" si="91"/>
        <v/>
      </c>
      <c r="R607" s="191" t="str">
        <f t="shared" si="92"/>
        <v/>
      </c>
      <c r="S607" s="192" t="str">
        <f t="shared" si="94"/>
        <v/>
      </c>
      <c r="T607" s="193" t="str">
        <f t="shared" si="95"/>
        <v/>
      </c>
      <c r="U607" s="194" t="str">
        <f t="shared" si="96"/>
        <v/>
      </c>
      <c r="V607" s="195" t="str">
        <f t="shared" si="93"/>
        <v/>
      </c>
      <c r="W607" s="336" t="str">
        <f t="shared" si="97"/>
        <v/>
      </c>
      <c r="X607" s="338" t="str">
        <f t="shared" si="98"/>
        <v/>
      </c>
      <c r="Y607" s="274"/>
      <c r="AR607" t="str">
        <f t="shared" si="99"/>
        <v/>
      </c>
      <c r="AS607" t="str">
        <f t="shared" si="100"/>
        <v/>
      </c>
    </row>
    <row r="608" spans="1:45">
      <c r="A608" s="291"/>
      <c r="B608" s="292"/>
      <c r="C608" s="293"/>
      <c r="D608" s="293"/>
      <c r="E608" s="293"/>
      <c r="F608" s="293"/>
      <c r="G608" s="294"/>
      <c r="H608" s="300"/>
      <c r="I608" s="295"/>
      <c r="J608" s="295"/>
      <c r="K608" s="296"/>
      <c r="L608" s="301"/>
      <c r="M608" s="297"/>
      <c r="N608" s="298"/>
      <c r="P608" s="190" t="str">
        <f>IF(R608 = "", "", COUNT(R$4:$R608))</f>
        <v/>
      </c>
      <c r="Q608" s="190" t="str">
        <f t="shared" si="91"/>
        <v/>
      </c>
      <c r="R608" s="191" t="str">
        <f t="shared" si="92"/>
        <v/>
      </c>
      <c r="S608" s="192" t="str">
        <f t="shared" si="94"/>
        <v/>
      </c>
      <c r="T608" s="193" t="str">
        <f t="shared" si="95"/>
        <v/>
      </c>
      <c r="U608" s="194" t="str">
        <f t="shared" si="96"/>
        <v/>
      </c>
      <c r="V608" s="195" t="str">
        <f t="shared" si="93"/>
        <v/>
      </c>
      <c r="W608" s="336" t="str">
        <f t="shared" si="97"/>
        <v/>
      </c>
      <c r="X608" s="338" t="str">
        <f t="shared" si="98"/>
        <v/>
      </c>
      <c r="Y608" s="274"/>
      <c r="AR608" t="str">
        <f t="shared" si="99"/>
        <v/>
      </c>
      <c r="AS608" t="str">
        <f t="shared" si="100"/>
        <v/>
      </c>
    </row>
    <row r="609" spans="1:45">
      <c r="A609" s="291"/>
      <c r="B609" s="292"/>
      <c r="C609" s="293"/>
      <c r="D609" s="293"/>
      <c r="E609" s="293"/>
      <c r="F609" s="293"/>
      <c r="G609" s="294"/>
      <c r="H609" s="300"/>
      <c r="I609" s="295"/>
      <c r="J609" s="295"/>
      <c r="K609" s="296"/>
      <c r="L609" s="301"/>
      <c r="M609" s="297"/>
      <c r="N609" s="298"/>
      <c r="P609" s="190" t="str">
        <f>IF(R609 = "", "", COUNT(R$4:$R609))</f>
        <v/>
      </c>
      <c r="Q609" s="190" t="str">
        <f t="shared" si="91"/>
        <v/>
      </c>
      <c r="R609" s="191" t="str">
        <f t="shared" si="92"/>
        <v/>
      </c>
      <c r="S609" s="192" t="str">
        <f t="shared" si="94"/>
        <v/>
      </c>
      <c r="T609" s="193" t="str">
        <f t="shared" si="95"/>
        <v/>
      </c>
      <c r="U609" s="194" t="str">
        <f t="shared" si="96"/>
        <v/>
      </c>
      <c r="V609" s="195" t="str">
        <f t="shared" si="93"/>
        <v/>
      </c>
      <c r="W609" s="336" t="str">
        <f t="shared" si="97"/>
        <v/>
      </c>
      <c r="X609" s="338" t="str">
        <f t="shared" si="98"/>
        <v/>
      </c>
      <c r="Y609" s="274"/>
      <c r="AR609" t="str">
        <f t="shared" si="99"/>
        <v/>
      </c>
      <c r="AS609" t="str">
        <f t="shared" si="100"/>
        <v/>
      </c>
    </row>
    <row r="610" spans="1:45">
      <c r="A610" s="291"/>
      <c r="B610" s="292"/>
      <c r="C610" s="293"/>
      <c r="D610" s="293"/>
      <c r="E610" s="293"/>
      <c r="F610" s="293"/>
      <c r="G610" s="294"/>
      <c r="H610" s="300"/>
      <c r="I610" s="295"/>
      <c r="J610" s="295"/>
      <c r="K610" s="296"/>
      <c r="L610" s="301"/>
      <c r="M610" s="297"/>
      <c r="N610" s="298"/>
      <c r="P610" s="190" t="str">
        <f>IF(R610 = "", "", COUNT(R$4:$R610))</f>
        <v/>
      </c>
      <c r="Q610" s="190" t="str">
        <f t="shared" si="91"/>
        <v/>
      </c>
      <c r="R610" s="191" t="str">
        <f t="shared" si="92"/>
        <v/>
      </c>
      <c r="S610" s="192" t="str">
        <f t="shared" si="94"/>
        <v/>
      </c>
      <c r="T610" s="193" t="str">
        <f t="shared" si="95"/>
        <v/>
      </c>
      <c r="U610" s="194" t="str">
        <f t="shared" si="96"/>
        <v/>
      </c>
      <c r="V610" s="195" t="str">
        <f t="shared" si="93"/>
        <v/>
      </c>
      <c r="W610" s="336" t="str">
        <f t="shared" si="97"/>
        <v/>
      </c>
      <c r="X610" s="338" t="str">
        <f t="shared" si="98"/>
        <v/>
      </c>
      <c r="Y610" s="274"/>
      <c r="AR610" t="str">
        <f t="shared" si="99"/>
        <v/>
      </c>
      <c r="AS610" t="str">
        <f t="shared" si="100"/>
        <v/>
      </c>
    </row>
    <row r="611" spans="1:45">
      <c r="A611" s="291"/>
      <c r="B611" s="292"/>
      <c r="C611" s="293"/>
      <c r="D611" s="293"/>
      <c r="E611" s="293"/>
      <c r="F611" s="293"/>
      <c r="G611" s="294"/>
      <c r="H611" s="300"/>
      <c r="I611" s="295"/>
      <c r="J611" s="295"/>
      <c r="K611" s="296"/>
      <c r="L611" s="301"/>
      <c r="M611" s="297"/>
      <c r="N611" s="298"/>
      <c r="P611" s="190" t="str">
        <f>IF(R611 = "", "", COUNT(R$4:$R611))</f>
        <v/>
      </c>
      <c r="Q611" s="190" t="str">
        <f t="shared" si="91"/>
        <v/>
      </c>
      <c r="R611" s="191" t="str">
        <f t="shared" si="92"/>
        <v/>
      </c>
      <c r="S611" s="192" t="str">
        <f t="shared" si="94"/>
        <v/>
      </c>
      <c r="T611" s="193" t="str">
        <f t="shared" si="95"/>
        <v/>
      </c>
      <c r="U611" s="194" t="str">
        <f t="shared" si="96"/>
        <v/>
      </c>
      <c r="V611" s="195" t="str">
        <f t="shared" si="93"/>
        <v/>
      </c>
      <c r="W611" s="336" t="str">
        <f t="shared" si="97"/>
        <v/>
      </c>
      <c r="X611" s="338" t="str">
        <f t="shared" si="98"/>
        <v/>
      </c>
      <c r="Y611" s="274"/>
      <c r="AR611" t="str">
        <f t="shared" si="99"/>
        <v/>
      </c>
      <c r="AS611" t="str">
        <f t="shared" si="100"/>
        <v/>
      </c>
    </row>
    <row r="612" spans="1:45">
      <c r="A612" s="291"/>
      <c r="B612" s="292"/>
      <c r="C612" s="293"/>
      <c r="D612" s="293"/>
      <c r="E612" s="293"/>
      <c r="F612" s="293"/>
      <c r="G612" s="294"/>
      <c r="H612" s="300"/>
      <c r="I612" s="295"/>
      <c r="J612" s="295"/>
      <c r="K612" s="296"/>
      <c r="L612" s="301"/>
      <c r="M612" s="297"/>
      <c r="N612" s="298"/>
      <c r="P612" s="190" t="str">
        <f>IF(R612 = "", "", COUNT(R$4:$R612))</f>
        <v/>
      </c>
      <c r="Q612" s="190" t="str">
        <f t="shared" si="91"/>
        <v/>
      </c>
      <c r="R612" s="191" t="str">
        <f t="shared" si="92"/>
        <v/>
      </c>
      <c r="S612" s="192" t="str">
        <f t="shared" si="94"/>
        <v/>
      </c>
      <c r="T612" s="193" t="str">
        <f t="shared" si="95"/>
        <v/>
      </c>
      <c r="U612" s="194" t="str">
        <f t="shared" si="96"/>
        <v/>
      </c>
      <c r="V612" s="195" t="str">
        <f t="shared" si="93"/>
        <v/>
      </c>
      <c r="W612" s="336" t="str">
        <f t="shared" si="97"/>
        <v/>
      </c>
      <c r="X612" s="338" t="str">
        <f t="shared" si="98"/>
        <v/>
      </c>
      <c r="Y612" s="274"/>
      <c r="AR612" t="str">
        <f t="shared" si="99"/>
        <v/>
      </c>
      <c r="AS612" t="str">
        <f t="shared" si="100"/>
        <v/>
      </c>
    </row>
    <row r="613" spans="1:45">
      <c r="A613" s="291"/>
      <c r="B613" s="292"/>
      <c r="C613" s="293"/>
      <c r="D613" s="293"/>
      <c r="E613" s="293"/>
      <c r="F613" s="293"/>
      <c r="G613" s="294"/>
      <c r="H613" s="300"/>
      <c r="I613" s="295"/>
      <c r="J613" s="295"/>
      <c r="K613" s="296"/>
      <c r="L613" s="301"/>
      <c r="M613" s="297"/>
      <c r="N613" s="298"/>
      <c r="P613" s="190" t="str">
        <f>IF(R613 = "", "", COUNT(R$4:$R613))</f>
        <v/>
      </c>
      <c r="Q613" s="190" t="str">
        <f t="shared" si="91"/>
        <v/>
      </c>
      <c r="R613" s="191" t="str">
        <f t="shared" si="92"/>
        <v/>
      </c>
      <c r="S613" s="192" t="str">
        <f t="shared" si="94"/>
        <v/>
      </c>
      <c r="T613" s="193" t="str">
        <f t="shared" si="95"/>
        <v/>
      </c>
      <c r="U613" s="194" t="str">
        <f t="shared" si="96"/>
        <v/>
      </c>
      <c r="V613" s="195" t="str">
        <f t="shared" si="93"/>
        <v/>
      </c>
      <c r="W613" s="336" t="str">
        <f t="shared" si="97"/>
        <v/>
      </c>
      <c r="X613" s="338" t="str">
        <f t="shared" si="98"/>
        <v/>
      </c>
      <c r="Y613" s="274"/>
      <c r="AR613" t="str">
        <f t="shared" si="99"/>
        <v/>
      </c>
      <c r="AS613" t="str">
        <f t="shared" si="100"/>
        <v/>
      </c>
    </row>
    <row r="614" spans="1:45">
      <c r="A614" s="291"/>
      <c r="B614" s="292"/>
      <c r="C614" s="293"/>
      <c r="D614" s="293"/>
      <c r="E614" s="293"/>
      <c r="F614" s="293"/>
      <c r="G614" s="294"/>
      <c r="H614" s="300"/>
      <c r="I614" s="295"/>
      <c r="J614" s="295"/>
      <c r="K614" s="296"/>
      <c r="L614" s="301"/>
      <c r="M614" s="297"/>
      <c r="N614" s="298"/>
      <c r="P614" s="190" t="str">
        <f>IF(R614 = "", "", COUNT(R$4:$R614))</f>
        <v/>
      </c>
      <c r="Q614" s="190" t="str">
        <f t="shared" si="91"/>
        <v/>
      </c>
      <c r="R614" s="191" t="str">
        <f t="shared" si="92"/>
        <v/>
      </c>
      <c r="S614" s="192" t="str">
        <f t="shared" si="94"/>
        <v/>
      </c>
      <c r="T614" s="193" t="str">
        <f t="shared" si="95"/>
        <v/>
      </c>
      <c r="U614" s="194" t="str">
        <f t="shared" si="96"/>
        <v/>
      </c>
      <c r="V614" s="195" t="str">
        <f t="shared" si="93"/>
        <v/>
      </c>
      <c r="W614" s="336" t="str">
        <f t="shared" si="97"/>
        <v/>
      </c>
      <c r="X614" s="338" t="str">
        <f t="shared" si="98"/>
        <v/>
      </c>
      <c r="Y614" s="274"/>
      <c r="AR614" t="str">
        <f t="shared" si="99"/>
        <v/>
      </c>
      <c r="AS614" t="str">
        <f t="shared" si="100"/>
        <v/>
      </c>
    </row>
    <row r="615" spans="1:45">
      <c r="A615" s="291"/>
      <c r="B615" s="292"/>
      <c r="C615" s="293"/>
      <c r="D615" s="293"/>
      <c r="E615" s="293"/>
      <c r="F615" s="293"/>
      <c r="G615" s="294"/>
      <c r="H615" s="300"/>
      <c r="I615" s="295"/>
      <c r="J615" s="295"/>
      <c r="K615" s="296"/>
      <c r="L615" s="301"/>
      <c r="M615" s="297"/>
      <c r="N615" s="298"/>
      <c r="P615" s="190" t="str">
        <f>IF(R615 = "", "", COUNT(R$4:$R615))</f>
        <v/>
      </c>
      <c r="Q615" s="190" t="str">
        <f t="shared" si="91"/>
        <v/>
      </c>
      <c r="R615" s="191" t="str">
        <f t="shared" si="92"/>
        <v/>
      </c>
      <c r="S615" s="192" t="str">
        <f t="shared" si="94"/>
        <v/>
      </c>
      <c r="T615" s="193" t="str">
        <f t="shared" si="95"/>
        <v/>
      </c>
      <c r="U615" s="194" t="str">
        <f t="shared" si="96"/>
        <v/>
      </c>
      <c r="V615" s="195" t="str">
        <f t="shared" si="93"/>
        <v/>
      </c>
      <c r="W615" s="336" t="str">
        <f t="shared" si="97"/>
        <v/>
      </c>
      <c r="X615" s="338" t="str">
        <f t="shared" si="98"/>
        <v/>
      </c>
      <c r="Y615" s="274"/>
      <c r="AR615" t="str">
        <f t="shared" si="99"/>
        <v/>
      </c>
      <c r="AS615" t="str">
        <f t="shared" si="100"/>
        <v/>
      </c>
    </row>
    <row r="616" spans="1:45">
      <c r="A616" s="291"/>
      <c r="B616" s="292"/>
      <c r="C616" s="293"/>
      <c r="D616" s="293"/>
      <c r="E616" s="293"/>
      <c r="F616" s="293"/>
      <c r="G616" s="294"/>
      <c r="H616" s="300"/>
      <c r="I616" s="295"/>
      <c r="J616" s="295"/>
      <c r="K616" s="296"/>
      <c r="L616" s="301"/>
      <c r="M616" s="297"/>
      <c r="N616" s="298"/>
      <c r="P616" s="190" t="str">
        <f>IF(R616 = "", "", COUNT(R$4:$R616))</f>
        <v/>
      </c>
      <c r="Q616" s="190" t="str">
        <f t="shared" si="91"/>
        <v/>
      </c>
      <c r="R616" s="191" t="str">
        <f t="shared" si="92"/>
        <v/>
      </c>
      <c r="S616" s="192" t="str">
        <f t="shared" si="94"/>
        <v/>
      </c>
      <c r="T616" s="193" t="str">
        <f t="shared" si="95"/>
        <v/>
      </c>
      <c r="U616" s="194" t="str">
        <f t="shared" si="96"/>
        <v/>
      </c>
      <c r="V616" s="195" t="str">
        <f t="shared" si="93"/>
        <v/>
      </c>
      <c r="W616" s="336" t="str">
        <f t="shared" si="97"/>
        <v/>
      </c>
      <c r="X616" s="338" t="str">
        <f t="shared" si="98"/>
        <v/>
      </c>
      <c r="Y616" s="274"/>
      <c r="AR616" t="str">
        <f t="shared" si="99"/>
        <v/>
      </c>
      <c r="AS616" t="str">
        <f t="shared" si="100"/>
        <v/>
      </c>
    </row>
    <row r="617" spans="1:45">
      <c r="A617" s="291"/>
      <c r="B617" s="292"/>
      <c r="C617" s="293"/>
      <c r="D617" s="293"/>
      <c r="E617" s="293"/>
      <c r="F617" s="293"/>
      <c r="G617" s="294"/>
      <c r="H617" s="300"/>
      <c r="I617" s="295"/>
      <c r="J617" s="295"/>
      <c r="K617" s="296"/>
      <c r="L617" s="301"/>
      <c r="M617" s="297"/>
      <c r="N617" s="298"/>
      <c r="P617" s="190" t="str">
        <f>IF(R617 = "", "", COUNT(R$4:$R617))</f>
        <v/>
      </c>
      <c r="Q617" s="190" t="str">
        <f t="shared" si="91"/>
        <v/>
      </c>
      <c r="R617" s="191" t="str">
        <f t="shared" si="92"/>
        <v/>
      </c>
      <c r="S617" s="192" t="str">
        <f t="shared" si="94"/>
        <v/>
      </c>
      <c r="T617" s="193" t="str">
        <f t="shared" si="95"/>
        <v/>
      </c>
      <c r="U617" s="194" t="str">
        <f t="shared" si="96"/>
        <v/>
      </c>
      <c r="V617" s="195" t="str">
        <f t="shared" si="93"/>
        <v/>
      </c>
      <c r="W617" s="336" t="str">
        <f t="shared" si="97"/>
        <v/>
      </c>
      <c r="X617" s="338" t="str">
        <f t="shared" si="98"/>
        <v/>
      </c>
      <c r="Y617" s="274"/>
      <c r="AR617" t="str">
        <f t="shared" si="99"/>
        <v/>
      </c>
      <c r="AS617" t="str">
        <f t="shared" si="100"/>
        <v/>
      </c>
    </row>
    <row r="618" spans="1:45">
      <c r="A618" s="291"/>
      <c r="B618" s="292"/>
      <c r="C618" s="293"/>
      <c r="D618" s="293"/>
      <c r="E618" s="293"/>
      <c r="F618" s="293"/>
      <c r="G618" s="294"/>
      <c r="H618" s="300"/>
      <c r="I618" s="295"/>
      <c r="J618" s="295"/>
      <c r="K618" s="296"/>
      <c r="L618" s="301"/>
      <c r="M618" s="297"/>
      <c r="N618" s="298"/>
      <c r="P618" s="190" t="str">
        <f>IF(R618 = "", "", COUNT(R$4:$R618))</f>
        <v/>
      </c>
      <c r="Q618" s="190" t="str">
        <f t="shared" si="91"/>
        <v/>
      </c>
      <c r="R618" s="191" t="str">
        <f t="shared" si="92"/>
        <v/>
      </c>
      <c r="S618" s="192" t="str">
        <f t="shared" si="94"/>
        <v/>
      </c>
      <c r="T618" s="193" t="str">
        <f t="shared" si="95"/>
        <v/>
      </c>
      <c r="U618" s="194" t="str">
        <f t="shared" si="96"/>
        <v/>
      </c>
      <c r="V618" s="195" t="str">
        <f t="shared" si="93"/>
        <v/>
      </c>
      <c r="W618" s="336" t="str">
        <f t="shared" si="97"/>
        <v/>
      </c>
      <c r="X618" s="338" t="str">
        <f t="shared" si="98"/>
        <v/>
      </c>
      <c r="Y618" s="274"/>
      <c r="AR618" t="str">
        <f t="shared" si="99"/>
        <v/>
      </c>
      <c r="AS618" t="str">
        <f t="shared" si="100"/>
        <v/>
      </c>
    </row>
    <row r="619" spans="1:45">
      <c r="A619" s="291"/>
      <c r="B619" s="292"/>
      <c r="C619" s="293"/>
      <c r="D619" s="293"/>
      <c r="E619" s="293"/>
      <c r="F619" s="293"/>
      <c r="G619" s="294"/>
      <c r="H619" s="300"/>
      <c r="I619" s="295"/>
      <c r="J619" s="295"/>
      <c r="K619" s="296"/>
      <c r="L619" s="301"/>
      <c r="M619" s="297"/>
      <c r="N619" s="298"/>
      <c r="P619" s="190" t="str">
        <f>IF(R619 = "", "", COUNT(R$4:$R619))</f>
        <v/>
      </c>
      <c r="Q619" s="190" t="str">
        <f t="shared" si="91"/>
        <v/>
      </c>
      <c r="R619" s="191" t="str">
        <f t="shared" si="92"/>
        <v/>
      </c>
      <c r="S619" s="192" t="str">
        <f t="shared" si="94"/>
        <v/>
      </c>
      <c r="T619" s="193" t="str">
        <f t="shared" si="95"/>
        <v/>
      </c>
      <c r="U619" s="194" t="str">
        <f t="shared" si="96"/>
        <v/>
      </c>
      <c r="V619" s="195" t="str">
        <f t="shared" si="93"/>
        <v/>
      </c>
      <c r="W619" s="336" t="str">
        <f t="shared" si="97"/>
        <v/>
      </c>
      <c r="X619" s="338" t="str">
        <f t="shared" si="98"/>
        <v/>
      </c>
      <c r="Y619" s="274"/>
      <c r="AR619" t="str">
        <f t="shared" si="99"/>
        <v/>
      </c>
      <c r="AS619" t="str">
        <f t="shared" si="100"/>
        <v/>
      </c>
    </row>
    <row r="620" spans="1:45">
      <c r="A620" s="291"/>
      <c r="B620" s="292"/>
      <c r="C620" s="293"/>
      <c r="D620" s="293"/>
      <c r="E620" s="293"/>
      <c r="F620" s="293"/>
      <c r="G620" s="294"/>
      <c r="H620" s="300"/>
      <c r="I620" s="295"/>
      <c r="J620" s="295"/>
      <c r="K620" s="296"/>
      <c r="L620" s="301"/>
      <c r="M620" s="297"/>
      <c r="N620" s="298"/>
      <c r="P620" s="190" t="str">
        <f>IF(R620 = "", "", COUNT(R$4:$R620))</f>
        <v/>
      </c>
      <c r="Q620" s="190" t="str">
        <f t="shared" si="91"/>
        <v/>
      </c>
      <c r="R620" s="191" t="str">
        <f t="shared" si="92"/>
        <v/>
      </c>
      <c r="S620" s="192" t="str">
        <f t="shared" si="94"/>
        <v/>
      </c>
      <c r="T620" s="193" t="str">
        <f t="shared" si="95"/>
        <v/>
      </c>
      <c r="U620" s="194" t="str">
        <f t="shared" si="96"/>
        <v/>
      </c>
      <c r="V620" s="195" t="str">
        <f t="shared" si="93"/>
        <v/>
      </c>
      <c r="W620" s="336" t="str">
        <f t="shared" si="97"/>
        <v/>
      </c>
      <c r="X620" s="338" t="str">
        <f t="shared" si="98"/>
        <v/>
      </c>
      <c r="Y620" s="274"/>
      <c r="AR620" t="str">
        <f t="shared" si="99"/>
        <v/>
      </c>
      <c r="AS620" t="str">
        <f t="shared" si="100"/>
        <v/>
      </c>
    </row>
    <row r="621" spans="1:45">
      <c r="A621" s="291"/>
      <c r="B621" s="292"/>
      <c r="C621" s="293"/>
      <c r="D621" s="293"/>
      <c r="E621" s="293"/>
      <c r="F621" s="293"/>
      <c r="G621" s="294"/>
      <c r="H621" s="300"/>
      <c r="I621" s="295"/>
      <c r="J621" s="295"/>
      <c r="K621" s="296"/>
      <c r="L621" s="301"/>
      <c r="M621" s="297"/>
      <c r="N621" s="298"/>
      <c r="P621" s="190" t="str">
        <f>IF(R621 = "", "", COUNT(R$4:$R621))</f>
        <v/>
      </c>
      <c r="Q621" s="190" t="str">
        <f t="shared" si="91"/>
        <v/>
      </c>
      <c r="R621" s="191" t="str">
        <f t="shared" si="92"/>
        <v/>
      </c>
      <c r="S621" s="192" t="str">
        <f t="shared" si="94"/>
        <v/>
      </c>
      <c r="T621" s="193" t="str">
        <f t="shared" si="95"/>
        <v/>
      </c>
      <c r="U621" s="194" t="str">
        <f t="shared" si="96"/>
        <v/>
      </c>
      <c r="V621" s="195" t="str">
        <f t="shared" si="93"/>
        <v/>
      </c>
      <c r="W621" s="336" t="str">
        <f t="shared" si="97"/>
        <v/>
      </c>
      <c r="X621" s="338" t="str">
        <f t="shared" si="98"/>
        <v/>
      </c>
      <c r="Y621" s="274"/>
      <c r="AR621" t="str">
        <f t="shared" si="99"/>
        <v/>
      </c>
      <c r="AS621" t="str">
        <f t="shared" si="100"/>
        <v/>
      </c>
    </row>
    <row r="622" spans="1:45">
      <c r="A622" s="291"/>
      <c r="B622" s="292"/>
      <c r="C622" s="293"/>
      <c r="D622" s="293"/>
      <c r="E622" s="293"/>
      <c r="F622" s="293"/>
      <c r="G622" s="294"/>
      <c r="H622" s="300"/>
      <c r="I622" s="295"/>
      <c r="J622" s="295"/>
      <c r="K622" s="296"/>
      <c r="L622" s="301"/>
      <c r="M622" s="297"/>
      <c r="N622" s="298"/>
      <c r="P622" s="190" t="str">
        <f>IF(R622 = "", "", COUNT(R$4:$R622))</f>
        <v/>
      </c>
      <c r="Q622" s="190" t="str">
        <f t="shared" si="91"/>
        <v/>
      </c>
      <c r="R622" s="191" t="str">
        <f t="shared" si="92"/>
        <v/>
      </c>
      <c r="S622" s="192" t="str">
        <f t="shared" si="94"/>
        <v/>
      </c>
      <c r="T622" s="193" t="str">
        <f t="shared" si="95"/>
        <v/>
      </c>
      <c r="U622" s="194" t="str">
        <f t="shared" si="96"/>
        <v/>
      </c>
      <c r="V622" s="195" t="str">
        <f t="shared" si="93"/>
        <v/>
      </c>
      <c r="W622" s="336" t="str">
        <f t="shared" si="97"/>
        <v/>
      </c>
      <c r="X622" s="338" t="str">
        <f t="shared" si="98"/>
        <v/>
      </c>
      <c r="Y622" s="274"/>
      <c r="AR622" t="str">
        <f t="shared" si="99"/>
        <v/>
      </c>
      <c r="AS622" t="str">
        <f t="shared" si="100"/>
        <v/>
      </c>
    </row>
    <row r="623" spans="1:45">
      <c r="A623" s="291"/>
      <c r="B623" s="292"/>
      <c r="C623" s="293"/>
      <c r="D623" s="293"/>
      <c r="E623" s="293"/>
      <c r="F623" s="293"/>
      <c r="G623" s="294"/>
      <c r="H623" s="300"/>
      <c r="I623" s="295"/>
      <c r="J623" s="295"/>
      <c r="K623" s="296"/>
      <c r="L623" s="301"/>
      <c r="M623" s="297"/>
      <c r="N623" s="298"/>
      <c r="P623" s="190" t="str">
        <f>IF(R623 = "", "", COUNT(R$4:$R623))</f>
        <v/>
      </c>
      <c r="Q623" s="190" t="str">
        <f t="shared" si="91"/>
        <v/>
      </c>
      <c r="R623" s="191" t="str">
        <f t="shared" si="92"/>
        <v/>
      </c>
      <c r="S623" s="192" t="str">
        <f t="shared" si="94"/>
        <v/>
      </c>
      <c r="T623" s="193" t="str">
        <f t="shared" si="95"/>
        <v/>
      </c>
      <c r="U623" s="194" t="str">
        <f t="shared" si="96"/>
        <v/>
      </c>
      <c r="V623" s="195" t="str">
        <f t="shared" si="93"/>
        <v/>
      </c>
      <c r="W623" s="336" t="str">
        <f t="shared" si="97"/>
        <v/>
      </c>
      <c r="X623" s="338" t="str">
        <f t="shared" si="98"/>
        <v/>
      </c>
      <c r="Y623" s="274"/>
      <c r="AR623" t="str">
        <f t="shared" si="99"/>
        <v/>
      </c>
      <c r="AS623" t="str">
        <f t="shared" si="100"/>
        <v/>
      </c>
    </row>
    <row r="624" spans="1:45">
      <c r="A624" s="291"/>
      <c r="B624" s="292"/>
      <c r="C624" s="293"/>
      <c r="D624" s="293"/>
      <c r="E624" s="293"/>
      <c r="F624" s="293"/>
      <c r="G624" s="294"/>
      <c r="H624" s="300"/>
      <c r="I624" s="295"/>
      <c r="J624" s="295"/>
      <c r="K624" s="296"/>
      <c r="L624" s="301"/>
      <c r="M624" s="297"/>
      <c r="N624" s="298"/>
      <c r="P624" s="190" t="str">
        <f>IF(R624 = "", "", COUNT(R$4:$R624))</f>
        <v/>
      </c>
      <c r="Q624" s="190" t="str">
        <f t="shared" si="91"/>
        <v/>
      </c>
      <c r="R624" s="191" t="str">
        <f t="shared" si="92"/>
        <v/>
      </c>
      <c r="S624" s="192" t="str">
        <f t="shared" si="94"/>
        <v/>
      </c>
      <c r="T624" s="193" t="str">
        <f t="shared" si="95"/>
        <v/>
      </c>
      <c r="U624" s="194" t="str">
        <f t="shared" si="96"/>
        <v/>
      </c>
      <c r="V624" s="195" t="str">
        <f t="shared" si="93"/>
        <v/>
      </c>
      <c r="W624" s="336" t="str">
        <f t="shared" si="97"/>
        <v/>
      </c>
      <c r="X624" s="338" t="str">
        <f t="shared" si="98"/>
        <v/>
      </c>
      <c r="Y624" s="274"/>
      <c r="AR624" t="str">
        <f t="shared" si="99"/>
        <v/>
      </c>
      <c r="AS624" t="str">
        <f t="shared" si="100"/>
        <v/>
      </c>
    </row>
    <row r="625" spans="1:45">
      <c r="A625" s="291"/>
      <c r="B625" s="292"/>
      <c r="C625" s="293"/>
      <c r="D625" s="293"/>
      <c r="E625" s="293"/>
      <c r="F625" s="293"/>
      <c r="G625" s="294"/>
      <c r="H625" s="300"/>
      <c r="I625" s="295"/>
      <c r="J625" s="295"/>
      <c r="K625" s="296"/>
      <c r="L625" s="301"/>
      <c r="M625" s="297"/>
      <c r="N625" s="298"/>
      <c r="P625" s="190" t="str">
        <f>IF(R625 = "", "", COUNT(R$4:$R625))</f>
        <v/>
      </c>
      <c r="Q625" s="190" t="str">
        <f t="shared" si="91"/>
        <v/>
      </c>
      <c r="R625" s="191" t="str">
        <f t="shared" si="92"/>
        <v/>
      </c>
      <c r="S625" s="192" t="str">
        <f t="shared" si="94"/>
        <v/>
      </c>
      <c r="T625" s="193" t="str">
        <f t="shared" si="95"/>
        <v/>
      </c>
      <c r="U625" s="194" t="str">
        <f t="shared" si="96"/>
        <v/>
      </c>
      <c r="V625" s="195" t="str">
        <f t="shared" si="93"/>
        <v/>
      </c>
      <c r="W625" s="336" t="str">
        <f t="shared" si="97"/>
        <v/>
      </c>
      <c r="X625" s="338" t="str">
        <f t="shared" si="98"/>
        <v/>
      </c>
      <c r="Y625" s="274"/>
      <c r="AR625" t="str">
        <f t="shared" si="99"/>
        <v/>
      </c>
      <c r="AS625" t="str">
        <f t="shared" si="100"/>
        <v/>
      </c>
    </row>
    <row r="626" spans="1:45">
      <c r="A626" s="291"/>
      <c r="B626" s="292"/>
      <c r="C626" s="293"/>
      <c r="D626" s="293"/>
      <c r="E626" s="293"/>
      <c r="F626" s="293"/>
      <c r="G626" s="294"/>
      <c r="H626" s="300"/>
      <c r="I626" s="295"/>
      <c r="J626" s="295"/>
      <c r="K626" s="296"/>
      <c r="L626" s="301"/>
      <c r="M626" s="297"/>
      <c r="N626" s="298"/>
      <c r="P626" s="190" t="str">
        <f>IF(R626 = "", "", COUNT(R$4:$R626))</f>
        <v/>
      </c>
      <c r="Q626" s="190" t="str">
        <f t="shared" si="91"/>
        <v/>
      </c>
      <c r="R626" s="191" t="str">
        <f t="shared" si="92"/>
        <v/>
      </c>
      <c r="S626" s="192" t="str">
        <f t="shared" si="94"/>
        <v/>
      </c>
      <c r="T626" s="193" t="str">
        <f t="shared" si="95"/>
        <v/>
      </c>
      <c r="U626" s="194" t="str">
        <f t="shared" si="96"/>
        <v/>
      </c>
      <c r="V626" s="195" t="str">
        <f t="shared" si="93"/>
        <v/>
      </c>
      <c r="W626" s="336" t="str">
        <f t="shared" si="97"/>
        <v/>
      </c>
      <c r="X626" s="338" t="str">
        <f t="shared" si="98"/>
        <v/>
      </c>
      <c r="Y626" s="274"/>
      <c r="AR626" t="str">
        <f t="shared" si="99"/>
        <v/>
      </c>
      <c r="AS626" t="str">
        <f t="shared" si="100"/>
        <v/>
      </c>
    </row>
    <row r="627" spans="1:45">
      <c r="A627" s="291"/>
      <c r="B627" s="292"/>
      <c r="C627" s="293"/>
      <c r="D627" s="293"/>
      <c r="E627" s="293"/>
      <c r="F627" s="293"/>
      <c r="G627" s="294"/>
      <c r="H627" s="300"/>
      <c r="I627" s="295"/>
      <c r="J627" s="295"/>
      <c r="K627" s="296"/>
      <c r="L627" s="301"/>
      <c r="M627" s="297"/>
      <c r="N627" s="298"/>
      <c r="P627" s="190" t="str">
        <f>IF(R627 = "", "", COUNT(R$4:$R627))</f>
        <v/>
      </c>
      <c r="Q627" s="190" t="str">
        <f t="shared" si="91"/>
        <v/>
      </c>
      <c r="R627" s="191" t="str">
        <f t="shared" si="92"/>
        <v/>
      </c>
      <c r="S627" s="192" t="str">
        <f t="shared" si="94"/>
        <v/>
      </c>
      <c r="T627" s="193" t="str">
        <f t="shared" si="95"/>
        <v/>
      </c>
      <c r="U627" s="194" t="str">
        <f t="shared" si="96"/>
        <v/>
      </c>
      <c r="V627" s="195" t="str">
        <f t="shared" si="93"/>
        <v/>
      </c>
      <c r="W627" s="336" t="str">
        <f t="shared" si="97"/>
        <v/>
      </c>
      <c r="X627" s="338" t="str">
        <f t="shared" si="98"/>
        <v/>
      </c>
      <c r="Y627" s="274"/>
      <c r="AR627" t="str">
        <f t="shared" si="99"/>
        <v/>
      </c>
      <c r="AS627" t="str">
        <f t="shared" si="100"/>
        <v/>
      </c>
    </row>
    <row r="628" spans="1:45">
      <c r="A628" s="291"/>
      <c r="B628" s="292"/>
      <c r="C628" s="293"/>
      <c r="D628" s="293"/>
      <c r="E628" s="293"/>
      <c r="F628" s="293"/>
      <c r="G628" s="294"/>
      <c r="H628" s="300"/>
      <c r="I628" s="295"/>
      <c r="J628" s="295"/>
      <c r="K628" s="296"/>
      <c r="L628" s="301"/>
      <c r="M628" s="297"/>
      <c r="N628" s="298"/>
      <c r="P628" s="190" t="str">
        <f>IF(R628 = "", "", COUNT(R$4:$R628))</f>
        <v/>
      </c>
      <c r="Q628" s="190" t="str">
        <f t="shared" si="91"/>
        <v/>
      </c>
      <c r="R628" s="191" t="str">
        <f t="shared" si="92"/>
        <v/>
      </c>
      <c r="S628" s="192" t="str">
        <f t="shared" si="94"/>
        <v/>
      </c>
      <c r="T628" s="193" t="str">
        <f t="shared" si="95"/>
        <v/>
      </c>
      <c r="U628" s="194" t="str">
        <f t="shared" si="96"/>
        <v/>
      </c>
      <c r="V628" s="195" t="str">
        <f t="shared" si="93"/>
        <v/>
      </c>
      <c r="W628" s="336" t="str">
        <f t="shared" si="97"/>
        <v/>
      </c>
      <c r="X628" s="338" t="str">
        <f t="shared" si="98"/>
        <v/>
      </c>
      <c r="Y628" s="274"/>
      <c r="AR628" t="str">
        <f t="shared" si="99"/>
        <v/>
      </c>
      <c r="AS628" t="str">
        <f t="shared" si="100"/>
        <v/>
      </c>
    </row>
    <row r="629" spans="1:45">
      <c r="A629" s="291"/>
      <c r="B629" s="292"/>
      <c r="C629" s="293"/>
      <c r="D629" s="293"/>
      <c r="E629" s="293"/>
      <c r="F629" s="293"/>
      <c r="G629" s="294"/>
      <c r="H629" s="300"/>
      <c r="I629" s="295"/>
      <c r="J629" s="295"/>
      <c r="K629" s="296"/>
      <c r="L629" s="301"/>
      <c r="M629" s="297"/>
      <c r="N629" s="298"/>
      <c r="P629" s="190" t="str">
        <f>IF(R629 = "", "", COUNT(R$4:$R629))</f>
        <v/>
      </c>
      <c r="Q629" s="190" t="str">
        <f t="shared" si="91"/>
        <v/>
      </c>
      <c r="R629" s="191" t="str">
        <f t="shared" si="92"/>
        <v/>
      </c>
      <c r="S629" s="192" t="str">
        <f t="shared" si="94"/>
        <v/>
      </c>
      <c r="T629" s="193" t="str">
        <f t="shared" si="95"/>
        <v/>
      </c>
      <c r="U629" s="194" t="str">
        <f t="shared" si="96"/>
        <v/>
      </c>
      <c r="V629" s="195" t="str">
        <f t="shared" si="93"/>
        <v/>
      </c>
      <c r="W629" s="336" t="str">
        <f t="shared" si="97"/>
        <v/>
      </c>
      <c r="X629" s="338" t="str">
        <f t="shared" si="98"/>
        <v/>
      </c>
      <c r="Y629" s="274"/>
      <c r="AR629" t="str">
        <f t="shared" si="99"/>
        <v/>
      </c>
      <c r="AS629" t="str">
        <f t="shared" si="100"/>
        <v/>
      </c>
    </row>
    <row r="630" spans="1:45">
      <c r="A630" s="291"/>
      <c r="B630" s="292"/>
      <c r="C630" s="293"/>
      <c r="D630" s="293"/>
      <c r="E630" s="293"/>
      <c r="F630" s="293"/>
      <c r="G630" s="294"/>
      <c r="H630" s="300"/>
      <c r="I630" s="295"/>
      <c r="J630" s="295"/>
      <c r="K630" s="296"/>
      <c r="L630" s="301"/>
      <c r="M630" s="297"/>
      <c r="N630" s="298"/>
      <c r="P630" s="190" t="str">
        <f>IF(R630 = "", "", COUNT(R$4:$R630))</f>
        <v/>
      </c>
      <c r="Q630" s="190" t="str">
        <f t="shared" si="91"/>
        <v/>
      </c>
      <c r="R630" s="191" t="str">
        <f t="shared" si="92"/>
        <v/>
      </c>
      <c r="S630" s="192" t="str">
        <f t="shared" si="94"/>
        <v/>
      </c>
      <c r="T630" s="193" t="str">
        <f t="shared" si="95"/>
        <v/>
      </c>
      <c r="U630" s="194" t="str">
        <f t="shared" si="96"/>
        <v/>
      </c>
      <c r="V630" s="195" t="str">
        <f t="shared" si="93"/>
        <v/>
      </c>
      <c r="W630" s="336" t="str">
        <f t="shared" si="97"/>
        <v/>
      </c>
      <c r="X630" s="338" t="str">
        <f t="shared" si="98"/>
        <v/>
      </c>
      <c r="Y630" s="274"/>
      <c r="AR630" t="str">
        <f t="shared" si="99"/>
        <v/>
      </c>
      <c r="AS630" t="str">
        <f t="shared" si="100"/>
        <v/>
      </c>
    </row>
    <row r="631" spans="1:45">
      <c r="A631" s="291"/>
      <c r="B631" s="292"/>
      <c r="C631" s="293"/>
      <c r="D631" s="293"/>
      <c r="E631" s="293"/>
      <c r="F631" s="293"/>
      <c r="G631" s="294"/>
      <c r="H631" s="300"/>
      <c r="I631" s="295"/>
      <c r="J631" s="295"/>
      <c r="K631" s="296"/>
      <c r="L631" s="301"/>
      <c r="M631" s="297"/>
      <c r="N631" s="298"/>
      <c r="P631" s="190" t="str">
        <f>IF(R631 = "", "", COUNT(R$4:$R631))</f>
        <v/>
      </c>
      <c r="Q631" s="190" t="str">
        <f t="shared" si="91"/>
        <v/>
      </c>
      <c r="R631" s="191" t="str">
        <f t="shared" si="92"/>
        <v/>
      </c>
      <c r="S631" s="192" t="str">
        <f t="shared" si="94"/>
        <v/>
      </c>
      <c r="T631" s="193" t="str">
        <f t="shared" si="95"/>
        <v/>
      </c>
      <c r="U631" s="194" t="str">
        <f t="shared" si="96"/>
        <v/>
      </c>
      <c r="V631" s="195" t="str">
        <f t="shared" si="93"/>
        <v/>
      </c>
      <c r="W631" s="336" t="str">
        <f t="shared" si="97"/>
        <v/>
      </c>
      <c r="X631" s="338" t="str">
        <f t="shared" si="98"/>
        <v/>
      </c>
      <c r="Y631" s="274"/>
      <c r="AR631" t="str">
        <f t="shared" si="99"/>
        <v/>
      </c>
      <c r="AS631" t="str">
        <f t="shared" si="100"/>
        <v/>
      </c>
    </row>
    <row r="632" spans="1:45">
      <c r="A632" s="291"/>
      <c r="B632" s="292"/>
      <c r="C632" s="293"/>
      <c r="D632" s="293"/>
      <c r="E632" s="293"/>
      <c r="F632" s="293"/>
      <c r="G632" s="294"/>
      <c r="H632" s="300"/>
      <c r="I632" s="295"/>
      <c r="J632" s="295"/>
      <c r="K632" s="296"/>
      <c r="L632" s="301"/>
      <c r="M632" s="297"/>
      <c r="N632" s="298"/>
      <c r="P632" s="190" t="str">
        <f>IF(R632 = "", "", COUNT(R$4:$R632))</f>
        <v/>
      </c>
      <c r="Q632" s="190" t="str">
        <f t="shared" si="91"/>
        <v/>
      </c>
      <c r="R632" s="191" t="str">
        <f t="shared" si="92"/>
        <v/>
      </c>
      <c r="S632" s="192" t="str">
        <f t="shared" si="94"/>
        <v/>
      </c>
      <c r="T632" s="193" t="str">
        <f t="shared" si="95"/>
        <v/>
      </c>
      <c r="U632" s="194" t="str">
        <f t="shared" si="96"/>
        <v/>
      </c>
      <c r="V632" s="195" t="str">
        <f t="shared" si="93"/>
        <v/>
      </c>
      <c r="W632" s="336" t="str">
        <f t="shared" si="97"/>
        <v/>
      </c>
      <c r="X632" s="338" t="str">
        <f t="shared" si="98"/>
        <v/>
      </c>
      <c r="Y632" s="274"/>
      <c r="AR632" t="str">
        <f t="shared" si="99"/>
        <v/>
      </c>
      <c r="AS632" t="str">
        <f t="shared" si="100"/>
        <v/>
      </c>
    </row>
    <row r="633" spans="1:45">
      <c r="A633" s="291"/>
      <c r="B633" s="292"/>
      <c r="C633" s="293"/>
      <c r="D633" s="293"/>
      <c r="E633" s="293"/>
      <c r="F633" s="293"/>
      <c r="G633" s="294"/>
      <c r="H633" s="300"/>
      <c r="I633" s="295"/>
      <c r="J633" s="295"/>
      <c r="K633" s="296"/>
      <c r="L633" s="301"/>
      <c r="M633" s="297"/>
      <c r="N633" s="298"/>
      <c r="P633" s="190" t="str">
        <f>IF(R633 = "", "", COUNT(R$4:$R633))</f>
        <v/>
      </c>
      <c r="Q633" s="190" t="str">
        <f t="shared" si="91"/>
        <v/>
      </c>
      <c r="R633" s="191" t="str">
        <f t="shared" si="92"/>
        <v/>
      </c>
      <c r="S633" s="192" t="str">
        <f t="shared" si="94"/>
        <v/>
      </c>
      <c r="T633" s="193" t="str">
        <f t="shared" si="95"/>
        <v/>
      </c>
      <c r="U633" s="194" t="str">
        <f t="shared" si="96"/>
        <v/>
      </c>
      <c r="V633" s="195" t="str">
        <f t="shared" si="93"/>
        <v/>
      </c>
      <c r="W633" s="336" t="str">
        <f t="shared" si="97"/>
        <v/>
      </c>
      <c r="X633" s="338" t="str">
        <f t="shared" si="98"/>
        <v/>
      </c>
      <c r="Y633" s="274"/>
      <c r="AR633" t="str">
        <f t="shared" si="99"/>
        <v/>
      </c>
      <c r="AS633" t="str">
        <f t="shared" si="100"/>
        <v/>
      </c>
    </row>
    <row r="634" spans="1:45">
      <c r="A634" s="291"/>
      <c r="B634" s="292"/>
      <c r="C634" s="293"/>
      <c r="D634" s="293"/>
      <c r="E634" s="293"/>
      <c r="F634" s="293"/>
      <c r="G634" s="294"/>
      <c r="H634" s="300"/>
      <c r="I634" s="295"/>
      <c r="J634" s="295"/>
      <c r="K634" s="296"/>
      <c r="L634" s="301"/>
      <c r="M634" s="297"/>
      <c r="N634" s="298"/>
      <c r="P634" s="190" t="str">
        <f>IF(R634 = "", "", COUNT(R$4:$R634))</f>
        <v/>
      </c>
      <c r="Q634" s="190" t="str">
        <f t="shared" si="91"/>
        <v/>
      </c>
      <c r="R634" s="191" t="str">
        <f t="shared" si="92"/>
        <v/>
      </c>
      <c r="S634" s="192" t="str">
        <f t="shared" si="94"/>
        <v/>
      </c>
      <c r="T634" s="193" t="str">
        <f t="shared" si="95"/>
        <v/>
      </c>
      <c r="U634" s="194" t="str">
        <f t="shared" si="96"/>
        <v/>
      </c>
      <c r="V634" s="195" t="str">
        <f t="shared" si="93"/>
        <v/>
      </c>
      <c r="W634" s="336" t="str">
        <f t="shared" si="97"/>
        <v/>
      </c>
      <c r="X634" s="338" t="str">
        <f t="shared" si="98"/>
        <v/>
      </c>
      <c r="Y634" s="274"/>
      <c r="AR634" t="str">
        <f t="shared" si="99"/>
        <v/>
      </c>
      <c r="AS634" t="str">
        <f t="shared" si="100"/>
        <v/>
      </c>
    </row>
    <row r="635" spans="1:45">
      <c r="A635" s="291"/>
      <c r="B635" s="292"/>
      <c r="C635" s="293"/>
      <c r="D635" s="293"/>
      <c r="E635" s="293"/>
      <c r="F635" s="293"/>
      <c r="G635" s="294"/>
      <c r="H635" s="300"/>
      <c r="I635" s="295"/>
      <c r="J635" s="295"/>
      <c r="K635" s="296"/>
      <c r="L635" s="301"/>
      <c r="M635" s="297"/>
      <c r="N635" s="298"/>
      <c r="P635" s="190" t="str">
        <f>IF(R635 = "", "", COUNT(R$4:$R635))</f>
        <v/>
      </c>
      <c r="Q635" s="190" t="str">
        <f t="shared" si="91"/>
        <v/>
      </c>
      <c r="R635" s="191" t="str">
        <f t="shared" si="92"/>
        <v/>
      </c>
      <c r="S635" s="192" t="str">
        <f t="shared" si="94"/>
        <v/>
      </c>
      <c r="T635" s="193" t="str">
        <f t="shared" si="95"/>
        <v/>
      </c>
      <c r="U635" s="194" t="str">
        <f t="shared" si="96"/>
        <v/>
      </c>
      <c r="V635" s="195" t="str">
        <f t="shared" si="93"/>
        <v/>
      </c>
      <c r="W635" s="336" t="str">
        <f t="shared" si="97"/>
        <v/>
      </c>
      <c r="X635" s="338" t="str">
        <f t="shared" si="98"/>
        <v/>
      </c>
      <c r="Y635" s="274"/>
      <c r="AR635" t="str">
        <f t="shared" si="99"/>
        <v/>
      </c>
      <c r="AS635" t="str">
        <f t="shared" si="100"/>
        <v/>
      </c>
    </row>
    <row r="636" spans="1:45">
      <c r="A636" s="291"/>
      <c r="B636" s="292"/>
      <c r="C636" s="293"/>
      <c r="D636" s="293"/>
      <c r="E636" s="293"/>
      <c r="F636" s="293"/>
      <c r="G636" s="294"/>
      <c r="H636" s="300"/>
      <c r="I636" s="295"/>
      <c r="J636" s="295"/>
      <c r="K636" s="296"/>
      <c r="L636" s="301"/>
      <c r="M636" s="297"/>
      <c r="N636" s="298"/>
      <c r="P636" s="190" t="str">
        <f>IF(R636 = "", "", COUNT(R$4:$R636))</f>
        <v/>
      </c>
      <c r="Q636" s="190" t="str">
        <f t="shared" si="91"/>
        <v/>
      </c>
      <c r="R636" s="191" t="str">
        <f t="shared" si="92"/>
        <v/>
      </c>
      <c r="S636" s="192" t="str">
        <f t="shared" si="94"/>
        <v/>
      </c>
      <c r="T636" s="193" t="str">
        <f t="shared" si="95"/>
        <v/>
      </c>
      <c r="U636" s="194" t="str">
        <f t="shared" si="96"/>
        <v/>
      </c>
      <c r="V636" s="195" t="str">
        <f t="shared" si="93"/>
        <v/>
      </c>
      <c r="W636" s="336" t="str">
        <f t="shared" si="97"/>
        <v/>
      </c>
      <c r="X636" s="338" t="str">
        <f t="shared" si="98"/>
        <v/>
      </c>
      <c r="Y636" s="274"/>
      <c r="AR636" t="str">
        <f t="shared" si="99"/>
        <v/>
      </c>
      <c r="AS636" t="str">
        <f t="shared" si="100"/>
        <v/>
      </c>
    </row>
    <row r="637" spans="1:45">
      <c r="A637" s="291"/>
      <c r="B637" s="292"/>
      <c r="C637" s="293"/>
      <c r="D637" s="293"/>
      <c r="E637" s="293"/>
      <c r="F637" s="293"/>
      <c r="G637" s="294"/>
      <c r="H637" s="300"/>
      <c r="I637" s="295"/>
      <c r="J637" s="295"/>
      <c r="K637" s="296"/>
      <c r="L637" s="301"/>
      <c r="M637" s="297"/>
      <c r="N637" s="298"/>
      <c r="P637" s="190" t="str">
        <f>IF(R637 = "", "", COUNT(R$4:$R637))</f>
        <v/>
      </c>
      <c r="Q637" s="190" t="str">
        <f t="shared" si="91"/>
        <v/>
      </c>
      <c r="R637" s="191" t="str">
        <f t="shared" si="92"/>
        <v/>
      </c>
      <c r="S637" s="192" t="str">
        <f t="shared" si="94"/>
        <v/>
      </c>
      <c r="T637" s="193" t="str">
        <f t="shared" si="95"/>
        <v/>
      </c>
      <c r="U637" s="194" t="str">
        <f t="shared" si="96"/>
        <v/>
      </c>
      <c r="V637" s="195" t="str">
        <f t="shared" si="93"/>
        <v/>
      </c>
      <c r="W637" s="336" t="str">
        <f t="shared" si="97"/>
        <v/>
      </c>
      <c r="X637" s="338" t="str">
        <f t="shared" si="98"/>
        <v/>
      </c>
      <c r="Y637" s="274"/>
      <c r="AR637" t="str">
        <f t="shared" si="99"/>
        <v/>
      </c>
      <c r="AS637" t="str">
        <f t="shared" si="100"/>
        <v/>
      </c>
    </row>
    <row r="638" spans="1:45">
      <c r="A638" s="291"/>
      <c r="B638" s="292"/>
      <c r="C638" s="293"/>
      <c r="D638" s="293"/>
      <c r="E638" s="293"/>
      <c r="F638" s="293"/>
      <c r="G638" s="294"/>
      <c r="H638" s="300"/>
      <c r="I638" s="295"/>
      <c r="J638" s="295"/>
      <c r="K638" s="296"/>
      <c r="L638" s="301"/>
      <c r="M638" s="297"/>
      <c r="N638" s="298"/>
      <c r="P638" s="190" t="str">
        <f>IF(R638 = "", "", COUNT(R$4:$R638))</f>
        <v/>
      </c>
      <c r="Q638" s="190" t="str">
        <f t="shared" si="91"/>
        <v/>
      </c>
      <c r="R638" s="191" t="str">
        <f t="shared" si="92"/>
        <v/>
      </c>
      <c r="S638" s="192" t="str">
        <f t="shared" si="94"/>
        <v/>
      </c>
      <c r="T638" s="193" t="str">
        <f t="shared" si="95"/>
        <v/>
      </c>
      <c r="U638" s="194" t="str">
        <f t="shared" si="96"/>
        <v/>
      </c>
      <c r="V638" s="195" t="str">
        <f t="shared" si="93"/>
        <v/>
      </c>
      <c r="W638" s="336" t="str">
        <f t="shared" si="97"/>
        <v/>
      </c>
      <c r="X638" s="338" t="str">
        <f t="shared" si="98"/>
        <v/>
      </c>
      <c r="Y638" s="274"/>
      <c r="AR638" t="str">
        <f t="shared" si="99"/>
        <v/>
      </c>
      <c r="AS638" t="str">
        <f t="shared" si="100"/>
        <v/>
      </c>
    </row>
    <row r="639" spans="1:45">
      <c r="A639" s="291"/>
      <c r="B639" s="292"/>
      <c r="C639" s="293"/>
      <c r="D639" s="293"/>
      <c r="E639" s="293"/>
      <c r="F639" s="293"/>
      <c r="G639" s="294"/>
      <c r="H639" s="300"/>
      <c r="I639" s="295"/>
      <c r="J639" s="295"/>
      <c r="K639" s="296"/>
      <c r="L639" s="301"/>
      <c r="M639" s="297"/>
      <c r="N639" s="298"/>
      <c r="P639" s="190" t="str">
        <f>IF(R639 = "", "", COUNT(R$4:$R639))</f>
        <v/>
      </c>
      <c r="Q639" s="190" t="str">
        <f t="shared" si="91"/>
        <v/>
      </c>
      <c r="R639" s="191" t="str">
        <f t="shared" si="92"/>
        <v/>
      </c>
      <c r="S639" s="192" t="str">
        <f t="shared" si="94"/>
        <v/>
      </c>
      <c r="T639" s="193" t="str">
        <f t="shared" si="95"/>
        <v/>
      </c>
      <c r="U639" s="194" t="str">
        <f t="shared" si="96"/>
        <v/>
      </c>
      <c r="V639" s="195" t="str">
        <f t="shared" si="93"/>
        <v/>
      </c>
      <c r="W639" s="336" t="str">
        <f t="shared" si="97"/>
        <v/>
      </c>
      <c r="X639" s="338" t="str">
        <f t="shared" si="98"/>
        <v/>
      </c>
      <c r="Y639" s="274"/>
      <c r="AR639" t="str">
        <f t="shared" si="99"/>
        <v/>
      </c>
      <c r="AS639" t="str">
        <f t="shared" si="100"/>
        <v/>
      </c>
    </row>
    <row r="640" spans="1:45">
      <c r="A640" s="291"/>
      <c r="B640" s="292"/>
      <c r="C640" s="293"/>
      <c r="D640" s="293"/>
      <c r="E640" s="293"/>
      <c r="F640" s="293"/>
      <c r="G640" s="294"/>
      <c r="H640" s="300"/>
      <c r="I640" s="295"/>
      <c r="J640" s="295"/>
      <c r="K640" s="296"/>
      <c r="L640" s="301"/>
      <c r="M640" s="297"/>
      <c r="N640" s="298"/>
      <c r="P640" s="190" t="str">
        <f>IF(R640 = "", "", COUNT(R$4:$R640))</f>
        <v/>
      </c>
      <c r="Q640" s="190" t="str">
        <f t="shared" si="91"/>
        <v/>
      </c>
      <c r="R640" s="191" t="str">
        <f t="shared" si="92"/>
        <v/>
      </c>
      <c r="S640" s="192" t="str">
        <f t="shared" si="94"/>
        <v/>
      </c>
      <c r="T640" s="193" t="str">
        <f t="shared" si="95"/>
        <v/>
      </c>
      <c r="U640" s="194" t="str">
        <f t="shared" si="96"/>
        <v/>
      </c>
      <c r="V640" s="195" t="str">
        <f t="shared" si="93"/>
        <v/>
      </c>
      <c r="W640" s="336" t="str">
        <f t="shared" si="97"/>
        <v/>
      </c>
      <c r="X640" s="338" t="str">
        <f t="shared" si="98"/>
        <v/>
      </c>
      <c r="Y640" s="274"/>
      <c r="AR640" t="str">
        <f t="shared" si="99"/>
        <v/>
      </c>
      <c r="AS640" t="str">
        <f t="shared" si="100"/>
        <v/>
      </c>
    </row>
    <row r="641" spans="1:45">
      <c r="A641" s="291"/>
      <c r="B641" s="292"/>
      <c r="C641" s="293"/>
      <c r="D641" s="293"/>
      <c r="E641" s="293"/>
      <c r="F641" s="293"/>
      <c r="G641" s="294"/>
      <c r="H641" s="300"/>
      <c r="I641" s="295"/>
      <c r="J641" s="295"/>
      <c r="K641" s="296"/>
      <c r="L641" s="301"/>
      <c r="M641" s="297"/>
      <c r="N641" s="298"/>
      <c r="P641" s="190" t="str">
        <f>IF(R641 = "", "", COUNT(R$4:$R641))</f>
        <v/>
      </c>
      <c r="Q641" s="190" t="str">
        <f t="shared" si="91"/>
        <v/>
      </c>
      <c r="R641" s="191" t="str">
        <f t="shared" si="92"/>
        <v/>
      </c>
      <c r="S641" s="192" t="str">
        <f t="shared" si="94"/>
        <v/>
      </c>
      <c r="T641" s="193" t="str">
        <f t="shared" si="95"/>
        <v/>
      </c>
      <c r="U641" s="194" t="str">
        <f t="shared" si="96"/>
        <v/>
      </c>
      <c r="V641" s="195" t="str">
        <f t="shared" si="93"/>
        <v/>
      </c>
      <c r="W641" s="336" t="str">
        <f t="shared" si="97"/>
        <v/>
      </c>
      <c r="X641" s="338" t="str">
        <f t="shared" si="98"/>
        <v/>
      </c>
      <c r="Y641" s="274"/>
      <c r="AR641" t="str">
        <f t="shared" si="99"/>
        <v/>
      </c>
      <c r="AS641" t="str">
        <f t="shared" si="100"/>
        <v/>
      </c>
    </row>
    <row r="642" spans="1:45">
      <c r="A642" s="291"/>
      <c r="B642" s="292"/>
      <c r="C642" s="293"/>
      <c r="D642" s="293"/>
      <c r="E642" s="293"/>
      <c r="F642" s="293"/>
      <c r="G642" s="294"/>
      <c r="H642" s="300"/>
      <c r="I642" s="295"/>
      <c r="J642" s="295"/>
      <c r="K642" s="296"/>
      <c r="L642" s="301"/>
      <c r="M642" s="297"/>
      <c r="N642" s="298"/>
      <c r="P642" s="190" t="str">
        <f>IF(R642 = "", "", COUNT(R$4:$R642))</f>
        <v/>
      </c>
      <c r="Q642" s="190" t="str">
        <f t="shared" si="91"/>
        <v/>
      </c>
      <c r="R642" s="191" t="str">
        <f t="shared" si="92"/>
        <v/>
      </c>
      <c r="S642" s="192" t="str">
        <f t="shared" si="94"/>
        <v/>
      </c>
      <c r="T642" s="193" t="str">
        <f t="shared" si="95"/>
        <v/>
      </c>
      <c r="U642" s="194" t="str">
        <f t="shared" si="96"/>
        <v/>
      </c>
      <c r="V642" s="195" t="str">
        <f t="shared" si="93"/>
        <v/>
      </c>
      <c r="W642" s="336" t="str">
        <f t="shared" si="97"/>
        <v/>
      </c>
      <c r="X642" s="338" t="str">
        <f t="shared" si="98"/>
        <v/>
      </c>
      <c r="Y642" s="274"/>
      <c r="AR642" t="str">
        <f t="shared" si="99"/>
        <v/>
      </c>
      <c r="AS642" t="str">
        <f t="shared" si="100"/>
        <v/>
      </c>
    </row>
    <row r="643" spans="1:45">
      <c r="A643" s="291"/>
      <c r="B643" s="292"/>
      <c r="C643" s="293"/>
      <c r="D643" s="293"/>
      <c r="E643" s="293"/>
      <c r="F643" s="293"/>
      <c r="G643" s="294"/>
      <c r="H643" s="300"/>
      <c r="I643" s="295"/>
      <c r="J643" s="295"/>
      <c r="K643" s="296"/>
      <c r="L643" s="301"/>
      <c r="M643" s="297"/>
      <c r="N643" s="298"/>
      <c r="P643" s="190" t="str">
        <f>IF(R643 = "", "", COUNT(R$4:$R643))</f>
        <v/>
      </c>
      <c r="Q643" s="190" t="str">
        <f t="shared" si="91"/>
        <v/>
      </c>
      <c r="R643" s="191" t="str">
        <f t="shared" si="92"/>
        <v/>
      </c>
      <c r="S643" s="192" t="str">
        <f t="shared" si="94"/>
        <v/>
      </c>
      <c r="T643" s="193" t="str">
        <f t="shared" si="95"/>
        <v/>
      </c>
      <c r="U643" s="194" t="str">
        <f t="shared" si="96"/>
        <v/>
      </c>
      <c r="V643" s="195" t="str">
        <f t="shared" si="93"/>
        <v/>
      </c>
      <c r="W643" s="336" t="str">
        <f t="shared" si="97"/>
        <v/>
      </c>
      <c r="X643" s="338" t="str">
        <f t="shared" si="98"/>
        <v/>
      </c>
      <c r="Y643" s="274"/>
      <c r="AR643" t="str">
        <f t="shared" si="99"/>
        <v/>
      </c>
      <c r="AS643" t="str">
        <f t="shared" si="100"/>
        <v/>
      </c>
    </row>
    <row r="644" spans="1:45">
      <c r="A644" s="291"/>
      <c r="B644" s="292"/>
      <c r="C644" s="293"/>
      <c r="D644" s="293"/>
      <c r="E644" s="293"/>
      <c r="F644" s="293"/>
      <c r="G644" s="294"/>
      <c r="H644" s="300"/>
      <c r="I644" s="295"/>
      <c r="J644" s="295"/>
      <c r="K644" s="296"/>
      <c r="L644" s="301"/>
      <c r="M644" s="297"/>
      <c r="N644" s="298"/>
      <c r="P644" s="190" t="str">
        <f>IF(R644 = "", "", COUNT(R$4:$R644))</f>
        <v/>
      </c>
      <c r="Q644" s="190" t="str">
        <f t="shared" ref="Q644:Q707" si="101">IF(C644 &gt; 0, YEAR(B644), "")</f>
        <v/>
      </c>
      <c r="R644" s="191" t="str">
        <f t="shared" ref="R644:R707" si="102">IF(A644="", "", IF(G644="",1,IF(G644="O",1,IF(G644="C",8.4,IF(G644="B",8.4,IF(G644="A",76.8,IF(G644="K",76.8,"ERR")))))))</f>
        <v/>
      </c>
      <c r="S644" s="192" t="str">
        <f t="shared" si="94"/>
        <v/>
      </c>
      <c r="T644" s="193" t="str">
        <f t="shared" si="95"/>
        <v/>
      </c>
      <c r="U644" s="194" t="str">
        <f t="shared" si="96"/>
        <v/>
      </c>
      <c r="V644" s="195" t="str">
        <f t="shared" ref="V644:V707" si="103">IF(IF(M644&lt;&gt;"",G644,"")=0, "O", IF(M644&lt;&gt;"",G644,""))</f>
        <v/>
      </c>
      <c r="W644" s="336" t="str">
        <f t="shared" si="97"/>
        <v/>
      </c>
      <c r="X644" s="338" t="str">
        <f t="shared" si="98"/>
        <v/>
      </c>
      <c r="Y644" s="274"/>
      <c r="AR644" t="str">
        <f t="shared" si="99"/>
        <v/>
      </c>
      <c r="AS644" t="str">
        <f t="shared" si="100"/>
        <v/>
      </c>
    </row>
    <row r="645" spans="1:45">
      <c r="A645" s="291"/>
      <c r="B645" s="292"/>
      <c r="C645" s="293"/>
      <c r="D645" s="293"/>
      <c r="E645" s="293"/>
      <c r="F645" s="293"/>
      <c r="G645" s="294"/>
      <c r="H645" s="300"/>
      <c r="I645" s="295"/>
      <c r="J645" s="295"/>
      <c r="K645" s="296"/>
      <c r="L645" s="301"/>
      <c r="M645" s="297"/>
      <c r="N645" s="298"/>
      <c r="P645" s="190" t="str">
        <f>IF(R645 = "", "", COUNT(R$4:$R645))</f>
        <v/>
      </c>
      <c r="Q645" s="190" t="str">
        <f t="shared" si="101"/>
        <v/>
      </c>
      <c r="R645" s="191" t="str">
        <f t="shared" si="102"/>
        <v/>
      </c>
      <c r="S645" s="192" t="str">
        <f t="shared" ref="S645:S708" si="104">IF(L645&lt;&gt;"",R645,"")</f>
        <v/>
      </c>
      <c r="T645" s="193" t="str">
        <f t="shared" ref="T645:T708" si="105">IF(IF(L645&lt;&gt;"",G645,"")=0, "O", IF(L645&lt;&gt;"",G645,""))</f>
        <v/>
      </c>
      <c r="U645" s="194" t="str">
        <f t="shared" ref="U645:U708" si="106">IF(M645&lt;&gt;"",R645,"")</f>
        <v/>
      </c>
      <c r="V645" s="195" t="str">
        <f t="shared" si="103"/>
        <v/>
      </c>
      <c r="W645" s="336" t="str">
        <f t="shared" ref="W645:W708" si="107">IF(N645&lt;&gt;"",R645,"")</f>
        <v/>
      </c>
      <c r="X645" s="338" t="str">
        <f t="shared" ref="X645:X708" si="108">IF(IF(N645&lt;&gt;"",G645,"")=0, "O", IF(N645&lt;&gt;"",G645,""))</f>
        <v/>
      </c>
      <c r="Y645" s="274"/>
      <c r="AR645" t="str">
        <f t="shared" ref="AR645:AR708" si="109">IF(P645&gt;0, P645, "")</f>
        <v/>
      </c>
      <c r="AS645" t="str">
        <f t="shared" ref="AS645:AS708" si="110">IF(OR(L645="Y",M645="Y",N645="Y"),"Y","")</f>
        <v/>
      </c>
    </row>
    <row r="646" spans="1:45">
      <c r="A646" s="291"/>
      <c r="B646" s="292"/>
      <c r="C646" s="293"/>
      <c r="D646" s="293"/>
      <c r="E646" s="293"/>
      <c r="F646" s="293"/>
      <c r="G646" s="294"/>
      <c r="H646" s="300"/>
      <c r="I646" s="295"/>
      <c r="J646" s="295"/>
      <c r="K646" s="296"/>
      <c r="L646" s="301"/>
      <c r="M646" s="297"/>
      <c r="N646" s="298"/>
      <c r="P646" s="190" t="str">
        <f>IF(R646 = "", "", COUNT(R$4:$R646))</f>
        <v/>
      </c>
      <c r="Q646" s="190" t="str">
        <f t="shared" si="101"/>
        <v/>
      </c>
      <c r="R646" s="191" t="str">
        <f t="shared" si="102"/>
        <v/>
      </c>
      <c r="S646" s="192" t="str">
        <f t="shared" si="104"/>
        <v/>
      </c>
      <c r="T646" s="193" t="str">
        <f t="shared" si="105"/>
        <v/>
      </c>
      <c r="U646" s="194" t="str">
        <f t="shared" si="106"/>
        <v/>
      </c>
      <c r="V646" s="195" t="str">
        <f t="shared" si="103"/>
        <v/>
      </c>
      <c r="W646" s="336" t="str">
        <f t="shared" si="107"/>
        <v/>
      </c>
      <c r="X646" s="338" t="str">
        <f t="shared" si="108"/>
        <v/>
      </c>
      <c r="Y646" s="274"/>
      <c r="AR646" t="str">
        <f t="shared" si="109"/>
        <v/>
      </c>
      <c r="AS646" t="str">
        <f t="shared" si="110"/>
        <v/>
      </c>
    </row>
    <row r="647" spans="1:45">
      <c r="A647" s="291"/>
      <c r="B647" s="292"/>
      <c r="C647" s="293"/>
      <c r="D647" s="293"/>
      <c r="E647" s="293"/>
      <c r="F647" s="293"/>
      <c r="G647" s="294"/>
      <c r="H647" s="300"/>
      <c r="I647" s="295"/>
      <c r="J647" s="295"/>
      <c r="K647" s="296"/>
      <c r="L647" s="301"/>
      <c r="M647" s="297"/>
      <c r="N647" s="298"/>
      <c r="P647" s="190" t="str">
        <f>IF(R647 = "", "", COUNT(R$4:$R647))</f>
        <v/>
      </c>
      <c r="Q647" s="190" t="str">
        <f t="shared" si="101"/>
        <v/>
      </c>
      <c r="R647" s="191" t="str">
        <f t="shared" si="102"/>
        <v/>
      </c>
      <c r="S647" s="192" t="str">
        <f t="shared" si="104"/>
        <v/>
      </c>
      <c r="T647" s="193" t="str">
        <f t="shared" si="105"/>
        <v/>
      </c>
      <c r="U647" s="194" t="str">
        <f t="shared" si="106"/>
        <v/>
      </c>
      <c r="V647" s="195" t="str">
        <f t="shared" si="103"/>
        <v/>
      </c>
      <c r="W647" s="336" t="str">
        <f t="shared" si="107"/>
        <v/>
      </c>
      <c r="X647" s="338" t="str">
        <f t="shared" si="108"/>
        <v/>
      </c>
      <c r="Y647" s="274"/>
      <c r="AR647" t="str">
        <f t="shared" si="109"/>
        <v/>
      </c>
      <c r="AS647" t="str">
        <f t="shared" si="110"/>
        <v/>
      </c>
    </row>
    <row r="648" spans="1:45">
      <c r="A648" s="291"/>
      <c r="B648" s="292"/>
      <c r="C648" s="293"/>
      <c r="D648" s="293"/>
      <c r="E648" s="293"/>
      <c r="F648" s="293"/>
      <c r="G648" s="294"/>
      <c r="H648" s="300"/>
      <c r="I648" s="295"/>
      <c r="J648" s="295"/>
      <c r="K648" s="296"/>
      <c r="L648" s="301"/>
      <c r="M648" s="297"/>
      <c r="N648" s="298"/>
      <c r="P648" s="190" t="str">
        <f>IF(R648 = "", "", COUNT(R$4:$R648))</f>
        <v/>
      </c>
      <c r="Q648" s="190" t="str">
        <f t="shared" si="101"/>
        <v/>
      </c>
      <c r="R648" s="191" t="str">
        <f t="shared" si="102"/>
        <v/>
      </c>
      <c r="S648" s="192" t="str">
        <f t="shared" si="104"/>
        <v/>
      </c>
      <c r="T648" s="193" t="str">
        <f t="shared" si="105"/>
        <v/>
      </c>
      <c r="U648" s="194" t="str">
        <f t="shared" si="106"/>
        <v/>
      </c>
      <c r="V648" s="195" t="str">
        <f t="shared" si="103"/>
        <v/>
      </c>
      <c r="W648" s="336" t="str">
        <f t="shared" si="107"/>
        <v/>
      </c>
      <c r="X648" s="338" t="str">
        <f t="shared" si="108"/>
        <v/>
      </c>
      <c r="Y648" s="274"/>
      <c r="AR648" t="str">
        <f t="shared" si="109"/>
        <v/>
      </c>
      <c r="AS648" t="str">
        <f t="shared" si="110"/>
        <v/>
      </c>
    </row>
    <row r="649" spans="1:45">
      <c r="A649" s="291"/>
      <c r="B649" s="292"/>
      <c r="C649" s="293"/>
      <c r="D649" s="293"/>
      <c r="E649" s="293"/>
      <c r="F649" s="293"/>
      <c r="G649" s="294"/>
      <c r="H649" s="300"/>
      <c r="I649" s="295"/>
      <c r="J649" s="295"/>
      <c r="K649" s="296"/>
      <c r="L649" s="301"/>
      <c r="M649" s="297"/>
      <c r="N649" s="298"/>
      <c r="P649" s="190" t="str">
        <f>IF(R649 = "", "", COUNT(R$4:$R649))</f>
        <v/>
      </c>
      <c r="Q649" s="190" t="str">
        <f t="shared" si="101"/>
        <v/>
      </c>
      <c r="R649" s="191" t="str">
        <f t="shared" si="102"/>
        <v/>
      </c>
      <c r="S649" s="192" t="str">
        <f t="shared" si="104"/>
        <v/>
      </c>
      <c r="T649" s="193" t="str">
        <f t="shared" si="105"/>
        <v/>
      </c>
      <c r="U649" s="194" t="str">
        <f t="shared" si="106"/>
        <v/>
      </c>
      <c r="V649" s="195" t="str">
        <f t="shared" si="103"/>
        <v/>
      </c>
      <c r="W649" s="336" t="str">
        <f t="shared" si="107"/>
        <v/>
      </c>
      <c r="X649" s="338" t="str">
        <f t="shared" si="108"/>
        <v/>
      </c>
      <c r="Y649" s="274"/>
      <c r="AR649" t="str">
        <f t="shared" si="109"/>
        <v/>
      </c>
      <c r="AS649" t="str">
        <f t="shared" si="110"/>
        <v/>
      </c>
    </row>
    <row r="650" spans="1:45">
      <c r="A650" s="291"/>
      <c r="B650" s="292"/>
      <c r="C650" s="293"/>
      <c r="D650" s="293"/>
      <c r="E650" s="293"/>
      <c r="F650" s="293"/>
      <c r="G650" s="294"/>
      <c r="H650" s="300"/>
      <c r="I650" s="295"/>
      <c r="J650" s="295"/>
      <c r="K650" s="296"/>
      <c r="L650" s="301"/>
      <c r="M650" s="297"/>
      <c r="N650" s="298"/>
      <c r="P650" s="190" t="str">
        <f>IF(R650 = "", "", COUNT(R$4:$R650))</f>
        <v/>
      </c>
      <c r="Q650" s="190" t="str">
        <f t="shared" si="101"/>
        <v/>
      </c>
      <c r="R650" s="191" t="str">
        <f t="shared" si="102"/>
        <v/>
      </c>
      <c r="S650" s="192" t="str">
        <f t="shared" si="104"/>
        <v/>
      </c>
      <c r="T650" s="193" t="str">
        <f t="shared" si="105"/>
        <v/>
      </c>
      <c r="U650" s="194" t="str">
        <f t="shared" si="106"/>
        <v/>
      </c>
      <c r="V650" s="195" t="str">
        <f t="shared" si="103"/>
        <v/>
      </c>
      <c r="W650" s="336" t="str">
        <f t="shared" si="107"/>
        <v/>
      </c>
      <c r="X650" s="338" t="str">
        <f t="shared" si="108"/>
        <v/>
      </c>
      <c r="Y650" s="274"/>
      <c r="AR650" t="str">
        <f t="shared" si="109"/>
        <v/>
      </c>
      <c r="AS650" t="str">
        <f t="shared" si="110"/>
        <v/>
      </c>
    </row>
    <row r="651" spans="1:45">
      <c r="A651" s="291"/>
      <c r="B651" s="292"/>
      <c r="C651" s="293"/>
      <c r="D651" s="293"/>
      <c r="E651" s="293"/>
      <c r="F651" s="293"/>
      <c r="G651" s="294"/>
      <c r="H651" s="300"/>
      <c r="I651" s="295"/>
      <c r="J651" s="295"/>
      <c r="K651" s="296"/>
      <c r="L651" s="301"/>
      <c r="M651" s="297"/>
      <c r="N651" s="298"/>
      <c r="P651" s="190" t="str">
        <f>IF(R651 = "", "", COUNT(R$4:$R651))</f>
        <v/>
      </c>
      <c r="Q651" s="190" t="str">
        <f t="shared" si="101"/>
        <v/>
      </c>
      <c r="R651" s="191" t="str">
        <f t="shared" si="102"/>
        <v/>
      </c>
      <c r="S651" s="192" t="str">
        <f t="shared" si="104"/>
        <v/>
      </c>
      <c r="T651" s="193" t="str">
        <f t="shared" si="105"/>
        <v/>
      </c>
      <c r="U651" s="194" t="str">
        <f t="shared" si="106"/>
        <v/>
      </c>
      <c r="V651" s="195" t="str">
        <f t="shared" si="103"/>
        <v/>
      </c>
      <c r="W651" s="336" t="str">
        <f t="shared" si="107"/>
        <v/>
      </c>
      <c r="X651" s="338" t="str">
        <f t="shared" si="108"/>
        <v/>
      </c>
      <c r="Y651" s="274"/>
      <c r="AR651" t="str">
        <f t="shared" si="109"/>
        <v/>
      </c>
      <c r="AS651" t="str">
        <f t="shared" si="110"/>
        <v/>
      </c>
    </row>
    <row r="652" spans="1:45">
      <c r="A652" s="291"/>
      <c r="B652" s="292"/>
      <c r="C652" s="293"/>
      <c r="D652" s="293"/>
      <c r="E652" s="293"/>
      <c r="F652" s="293"/>
      <c r="G652" s="294"/>
      <c r="H652" s="300"/>
      <c r="I652" s="295"/>
      <c r="J652" s="295"/>
      <c r="K652" s="296"/>
      <c r="L652" s="301"/>
      <c r="M652" s="297"/>
      <c r="N652" s="298"/>
      <c r="P652" s="190" t="str">
        <f>IF(R652 = "", "", COUNT(R$4:$R652))</f>
        <v/>
      </c>
      <c r="Q652" s="190" t="str">
        <f t="shared" si="101"/>
        <v/>
      </c>
      <c r="R652" s="191" t="str">
        <f t="shared" si="102"/>
        <v/>
      </c>
      <c r="S652" s="192" t="str">
        <f t="shared" si="104"/>
        <v/>
      </c>
      <c r="T652" s="193" t="str">
        <f t="shared" si="105"/>
        <v/>
      </c>
      <c r="U652" s="194" t="str">
        <f t="shared" si="106"/>
        <v/>
      </c>
      <c r="V652" s="195" t="str">
        <f t="shared" si="103"/>
        <v/>
      </c>
      <c r="W652" s="336" t="str">
        <f t="shared" si="107"/>
        <v/>
      </c>
      <c r="X652" s="338" t="str">
        <f t="shared" si="108"/>
        <v/>
      </c>
      <c r="Y652" s="274"/>
      <c r="AR652" t="str">
        <f t="shared" si="109"/>
        <v/>
      </c>
      <c r="AS652" t="str">
        <f t="shared" si="110"/>
        <v/>
      </c>
    </row>
    <row r="653" spans="1:45">
      <c r="A653" s="291"/>
      <c r="B653" s="292"/>
      <c r="C653" s="293"/>
      <c r="D653" s="293"/>
      <c r="E653" s="293"/>
      <c r="F653" s="293"/>
      <c r="G653" s="294"/>
      <c r="H653" s="300"/>
      <c r="I653" s="295"/>
      <c r="J653" s="295"/>
      <c r="K653" s="296"/>
      <c r="L653" s="301"/>
      <c r="M653" s="297"/>
      <c r="N653" s="298"/>
      <c r="P653" s="190" t="str">
        <f>IF(R653 = "", "", COUNT(R$4:$R653))</f>
        <v/>
      </c>
      <c r="Q653" s="190" t="str">
        <f t="shared" si="101"/>
        <v/>
      </c>
      <c r="R653" s="191" t="str">
        <f t="shared" si="102"/>
        <v/>
      </c>
      <c r="S653" s="192" t="str">
        <f t="shared" si="104"/>
        <v/>
      </c>
      <c r="T653" s="193" t="str">
        <f t="shared" si="105"/>
        <v/>
      </c>
      <c r="U653" s="194" t="str">
        <f t="shared" si="106"/>
        <v/>
      </c>
      <c r="V653" s="195" t="str">
        <f t="shared" si="103"/>
        <v/>
      </c>
      <c r="W653" s="336" t="str">
        <f t="shared" si="107"/>
        <v/>
      </c>
      <c r="X653" s="338" t="str">
        <f t="shared" si="108"/>
        <v/>
      </c>
      <c r="Y653" s="274"/>
      <c r="AR653" t="str">
        <f t="shared" si="109"/>
        <v/>
      </c>
      <c r="AS653" t="str">
        <f t="shared" si="110"/>
        <v/>
      </c>
    </row>
    <row r="654" spans="1:45">
      <c r="A654" s="291"/>
      <c r="B654" s="292"/>
      <c r="C654" s="293"/>
      <c r="D654" s="293"/>
      <c r="E654" s="293"/>
      <c r="F654" s="293"/>
      <c r="G654" s="294"/>
      <c r="H654" s="300"/>
      <c r="I654" s="295"/>
      <c r="J654" s="295"/>
      <c r="K654" s="296"/>
      <c r="L654" s="301"/>
      <c r="M654" s="297"/>
      <c r="N654" s="298"/>
      <c r="P654" s="190" t="str">
        <f>IF(R654 = "", "", COUNT(R$4:$R654))</f>
        <v/>
      </c>
      <c r="Q654" s="190" t="str">
        <f t="shared" si="101"/>
        <v/>
      </c>
      <c r="R654" s="191" t="str">
        <f t="shared" si="102"/>
        <v/>
      </c>
      <c r="S654" s="192" t="str">
        <f t="shared" si="104"/>
        <v/>
      </c>
      <c r="T654" s="193" t="str">
        <f t="shared" si="105"/>
        <v/>
      </c>
      <c r="U654" s="194" t="str">
        <f t="shared" si="106"/>
        <v/>
      </c>
      <c r="V654" s="195" t="str">
        <f t="shared" si="103"/>
        <v/>
      </c>
      <c r="W654" s="336" t="str">
        <f t="shared" si="107"/>
        <v/>
      </c>
      <c r="X654" s="338" t="str">
        <f t="shared" si="108"/>
        <v/>
      </c>
      <c r="Y654" s="274"/>
      <c r="AR654" t="str">
        <f t="shared" si="109"/>
        <v/>
      </c>
      <c r="AS654" t="str">
        <f t="shared" si="110"/>
        <v/>
      </c>
    </row>
    <row r="655" spans="1:45">
      <c r="A655" s="291"/>
      <c r="B655" s="292"/>
      <c r="C655" s="293"/>
      <c r="D655" s="293"/>
      <c r="E655" s="293"/>
      <c r="F655" s="293"/>
      <c r="G655" s="294"/>
      <c r="H655" s="300"/>
      <c r="I655" s="295"/>
      <c r="J655" s="295"/>
      <c r="K655" s="296"/>
      <c r="L655" s="301"/>
      <c r="M655" s="297"/>
      <c r="N655" s="298"/>
      <c r="P655" s="190" t="str">
        <f>IF(R655 = "", "", COUNT(R$4:$R655))</f>
        <v/>
      </c>
      <c r="Q655" s="190" t="str">
        <f t="shared" si="101"/>
        <v/>
      </c>
      <c r="R655" s="191" t="str">
        <f t="shared" si="102"/>
        <v/>
      </c>
      <c r="S655" s="192" t="str">
        <f t="shared" si="104"/>
        <v/>
      </c>
      <c r="T655" s="193" t="str">
        <f t="shared" si="105"/>
        <v/>
      </c>
      <c r="U655" s="194" t="str">
        <f t="shared" si="106"/>
        <v/>
      </c>
      <c r="V655" s="195" t="str">
        <f t="shared" si="103"/>
        <v/>
      </c>
      <c r="W655" s="336" t="str">
        <f t="shared" si="107"/>
        <v/>
      </c>
      <c r="X655" s="338" t="str">
        <f t="shared" si="108"/>
        <v/>
      </c>
      <c r="Y655" s="274"/>
      <c r="AR655" t="str">
        <f t="shared" si="109"/>
        <v/>
      </c>
      <c r="AS655" t="str">
        <f t="shared" si="110"/>
        <v/>
      </c>
    </row>
    <row r="656" spans="1:45">
      <c r="A656" s="291"/>
      <c r="B656" s="292"/>
      <c r="C656" s="293"/>
      <c r="D656" s="293"/>
      <c r="E656" s="293"/>
      <c r="F656" s="293"/>
      <c r="G656" s="294"/>
      <c r="H656" s="300"/>
      <c r="I656" s="295"/>
      <c r="J656" s="295"/>
      <c r="K656" s="296"/>
      <c r="L656" s="301"/>
      <c r="M656" s="297"/>
      <c r="N656" s="298"/>
      <c r="P656" s="190" t="str">
        <f>IF(R656 = "", "", COUNT(R$4:$R656))</f>
        <v/>
      </c>
      <c r="Q656" s="190" t="str">
        <f t="shared" si="101"/>
        <v/>
      </c>
      <c r="R656" s="191" t="str">
        <f t="shared" si="102"/>
        <v/>
      </c>
      <c r="S656" s="192" t="str">
        <f t="shared" si="104"/>
        <v/>
      </c>
      <c r="T656" s="193" t="str">
        <f t="shared" si="105"/>
        <v/>
      </c>
      <c r="U656" s="194" t="str">
        <f t="shared" si="106"/>
        <v/>
      </c>
      <c r="V656" s="195" t="str">
        <f t="shared" si="103"/>
        <v/>
      </c>
      <c r="W656" s="336" t="str">
        <f t="shared" si="107"/>
        <v/>
      </c>
      <c r="X656" s="338" t="str">
        <f t="shared" si="108"/>
        <v/>
      </c>
      <c r="Y656" s="274"/>
      <c r="AR656" t="str">
        <f t="shared" si="109"/>
        <v/>
      </c>
      <c r="AS656" t="str">
        <f t="shared" si="110"/>
        <v/>
      </c>
    </row>
    <row r="657" spans="1:45">
      <c r="A657" s="291"/>
      <c r="B657" s="292"/>
      <c r="C657" s="293"/>
      <c r="D657" s="293"/>
      <c r="E657" s="293"/>
      <c r="F657" s="293"/>
      <c r="G657" s="294"/>
      <c r="H657" s="300"/>
      <c r="I657" s="295"/>
      <c r="J657" s="295"/>
      <c r="K657" s="296"/>
      <c r="L657" s="301"/>
      <c r="M657" s="297"/>
      <c r="N657" s="298"/>
      <c r="P657" s="190" t="str">
        <f>IF(R657 = "", "", COUNT(R$4:$R657))</f>
        <v/>
      </c>
      <c r="Q657" s="190" t="str">
        <f t="shared" si="101"/>
        <v/>
      </c>
      <c r="R657" s="191" t="str">
        <f t="shared" si="102"/>
        <v/>
      </c>
      <c r="S657" s="192" t="str">
        <f t="shared" si="104"/>
        <v/>
      </c>
      <c r="T657" s="193" t="str">
        <f t="shared" si="105"/>
        <v/>
      </c>
      <c r="U657" s="194" t="str">
        <f t="shared" si="106"/>
        <v/>
      </c>
      <c r="V657" s="195" t="str">
        <f t="shared" si="103"/>
        <v/>
      </c>
      <c r="W657" s="336" t="str">
        <f t="shared" si="107"/>
        <v/>
      </c>
      <c r="X657" s="338" t="str">
        <f t="shared" si="108"/>
        <v/>
      </c>
      <c r="Y657" s="274"/>
      <c r="AR657" t="str">
        <f t="shared" si="109"/>
        <v/>
      </c>
      <c r="AS657" t="str">
        <f t="shared" si="110"/>
        <v/>
      </c>
    </row>
    <row r="658" spans="1:45">
      <c r="A658" s="291"/>
      <c r="B658" s="292"/>
      <c r="C658" s="293"/>
      <c r="D658" s="293"/>
      <c r="E658" s="293"/>
      <c r="F658" s="293"/>
      <c r="G658" s="294"/>
      <c r="H658" s="300"/>
      <c r="I658" s="295"/>
      <c r="J658" s="295"/>
      <c r="K658" s="296"/>
      <c r="L658" s="301"/>
      <c r="M658" s="297"/>
      <c r="N658" s="298"/>
      <c r="P658" s="190" t="str">
        <f>IF(R658 = "", "", COUNT(R$4:$R658))</f>
        <v/>
      </c>
      <c r="Q658" s="190" t="str">
        <f t="shared" si="101"/>
        <v/>
      </c>
      <c r="R658" s="191" t="str">
        <f t="shared" si="102"/>
        <v/>
      </c>
      <c r="S658" s="192" t="str">
        <f t="shared" si="104"/>
        <v/>
      </c>
      <c r="T658" s="193" t="str">
        <f t="shared" si="105"/>
        <v/>
      </c>
      <c r="U658" s="194" t="str">
        <f t="shared" si="106"/>
        <v/>
      </c>
      <c r="V658" s="195" t="str">
        <f t="shared" si="103"/>
        <v/>
      </c>
      <c r="W658" s="336" t="str">
        <f t="shared" si="107"/>
        <v/>
      </c>
      <c r="X658" s="338" t="str">
        <f t="shared" si="108"/>
        <v/>
      </c>
      <c r="Y658" s="274"/>
      <c r="AR658" t="str">
        <f t="shared" si="109"/>
        <v/>
      </c>
      <c r="AS658" t="str">
        <f t="shared" si="110"/>
        <v/>
      </c>
    </row>
    <row r="659" spans="1:45">
      <c r="A659" s="291"/>
      <c r="B659" s="292"/>
      <c r="C659" s="293"/>
      <c r="D659" s="293"/>
      <c r="E659" s="293"/>
      <c r="F659" s="293"/>
      <c r="G659" s="294"/>
      <c r="H659" s="300"/>
      <c r="I659" s="295"/>
      <c r="J659" s="295"/>
      <c r="K659" s="296"/>
      <c r="L659" s="301"/>
      <c r="M659" s="297"/>
      <c r="N659" s="298"/>
      <c r="P659" s="190" t="str">
        <f>IF(R659 = "", "", COUNT(R$4:$R659))</f>
        <v/>
      </c>
      <c r="Q659" s="190" t="str">
        <f t="shared" si="101"/>
        <v/>
      </c>
      <c r="R659" s="191" t="str">
        <f t="shared" si="102"/>
        <v/>
      </c>
      <c r="S659" s="192" t="str">
        <f t="shared" si="104"/>
        <v/>
      </c>
      <c r="T659" s="193" t="str">
        <f t="shared" si="105"/>
        <v/>
      </c>
      <c r="U659" s="194" t="str">
        <f t="shared" si="106"/>
        <v/>
      </c>
      <c r="V659" s="195" t="str">
        <f t="shared" si="103"/>
        <v/>
      </c>
      <c r="W659" s="336" t="str">
        <f t="shared" si="107"/>
        <v/>
      </c>
      <c r="X659" s="338" t="str">
        <f t="shared" si="108"/>
        <v/>
      </c>
      <c r="Y659" s="274"/>
      <c r="AR659" t="str">
        <f t="shared" si="109"/>
        <v/>
      </c>
      <c r="AS659" t="str">
        <f t="shared" si="110"/>
        <v/>
      </c>
    </row>
    <row r="660" spans="1:45">
      <c r="A660" s="291"/>
      <c r="B660" s="292"/>
      <c r="C660" s="293"/>
      <c r="D660" s="293"/>
      <c r="E660" s="293"/>
      <c r="F660" s="293"/>
      <c r="G660" s="294"/>
      <c r="H660" s="300"/>
      <c r="I660" s="295"/>
      <c r="J660" s="295"/>
      <c r="K660" s="296"/>
      <c r="L660" s="301"/>
      <c r="M660" s="297"/>
      <c r="N660" s="298"/>
      <c r="P660" s="190" t="str">
        <f>IF(R660 = "", "", COUNT(R$4:$R660))</f>
        <v/>
      </c>
      <c r="Q660" s="190" t="str">
        <f t="shared" si="101"/>
        <v/>
      </c>
      <c r="R660" s="191" t="str">
        <f t="shared" si="102"/>
        <v/>
      </c>
      <c r="S660" s="192" t="str">
        <f t="shared" si="104"/>
        <v/>
      </c>
      <c r="T660" s="193" t="str">
        <f t="shared" si="105"/>
        <v/>
      </c>
      <c r="U660" s="194" t="str">
        <f t="shared" si="106"/>
        <v/>
      </c>
      <c r="V660" s="195" t="str">
        <f t="shared" si="103"/>
        <v/>
      </c>
      <c r="W660" s="336" t="str">
        <f t="shared" si="107"/>
        <v/>
      </c>
      <c r="X660" s="338" t="str">
        <f t="shared" si="108"/>
        <v/>
      </c>
      <c r="Y660" s="274"/>
      <c r="AR660" t="str">
        <f t="shared" si="109"/>
        <v/>
      </c>
      <c r="AS660" t="str">
        <f t="shared" si="110"/>
        <v/>
      </c>
    </row>
    <row r="661" spans="1:45">
      <c r="A661" s="291"/>
      <c r="B661" s="292"/>
      <c r="C661" s="293"/>
      <c r="D661" s="293"/>
      <c r="E661" s="293"/>
      <c r="F661" s="293"/>
      <c r="G661" s="294"/>
      <c r="H661" s="300"/>
      <c r="I661" s="295"/>
      <c r="J661" s="295"/>
      <c r="K661" s="296"/>
      <c r="L661" s="301"/>
      <c r="M661" s="297"/>
      <c r="N661" s="298"/>
      <c r="P661" s="190" t="str">
        <f>IF(R661 = "", "", COUNT(R$4:$R661))</f>
        <v/>
      </c>
      <c r="Q661" s="190" t="str">
        <f t="shared" si="101"/>
        <v/>
      </c>
      <c r="R661" s="191" t="str">
        <f t="shared" si="102"/>
        <v/>
      </c>
      <c r="S661" s="192" t="str">
        <f t="shared" si="104"/>
        <v/>
      </c>
      <c r="T661" s="193" t="str">
        <f t="shared" si="105"/>
        <v/>
      </c>
      <c r="U661" s="194" t="str">
        <f t="shared" si="106"/>
        <v/>
      </c>
      <c r="V661" s="195" t="str">
        <f t="shared" si="103"/>
        <v/>
      </c>
      <c r="W661" s="336" t="str">
        <f t="shared" si="107"/>
        <v/>
      </c>
      <c r="X661" s="338" t="str">
        <f t="shared" si="108"/>
        <v/>
      </c>
      <c r="Y661" s="274"/>
      <c r="AR661" t="str">
        <f t="shared" si="109"/>
        <v/>
      </c>
      <c r="AS661" t="str">
        <f t="shared" si="110"/>
        <v/>
      </c>
    </row>
    <row r="662" spans="1:45">
      <c r="A662" s="291"/>
      <c r="B662" s="292"/>
      <c r="C662" s="293"/>
      <c r="D662" s="293"/>
      <c r="E662" s="293"/>
      <c r="F662" s="293"/>
      <c r="G662" s="294"/>
      <c r="H662" s="300"/>
      <c r="I662" s="295"/>
      <c r="J662" s="295"/>
      <c r="K662" s="296"/>
      <c r="L662" s="301"/>
      <c r="M662" s="297"/>
      <c r="N662" s="298"/>
      <c r="P662" s="190" t="str">
        <f>IF(R662 = "", "", COUNT(R$4:$R662))</f>
        <v/>
      </c>
      <c r="Q662" s="190" t="str">
        <f t="shared" si="101"/>
        <v/>
      </c>
      <c r="R662" s="191" t="str">
        <f t="shared" si="102"/>
        <v/>
      </c>
      <c r="S662" s="192" t="str">
        <f t="shared" si="104"/>
        <v/>
      </c>
      <c r="T662" s="193" t="str">
        <f t="shared" si="105"/>
        <v/>
      </c>
      <c r="U662" s="194" t="str">
        <f t="shared" si="106"/>
        <v/>
      </c>
      <c r="V662" s="195" t="str">
        <f t="shared" si="103"/>
        <v/>
      </c>
      <c r="W662" s="336" t="str">
        <f t="shared" si="107"/>
        <v/>
      </c>
      <c r="X662" s="338" t="str">
        <f t="shared" si="108"/>
        <v/>
      </c>
      <c r="Y662" s="274"/>
      <c r="AR662" t="str">
        <f t="shared" si="109"/>
        <v/>
      </c>
      <c r="AS662" t="str">
        <f t="shared" si="110"/>
        <v/>
      </c>
    </row>
    <row r="663" spans="1:45">
      <c r="A663" s="291"/>
      <c r="B663" s="292"/>
      <c r="C663" s="293"/>
      <c r="D663" s="293"/>
      <c r="E663" s="293"/>
      <c r="F663" s="293"/>
      <c r="G663" s="294"/>
      <c r="H663" s="300"/>
      <c r="I663" s="295"/>
      <c r="J663" s="295"/>
      <c r="K663" s="296"/>
      <c r="L663" s="301"/>
      <c r="M663" s="297"/>
      <c r="N663" s="298"/>
      <c r="P663" s="190" t="str">
        <f>IF(R663 = "", "", COUNT(R$4:$R663))</f>
        <v/>
      </c>
      <c r="Q663" s="190" t="str">
        <f t="shared" si="101"/>
        <v/>
      </c>
      <c r="R663" s="191" t="str">
        <f t="shared" si="102"/>
        <v/>
      </c>
      <c r="S663" s="192" t="str">
        <f t="shared" si="104"/>
        <v/>
      </c>
      <c r="T663" s="193" t="str">
        <f t="shared" si="105"/>
        <v/>
      </c>
      <c r="U663" s="194" t="str">
        <f t="shared" si="106"/>
        <v/>
      </c>
      <c r="V663" s="195" t="str">
        <f t="shared" si="103"/>
        <v/>
      </c>
      <c r="W663" s="336" t="str">
        <f t="shared" si="107"/>
        <v/>
      </c>
      <c r="X663" s="338" t="str">
        <f t="shared" si="108"/>
        <v/>
      </c>
      <c r="Y663" s="274"/>
      <c r="AR663" t="str">
        <f t="shared" si="109"/>
        <v/>
      </c>
      <c r="AS663" t="str">
        <f t="shared" si="110"/>
        <v/>
      </c>
    </row>
    <row r="664" spans="1:45">
      <c r="A664" s="291"/>
      <c r="B664" s="292"/>
      <c r="C664" s="293"/>
      <c r="D664" s="293"/>
      <c r="E664" s="293"/>
      <c r="F664" s="293"/>
      <c r="G664" s="294"/>
      <c r="H664" s="300"/>
      <c r="I664" s="295"/>
      <c r="J664" s="295"/>
      <c r="K664" s="296"/>
      <c r="L664" s="301"/>
      <c r="M664" s="297"/>
      <c r="N664" s="298"/>
      <c r="P664" s="190" t="str">
        <f>IF(R664 = "", "", COUNT(R$4:$R664))</f>
        <v/>
      </c>
      <c r="Q664" s="190" t="str">
        <f t="shared" si="101"/>
        <v/>
      </c>
      <c r="R664" s="191" t="str">
        <f t="shared" si="102"/>
        <v/>
      </c>
      <c r="S664" s="192" t="str">
        <f t="shared" si="104"/>
        <v/>
      </c>
      <c r="T664" s="193" t="str">
        <f t="shared" si="105"/>
        <v/>
      </c>
      <c r="U664" s="194" t="str">
        <f t="shared" si="106"/>
        <v/>
      </c>
      <c r="V664" s="195" t="str">
        <f t="shared" si="103"/>
        <v/>
      </c>
      <c r="W664" s="336" t="str">
        <f t="shared" si="107"/>
        <v/>
      </c>
      <c r="X664" s="338" t="str">
        <f t="shared" si="108"/>
        <v/>
      </c>
      <c r="Y664" s="274"/>
      <c r="AR664" t="str">
        <f t="shared" si="109"/>
        <v/>
      </c>
      <c r="AS664" t="str">
        <f t="shared" si="110"/>
        <v/>
      </c>
    </row>
    <row r="665" spans="1:45">
      <c r="A665" s="291"/>
      <c r="B665" s="292"/>
      <c r="C665" s="293"/>
      <c r="D665" s="293"/>
      <c r="E665" s="293"/>
      <c r="F665" s="293"/>
      <c r="G665" s="294"/>
      <c r="H665" s="300"/>
      <c r="I665" s="295"/>
      <c r="J665" s="295"/>
      <c r="K665" s="296"/>
      <c r="L665" s="301"/>
      <c r="M665" s="297"/>
      <c r="N665" s="298"/>
      <c r="P665" s="190" t="str">
        <f>IF(R665 = "", "", COUNT(R$4:$R665))</f>
        <v/>
      </c>
      <c r="Q665" s="190" t="str">
        <f t="shared" si="101"/>
        <v/>
      </c>
      <c r="R665" s="191" t="str">
        <f t="shared" si="102"/>
        <v/>
      </c>
      <c r="S665" s="192" t="str">
        <f t="shared" si="104"/>
        <v/>
      </c>
      <c r="T665" s="193" t="str">
        <f t="shared" si="105"/>
        <v/>
      </c>
      <c r="U665" s="194" t="str">
        <f t="shared" si="106"/>
        <v/>
      </c>
      <c r="V665" s="195" t="str">
        <f t="shared" si="103"/>
        <v/>
      </c>
      <c r="W665" s="336" t="str">
        <f t="shared" si="107"/>
        <v/>
      </c>
      <c r="X665" s="338" t="str">
        <f t="shared" si="108"/>
        <v/>
      </c>
      <c r="Y665" s="274"/>
      <c r="AR665" t="str">
        <f t="shared" si="109"/>
        <v/>
      </c>
      <c r="AS665" t="str">
        <f t="shared" si="110"/>
        <v/>
      </c>
    </row>
    <row r="666" spans="1:45">
      <c r="A666" s="291"/>
      <c r="B666" s="292"/>
      <c r="C666" s="293"/>
      <c r="D666" s="293"/>
      <c r="E666" s="293"/>
      <c r="F666" s="293"/>
      <c r="G666" s="294"/>
      <c r="H666" s="300"/>
      <c r="I666" s="295"/>
      <c r="J666" s="295"/>
      <c r="K666" s="296"/>
      <c r="L666" s="301"/>
      <c r="M666" s="297"/>
      <c r="N666" s="298"/>
      <c r="P666" s="190" t="str">
        <f>IF(R666 = "", "", COUNT(R$4:$R666))</f>
        <v/>
      </c>
      <c r="Q666" s="190" t="str">
        <f t="shared" si="101"/>
        <v/>
      </c>
      <c r="R666" s="191" t="str">
        <f t="shared" si="102"/>
        <v/>
      </c>
      <c r="S666" s="192" t="str">
        <f t="shared" si="104"/>
        <v/>
      </c>
      <c r="T666" s="193" t="str">
        <f t="shared" si="105"/>
        <v/>
      </c>
      <c r="U666" s="194" t="str">
        <f t="shared" si="106"/>
        <v/>
      </c>
      <c r="V666" s="195" t="str">
        <f t="shared" si="103"/>
        <v/>
      </c>
      <c r="W666" s="336" t="str">
        <f t="shared" si="107"/>
        <v/>
      </c>
      <c r="X666" s="338" t="str">
        <f t="shared" si="108"/>
        <v/>
      </c>
      <c r="Y666" s="274"/>
      <c r="AR666" t="str">
        <f t="shared" si="109"/>
        <v/>
      </c>
      <c r="AS666" t="str">
        <f t="shared" si="110"/>
        <v/>
      </c>
    </row>
    <row r="667" spans="1:45">
      <c r="A667" s="291"/>
      <c r="B667" s="292"/>
      <c r="C667" s="293"/>
      <c r="D667" s="293"/>
      <c r="E667" s="293"/>
      <c r="F667" s="293"/>
      <c r="G667" s="294"/>
      <c r="H667" s="300"/>
      <c r="I667" s="295"/>
      <c r="J667" s="295"/>
      <c r="K667" s="296"/>
      <c r="L667" s="301"/>
      <c r="M667" s="297"/>
      <c r="N667" s="298"/>
      <c r="P667" s="190" t="str">
        <f>IF(R667 = "", "", COUNT(R$4:$R667))</f>
        <v/>
      </c>
      <c r="Q667" s="190" t="str">
        <f t="shared" si="101"/>
        <v/>
      </c>
      <c r="R667" s="191" t="str">
        <f t="shared" si="102"/>
        <v/>
      </c>
      <c r="S667" s="192" t="str">
        <f t="shared" si="104"/>
        <v/>
      </c>
      <c r="T667" s="193" t="str">
        <f t="shared" si="105"/>
        <v/>
      </c>
      <c r="U667" s="194" t="str">
        <f t="shared" si="106"/>
        <v/>
      </c>
      <c r="V667" s="195" t="str">
        <f t="shared" si="103"/>
        <v/>
      </c>
      <c r="W667" s="336" t="str">
        <f t="shared" si="107"/>
        <v/>
      </c>
      <c r="X667" s="338" t="str">
        <f t="shared" si="108"/>
        <v/>
      </c>
      <c r="Y667" s="274"/>
      <c r="AR667" t="str">
        <f t="shared" si="109"/>
        <v/>
      </c>
      <c r="AS667" t="str">
        <f t="shared" si="110"/>
        <v/>
      </c>
    </row>
    <row r="668" spans="1:45">
      <c r="A668" s="291"/>
      <c r="B668" s="292"/>
      <c r="C668" s="293"/>
      <c r="D668" s="293"/>
      <c r="E668" s="293"/>
      <c r="F668" s="293"/>
      <c r="G668" s="294"/>
      <c r="H668" s="300"/>
      <c r="I668" s="295"/>
      <c r="J668" s="295"/>
      <c r="K668" s="296"/>
      <c r="L668" s="301"/>
      <c r="M668" s="297"/>
      <c r="N668" s="298"/>
      <c r="P668" s="190" t="str">
        <f>IF(R668 = "", "", COUNT(R$4:$R668))</f>
        <v/>
      </c>
      <c r="Q668" s="190" t="str">
        <f t="shared" si="101"/>
        <v/>
      </c>
      <c r="R668" s="191" t="str">
        <f t="shared" si="102"/>
        <v/>
      </c>
      <c r="S668" s="192" t="str">
        <f t="shared" si="104"/>
        <v/>
      </c>
      <c r="T668" s="193" t="str">
        <f t="shared" si="105"/>
        <v/>
      </c>
      <c r="U668" s="194" t="str">
        <f t="shared" si="106"/>
        <v/>
      </c>
      <c r="V668" s="195" t="str">
        <f t="shared" si="103"/>
        <v/>
      </c>
      <c r="W668" s="336" t="str">
        <f t="shared" si="107"/>
        <v/>
      </c>
      <c r="X668" s="338" t="str">
        <f t="shared" si="108"/>
        <v/>
      </c>
      <c r="Y668" s="274"/>
      <c r="AR668" t="str">
        <f t="shared" si="109"/>
        <v/>
      </c>
      <c r="AS668" t="str">
        <f t="shared" si="110"/>
        <v/>
      </c>
    </row>
    <row r="669" spans="1:45">
      <c r="A669" s="291"/>
      <c r="B669" s="292"/>
      <c r="C669" s="293"/>
      <c r="D669" s="293"/>
      <c r="E669" s="293"/>
      <c r="F669" s="293"/>
      <c r="G669" s="294"/>
      <c r="H669" s="300"/>
      <c r="I669" s="295"/>
      <c r="J669" s="295"/>
      <c r="K669" s="296"/>
      <c r="L669" s="301"/>
      <c r="M669" s="297"/>
      <c r="N669" s="298"/>
      <c r="P669" s="190" t="str">
        <f>IF(R669 = "", "", COUNT(R$4:$R669))</f>
        <v/>
      </c>
      <c r="Q669" s="190" t="str">
        <f t="shared" si="101"/>
        <v/>
      </c>
      <c r="R669" s="191" t="str">
        <f t="shared" si="102"/>
        <v/>
      </c>
      <c r="S669" s="192" t="str">
        <f t="shared" si="104"/>
        <v/>
      </c>
      <c r="T669" s="193" t="str">
        <f t="shared" si="105"/>
        <v/>
      </c>
      <c r="U669" s="194" t="str">
        <f t="shared" si="106"/>
        <v/>
      </c>
      <c r="V669" s="195" t="str">
        <f t="shared" si="103"/>
        <v/>
      </c>
      <c r="W669" s="336" t="str">
        <f t="shared" si="107"/>
        <v/>
      </c>
      <c r="X669" s="338" t="str">
        <f t="shared" si="108"/>
        <v/>
      </c>
      <c r="Y669" s="274"/>
      <c r="AR669" t="str">
        <f t="shared" si="109"/>
        <v/>
      </c>
      <c r="AS669" t="str">
        <f t="shared" si="110"/>
        <v/>
      </c>
    </row>
    <row r="670" spans="1:45">
      <c r="A670" s="291"/>
      <c r="B670" s="292"/>
      <c r="C670" s="293"/>
      <c r="D670" s="293"/>
      <c r="E670" s="293"/>
      <c r="F670" s="293"/>
      <c r="G670" s="294"/>
      <c r="H670" s="300"/>
      <c r="I670" s="295"/>
      <c r="J670" s="295"/>
      <c r="K670" s="296"/>
      <c r="L670" s="301"/>
      <c r="M670" s="297"/>
      <c r="N670" s="298"/>
      <c r="P670" s="190" t="str">
        <f>IF(R670 = "", "", COUNT(R$4:$R670))</f>
        <v/>
      </c>
      <c r="Q670" s="190" t="str">
        <f t="shared" si="101"/>
        <v/>
      </c>
      <c r="R670" s="191" t="str">
        <f t="shared" si="102"/>
        <v/>
      </c>
      <c r="S670" s="192" t="str">
        <f t="shared" si="104"/>
        <v/>
      </c>
      <c r="T670" s="193" t="str">
        <f t="shared" si="105"/>
        <v/>
      </c>
      <c r="U670" s="194" t="str">
        <f t="shared" si="106"/>
        <v/>
      </c>
      <c r="V670" s="195" t="str">
        <f t="shared" si="103"/>
        <v/>
      </c>
      <c r="W670" s="336" t="str">
        <f t="shared" si="107"/>
        <v/>
      </c>
      <c r="X670" s="338" t="str">
        <f t="shared" si="108"/>
        <v/>
      </c>
      <c r="Y670" s="274"/>
      <c r="AR670" t="str">
        <f t="shared" si="109"/>
        <v/>
      </c>
      <c r="AS670" t="str">
        <f t="shared" si="110"/>
        <v/>
      </c>
    </row>
    <row r="671" spans="1:45">
      <c r="A671" s="291"/>
      <c r="B671" s="292"/>
      <c r="C671" s="293"/>
      <c r="D671" s="293"/>
      <c r="E671" s="293"/>
      <c r="F671" s="293"/>
      <c r="G671" s="294"/>
      <c r="H671" s="300"/>
      <c r="I671" s="295"/>
      <c r="J671" s="295"/>
      <c r="K671" s="296"/>
      <c r="L671" s="301"/>
      <c r="M671" s="297"/>
      <c r="N671" s="298"/>
      <c r="P671" s="190" t="str">
        <f>IF(R671 = "", "", COUNT(R$4:$R671))</f>
        <v/>
      </c>
      <c r="Q671" s="190" t="str">
        <f t="shared" si="101"/>
        <v/>
      </c>
      <c r="R671" s="191" t="str">
        <f t="shared" si="102"/>
        <v/>
      </c>
      <c r="S671" s="192" t="str">
        <f t="shared" si="104"/>
        <v/>
      </c>
      <c r="T671" s="193" t="str">
        <f t="shared" si="105"/>
        <v/>
      </c>
      <c r="U671" s="194" t="str">
        <f t="shared" si="106"/>
        <v/>
      </c>
      <c r="V671" s="195" t="str">
        <f t="shared" si="103"/>
        <v/>
      </c>
      <c r="W671" s="336" t="str">
        <f t="shared" si="107"/>
        <v/>
      </c>
      <c r="X671" s="338" t="str">
        <f t="shared" si="108"/>
        <v/>
      </c>
      <c r="Y671" s="274"/>
      <c r="AR671" t="str">
        <f t="shared" si="109"/>
        <v/>
      </c>
      <c r="AS671" t="str">
        <f t="shared" si="110"/>
        <v/>
      </c>
    </row>
    <row r="672" spans="1:45">
      <c r="A672" s="291"/>
      <c r="B672" s="292"/>
      <c r="C672" s="293"/>
      <c r="D672" s="293"/>
      <c r="E672" s="293"/>
      <c r="F672" s="293"/>
      <c r="G672" s="294"/>
      <c r="H672" s="300"/>
      <c r="I672" s="295"/>
      <c r="J672" s="295"/>
      <c r="K672" s="296"/>
      <c r="L672" s="301"/>
      <c r="M672" s="297"/>
      <c r="N672" s="298"/>
      <c r="P672" s="190" t="str">
        <f>IF(R672 = "", "", COUNT(R$4:$R672))</f>
        <v/>
      </c>
      <c r="Q672" s="190" t="str">
        <f t="shared" si="101"/>
        <v/>
      </c>
      <c r="R672" s="191" t="str">
        <f t="shared" si="102"/>
        <v/>
      </c>
      <c r="S672" s="192" t="str">
        <f t="shared" si="104"/>
        <v/>
      </c>
      <c r="T672" s="193" t="str">
        <f t="shared" si="105"/>
        <v/>
      </c>
      <c r="U672" s="194" t="str">
        <f t="shared" si="106"/>
        <v/>
      </c>
      <c r="V672" s="195" t="str">
        <f t="shared" si="103"/>
        <v/>
      </c>
      <c r="W672" s="336" t="str">
        <f t="shared" si="107"/>
        <v/>
      </c>
      <c r="X672" s="338" t="str">
        <f t="shared" si="108"/>
        <v/>
      </c>
      <c r="Y672" s="274"/>
      <c r="AR672" t="str">
        <f t="shared" si="109"/>
        <v/>
      </c>
      <c r="AS672" t="str">
        <f t="shared" si="110"/>
        <v/>
      </c>
    </row>
    <row r="673" spans="1:45">
      <c r="A673" s="291"/>
      <c r="B673" s="292"/>
      <c r="C673" s="293"/>
      <c r="D673" s="293"/>
      <c r="E673" s="293"/>
      <c r="F673" s="293"/>
      <c r="G673" s="294"/>
      <c r="H673" s="300"/>
      <c r="I673" s="295"/>
      <c r="J673" s="295"/>
      <c r="K673" s="296"/>
      <c r="L673" s="301"/>
      <c r="M673" s="297"/>
      <c r="N673" s="298"/>
      <c r="P673" s="190" t="str">
        <f>IF(R673 = "", "", COUNT(R$4:$R673))</f>
        <v/>
      </c>
      <c r="Q673" s="190" t="str">
        <f t="shared" si="101"/>
        <v/>
      </c>
      <c r="R673" s="191" t="str">
        <f t="shared" si="102"/>
        <v/>
      </c>
      <c r="S673" s="192" t="str">
        <f t="shared" si="104"/>
        <v/>
      </c>
      <c r="T673" s="193" t="str">
        <f t="shared" si="105"/>
        <v/>
      </c>
      <c r="U673" s="194" t="str">
        <f t="shared" si="106"/>
        <v/>
      </c>
      <c r="V673" s="195" t="str">
        <f t="shared" si="103"/>
        <v/>
      </c>
      <c r="W673" s="336" t="str">
        <f t="shared" si="107"/>
        <v/>
      </c>
      <c r="X673" s="338" t="str">
        <f t="shared" si="108"/>
        <v/>
      </c>
      <c r="Y673" s="274"/>
      <c r="AR673" t="str">
        <f t="shared" si="109"/>
        <v/>
      </c>
      <c r="AS673" t="str">
        <f t="shared" si="110"/>
        <v/>
      </c>
    </row>
    <row r="674" spans="1:45">
      <c r="A674" s="291"/>
      <c r="B674" s="292"/>
      <c r="C674" s="293"/>
      <c r="D674" s="293"/>
      <c r="E674" s="293"/>
      <c r="F674" s="293"/>
      <c r="G674" s="294"/>
      <c r="H674" s="300"/>
      <c r="I674" s="295"/>
      <c r="J674" s="295"/>
      <c r="K674" s="296"/>
      <c r="L674" s="301"/>
      <c r="M674" s="297"/>
      <c r="N674" s="298"/>
      <c r="P674" s="190" t="str">
        <f>IF(R674 = "", "", COUNT(R$4:$R674))</f>
        <v/>
      </c>
      <c r="Q674" s="190" t="str">
        <f t="shared" si="101"/>
        <v/>
      </c>
      <c r="R674" s="191" t="str">
        <f t="shared" si="102"/>
        <v/>
      </c>
      <c r="S674" s="192" t="str">
        <f t="shared" si="104"/>
        <v/>
      </c>
      <c r="T674" s="193" t="str">
        <f t="shared" si="105"/>
        <v/>
      </c>
      <c r="U674" s="194" t="str">
        <f t="shared" si="106"/>
        <v/>
      </c>
      <c r="V674" s="195" t="str">
        <f t="shared" si="103"/>
        <v/>
      </c>
      <c r="W674" s="336" t="str">
        <f t="shared" si="107"/>
        <v/>
      </c>
      <c r="X674" s="338" t="str">
        <f t="shared" si="108"/>
        <v/>
      </c>
      <c r="Y674" s="274"/>
      <c r="AR674" t="str">
        <f t="shared" si="109"/>
        <v/>
      </c>
      <c r="AS674" t="str">
        <f t="shared" si="110"/>
        <v/>
      </c>
    </row>
    <row r="675" spans="1:45">
      <c r="A675" s="291"/>
      <c r="B675" s="292"/>
      <c r="C675" s="293"/>
      <c r="D675" s="293"/>
      <c r="E675" s="293"/>
      <c r="F675" s="293"/>
      <c r="G675" s="294"/>
      <c r="H675" s="300"/>
      <c r="I675" s="295"/>
      <c r="J675" s="295"/>
      <c r="K675" s="296"/>
      <c r="L675" s="301"/>
      <c r="M675" s="297"/>
      <c r="N675" s="298"/>
      <c r="P675" s="190" t="str">
        <f>IF(R675 = "", "", COUNT(R$4:$R675))</f>
        <v/>
      </c>
      <c r="Q675" s="190" t="str">
        <f t="shared" si="101"/>
        <v/>
      </c>
      <c r="R675" s="191" t="str">
        <f t="shared" si="102"/>
        <v/>
      </c>
      <c r="S675" s="192" t="str">
        <f t="shared" si="104"/>
        <v/>
      </c>
      <c r="T675" s="193" t="str">
        <f t="shared" si="105"/>
        <v/>
      </c>
      <c r="U675" s="194" t="str">
        <f t="shared" si="106"/>
        <v/>
      </c>
      <c r="V675" s="195" t="str">
        <f t="shared" si="103"/>
        <v/>
      </c>
      <c r="W675" s="336" t="str">
        <f t="shared" si="107"/>
        <v/>
      </c>
      <c r="X675" s="338" t="str">
        <f t="shared" si="108"/>
        <v/>
      </c>
      <c r="Y675" s="274"/>
      <c r="AR675" t="str">
        <f t="shared" si="109"/>
        <v/>
      </c>
      <c r="AS675" t="str">
        <f t="shared" si="110"/>
        <v/>
      </c>
    </row>
    <row r="676" spans="1:45">
      <c r="A676" s="291"/>
      <c r="B676" s="292"/>
      <c r="C676" s="293"/>
      <c r="D676" s="293"/>
      <c r="E676" s="293"/>
      <c r="F676" s="293"/>
      <c r="G676" s="294"/>
      <c r="H676" s="300"/>
      <c r="I676" s="295"/>
      <c r="J676" s="295"/>
      <c r="K676" s="296"/>
      <c r="L676" s="301"/>
      <c r="M676" s="297"/>
      <c r="N676" s="298"/>
      <c r="P676" s="190" t="str">
        <f>IF(R676 = "", "", COUNT(R$4:$R676))</f>
        <v/>
      </c>
      <c r="Q676" s="190" t="str">
        <f t="shared" si="101"/>
        <v/>
      </c>
      <c r="R676" s="191" t="str">
        <f t="shared" si="102"/>
        <v/>
      </c>
      <c r="S676" s="192" t="str">
        <f t="shared" si="104"/>
        <v/>
      </c>
      <c r="T676" s="193" t="str">
        <f t="shared" si="105"/>
        <v/>
      </c>
      <c r="U676" s="194" t="str">
        <f t="shared" si="106"/>
        <v/>
      </c>
      <c r="V676" s="195" t="str">
        <f t="shared" si="103"/>
        <v/>
      </c>
      <c r="W676" s="336" t="str">
        <f t="shared" si="107"/>
        <v/>
      </c>
      <c r="X676" s="338" t="str">
        <f t="shared" si="108"/>
        <v/>
      </c>
      <c r="Y676" s="274"/>
      <c r="AR676" t="str">
        <f t="shared" si="109"/>
        <v/>
      </c>
      <c r="AS676" t="str">
        <f t="shared" si="110"/>
        <v/>
      </c>
    </row>
    <row r="677" spans="1:45">
      <c r="A677" s="291"/>
      <c r="B677" s="292"/>
      <c r="C677" s="293"/>
      <c r="D677" s="293"/>
      <c r="E677" s="293"/>
      <c r="F677" s="293"/>
      <c r="G677" s="294"/>
      <c r="H677" s="300"/>
      <c r="I677" s="295"/>
      <c r="J677" s="295"/>
      <c r="K677" s="296"/>
      <c r="L677" s="301"/>
      <c r="M677" s="297"/>
      <c r="N677" s="298"/>
      <c r="P677" s="190" t="str">
        <f>IF(R677 = "", "", COUNT(R$4:$R677))</f>
        <v/>
      </c>
      <c r="Q677" s="190" t="str">
        <f t="shared" si="101"/>
        <v/>
      </c>
      <c r="R677" s="191" t="str">
        <f t="shared" si="102"/>
        <v/>
      </c>
      <c r="S677" s="192" t="str">
        <f t="shared" si="104"/>
        <v/>
      </c>
      <c r="T677" s="193" t="str">
        <f t="shared" si="105"/>
        <v/>
      </c>
      <c r="U677" s="194" t="str">
        <f t="shared" si="106"/>
        <v/>
      </c>
      <c r="V677" s="195" t="str">
        <f t="shared" si="103"/>
        <v/>
      </c>
      <c r="W677" s="336" t="str">
        <f t="shared" si="107"/>
        <v/>
      </c>
      <c r="X677" s="338" t="str">
        <f t="shared" si="108"/>
        <v/>
      </c>
      <c r="Y677" s="274"/>
      <c r="AR677" t="str">
        <f t="shared" si="109"/>
        <v/>
      </c>
      <c r="AS677" t="str">
        <f t="shared" si="110"/>
        <v/>
      </c>
    </row>
    <row r="678" spans="1:45">
      <c r="A678" s="291"/>
      <c r="B678" s="292"/>
      <c r="C678" s="293"/>
      <c r="D678" s="293"/>
      <c r="E678" s="293"/>
      <c r="F678" s="293"/>
      <c r="G678" s="294"/>
      <c r="H678" s="300"/>
      <c r="I678" s="295"/>
      <c r="J678" s="295"/>
      <c r="K678" s="296"/>
      <c r="L678" s="301"/>
      <c r="M678" s="297"/>
      <c r="N678" s="298"/>
      <c r="P678" s="190" t="str">
        <f>IF(R678 = "", "", COUNT(R$4:$R678))</f>
        <v/>
      </c>
      <c r="Q678" s="190" t="str">
        <f t="shared" si="101"/>
        <v/>
      </c>
      <c r="R678" s="191" t="str">
        <f t="shared" si="102"/>
        <v/>
      </c>
      <c r="S678" s="192" t="str">
        <f t="shared" si="104"/>
        <v/>
      </c>
      <c r="T678" s="193" t="str">
        <f t="shared" si="105"/>
        <v/>
      </c>
      <c r="U678" s="194" t="str">
        <f t="shared" si="106"/>
        <v/>
      </c>
      <c r="V678" s="195" t="str">
        <f t="shared" si="103"/>
        <v/>
      </c>
      <c r="W678" s="336" t="str">
        <f t="shared" si="107"/>
        <v/>
      </c>
      <c r="X678" s="338" t="str">
        <f t="shared" si="108"/>
        <v/>
      </c>
      <c r="Y678" s="274"/>
      <c r="AR678" t="str">
        <f t="shared" si="109"/>
        <v/>
      </c>
      <c r="AS678" t="str">
        <f t="shared" si="110"/>
        <v/>
      </c>
    </row>
    <row r="679" spans="1:45">
      <c r="A679" s="291"/>
      <c r="B679" s="292"/>
      <c r="C679" s="293"/>
      <c r="D679" s="293"/>
      <c r="E679" s="293"/>
      <c r="F679" s="293"/>
      <c r="G679" s="294"/>
      <c r="H679" s="300"/>
      <c r="I679" s="295"/>
      <c r="J679" s="295"/>
      <c r="K679" s="296"/>
      <c r="L679" s="301"/>
      <c r="M679" s="297"/>
      <c r="N679" s="298"/>
      <c r="P679" s="190" t="str">
        <f>IF(R679 = "", "", COUNT(R$4:$R679))</f>
        <v/>
      </c>
      <c r="Q679" s="190" t="str">
        <f t="shared" si="101"/>
        <v/>
      </c>
      <c r="R679" s="191" t="str">
        <f t="shared" si="102"/>
        <v/>
      </c>
      <c r="S679" s="192" t="str">
        <f t="shared" si="104"/>
        <v/>
      </c>
      <c r="T679" s="193" t="str">
        <f t="shared" si="105"/>
        <v/>
      </c>
      <c r="U679" s="194" t="str">
        <f t="shared" si="106"/>
        <v/>
      </c>
      <c r="V679" s="195" t="str">
        <f t="shared" si="103"/>
        <v/>
      </c>
      <c r="W679" s="336" t="str">
        <f t="shared" si="107"/>
        <v/>
      </c>
      <c r="X679" s="338" t="str">
        <f t="shared" si="108"/>
        <v/>
      </c>
      <c r="Y679" s="274"/>
      <c r="AR679" t="str">
        <f t="shared" si="109"/>
        <v/>
      </c>
      <c r="AS679" t="str">
        <f t="shared" si="110"/>
        <v/>
      </c>
    </row>
    <row r="680" spans="1:45">
      <c r="A680" s="291"/>
      <c r="B680" s="292"/>
      <c r="C680" s="293"/>
      <c r="D680" s="293"/>
      <c r="E680" s="293"/>
      <c r="F680" s="293"/>
      <c r="G680" s="294"/>
      <c r="H680" s="300"/>
      <c r="I680" s="295"/>
      <c r="J680" s="295"/>
      <c r="K680" s="296"/>
      <c r="L680" s="301"/>
      <c r="M680" s="297"/>
      <c r="N680" s="298"/>
      <c r="P680" s="190" t="str">
        <f>IF(R680 = "", "", COUNT(R$4:$R680))</f>
        <v/>
      </c>
      <c r="Q680" s="190" t="str">
        <f t="shared" si="101"/>
        <v/>
      </c>
      <c r="R680" s="191" t="str">
        <f t="shared" si="102"/>
        <v/>
      </c>
      <c r="S680" s="192" t="str">
        <f t="shared" si="104"/>
        <v/>
      </c>
      <c r="T680" s="193" t="str">
        <f t="shared" si="105"/>
        <v/>
      </c>
      <c r="U680" s="194" t="str">
        <f t="shared" si="106"/>
        <v/>
      </c>
      <c r="V680" s="195" t="str">
        <f t="shared" si="103"/>
        <v/>
      </c>
      <c r="W680" s="336" t="str">
        <f t="shared" si="107"/>
        <v/>
      </c>
      <c r="X680" s="338" t="str">
        <f t="shared" si="108"/>
        <v/>
      </c>
      <c r="Y680" s="274"/>
      <c r="AR680" t="str">
        <f t="shared" si="109"/>
        <v/>
      </c>
      <c r="AS680" t="str">
        <f t="shared" si="110"/>
        <v/>
      </c>
    </row>
    <row r="681" spans="1:45">
      <c r="A681" s="291"/>
      <c r="B681" s="292"/>
      <c r="C681" s="293"/>
      <c r="D681" s="293"/>
      <c r="E681" s="293"/>
      <c r="F681" s="293"/>
      <c r="G681" s="294"/>
      <c r="H681" s="300"/>
      <c r="I681" s="295"/>
      <c r="J681" s="295"/>
      <c r="K681" s="296"/>
      <c r="L681" s="301"/>
      <c r="M681" s="297"/>
      <c r="N681" s="298"/>
      <c r="P681" s="190" t="str">
        <f>IF(R681 = "", "", COUNT(R$4:$R681))</f>
        <v/>
      </c>
      <c r="Q681" s="190" t="str">
        <f t="shared" si="101"/>
        <v/>
      </c>
      <c r="R681" s="191" t="str">
        <f t="shared" si="102"/>
        <v/>
      </c>
      <c r="S681" s="192" t="str">
        <f t="shared" si="104"/>
        <v/>
      </c>
      <c r="T681" s="193" t="str">
        <f t="shared" si="105"/>
        <v/>
      </c>
      <c r="U681" s="194" t="str">
        <f t="shared" si="106"/>
        <v/>
      </c>
      <c r="V681" s="195" t="str">
        <f t="shared" si="103"/>
        <v/>
      </c>
      <c r="W681" s="336" t="str">
        <f t="shared" si="107"/>
        <v/>
      </c>
      <c r="X681" s="338" t="str">
        <f t="shared" si="108"/>
        <v/>
      </c>
      <c r="Y681" s="274"/>
      <c r="AR681" t="str">
        <f t="shared" si="109"/>
        <v/>
      </c>
      <c r="AS681" t="str">
        <f t="shared" si="110"/>
        <v/>
      </c>
    </row>
    <row r="682" spans="1:45">
      <c r="A682" s="291"/>
      <c r="B682" s="292"/>
      <c r="C682" s="293"/>
      <c r="D682" s="293"/>
      <c r="E682" s="293"/>
      <c r="F682" s="293"/>
      <c r="G682" s="294"/>
      <c r="H682" s="300"/>
      <c r="I682" s="295"/>
      <c r="J682" s="295"/>
      <c r="K682" s="296"/>
      <c r="L682" s="301"/>
      <c r="M682" s="297"/>
      <c r="N682" s="298"/>
      <c r="P682" s="190" t="str">
        <f>IF(R682 = "", "", COUNT(R$4:$R682))</f>
        <v/>
      </c>
      <c r="Q682" s="190" t="str">
        <f t="shared" si="101"/>
        <v/>
      </c>
      <c r="R682" s="191" t="str">
        <f t="shared" si="102"/>
        <v/>
      </c>
      <c r="S682" s="192" t="str">
        <f t="shared" si="104"/>
        <v/>
      </c>
      <c r="T682" s="193" t="str">
        <f t="shared" si="105"/>
        <v/>
      </c>
      <c r="U682" s="194" t="str">
        <f t="shared" si="106"/>
        <v/>
      </c>
      <c r="V682" s="195" t="str">
        <f t="shared" si="103"/>
        <v/>
      </c>
      <c r="W682" s="336" t="str">
        <f t="shared" si="107"/>
        <v/>
      </c>
      <c r="X682" s="338" t="str">
        <f t="shared" si="108"/>
        <v/>
      </c>
      <c r="Y682" s="274"/>
      <c r="AR682" t="str">
        <f t="shared" si="109"/>
        <v/>
      </c>
      <c r="AS682" t="str">
        <f t="shared" si="110"/>
        <v/>
      </c>
    </row>
    <row r="683" spans="1:45">
      <c r="A683" s="291"/>
      <c r="B683" s="292"/>
      <c r="C683" s="293"/>
      <c r="D683" s="293"/>
      <c r="E683" s="293"/>
      <c r="F683" s="293"/>
      <c r="G683" s="294"/>
      <c r="H683" s="300"/>
      <c r="I683" s="295"/>
      <c r="J683" s="295"/>
      <c r="K683" s="296"/>
      <c r="L683" s="301"/>
      <c r="M683" s="297"/>
      <c r="N683" s="298"/>
      <c r="P683" s="190" t="str">
        <f>IF(R683 = "", "", COUNT(R$4:$R683))</f>
        <v/>
      </c>
      <c r="Q683" s="190" t="str">
        <f t="shared" si="101"/>
        <v/>
      </c>
      <c r="R683" s="191" t="str">
        <f t="shared" si="102"/>
        <v/>
      </c>
      <c r="S683" s="192" t="str">
        <f t="shared" si="104"/>
        <v/>
      </c>
      <c r="T683" s="193" t="str">
        <f t="shared" si="105"/>
        <v/>
      </c>
      <c r="U683" s="194" t="str">
        <f t="shared" si="106"/>
        <v/>
      </c>
      <c r="V683" s="195" t="str">
        <f t="shared" si="103"/>
        <v/>
      </c>
      <c r="W683" s="336" t="str">
        <f t="shared" si="107"/>
        <v/>
      </c>
      <c r="X683" s="338" t="str">
        <f t="shared" si="108"/>
        <v/>
      </c>
      <c r="Y683" s="274"/>
      <c r="AR683" t="str">
        <f t="shared" si="109"/>
        <v/>
      </c>
      <c r="AS683" t="str">
        <f t="shared" si="110"/>
        <v/>
      </c>
    </row>
    <row r="684" spans="1:45">
      <c r="A684" s="291"/>
      <c r="B684" s="292"/>
      <c r="C684" s="293"/>
      <c r="D684" s="293"/>
      <c r="E684" s="293"/>
      <c r="F684" s="293"/>
      <c r="G684" s="294"/>
      <c r="H684" s="300"/>
      <c r="I684" s="295"/>
      <c r="J684" s="295"/>
      <c r="K684" s="296"/>
      <c r="L684" s="301"/>
      <c r="M684" s="297"/>
      <c r="N684" s="298"/>
      <c r="P684" s="190" t="str">
        <f>IF(R684 = "", "", COUNT(R$4:$R684))</f>
        <v/>
      </c>
      <c r="Q684" s="190" t="str">
        <f t="shared" si="101"/>
        <v/>
      </c>
      <c r="R684" s="191" t="str">
        <f t="shared" si="102"/>
        <v/>
      </c>
      <c r="S684" s="192" t="str">
        <f t="shared" si="104"/>
        <v/>
      </c>
      <c r="T684" s="193" t="str">
        <f t="shared" si="105"/>
        <v/>
      </c>
      <c r="U684" s="194" t="str">
        <f t="shared" si="106"/>
        <v/>
      </c>
      <c r="V684" s="195" t="str">
        <f t="shared" si="103"/>
        <v/>
      </c>
      <c r="W684" s="336" t="str">
        <f t="shared" si="107"/>
        <v/>
      </c>
      <c r="X684" s="338" t="str">
        <f t="shared" si="108"/>
        <v/>
      </c>
      <c r="Y684" s="274"/>
      <c r="AR684" t="str">
        <f t="shared" si="109"/>
        <v/>
      </c>
      <c r="AS684" t="str">
        <f t="shared" si="110"/>
        <v/>
      </c>
    </row>
    <row r="685" spans="1:45">
      <c r="A685" s="291"/>
      <c r="B685" s="292"/>
      <c r="C685" s="293"/>
      <c r="D685" s="293"/>
      <c r="E685" s="293"/>
      <c r="F685" s="293"/>
      <c r="G685" s="294"/>
      <c r="H685" s="300"/>
      <c r="I685" s="295"/>
      <c r="J685" s="295"/>
      <c r="K685" s="296"/>
      <c r="L685" s="301"/>
      <c r="M685" s="297"/>
      <c r="N685" s="298"/>
      <c r="P685" s="190" t="str">
        <f>IF(R685 = "", "", COUNT(R$4:$R685))</f>
        <v/>
      </c>
      <c r="Q685" s="190" t="str">
        <f t="shared" si="101"/>
        <v/>
      </c>
      <c r="R685" s="191" t="str">
        <f t="shared" si="102"/>
        <v/>
      </c>
      <c r="S685" s="192" t="str">
        <f t="shared" si="104"/>
        <v/>
      </c>
      <c r="T685" s="193" t="str">
        <f t="shared" si="105"/>
        <v/>
      </c>
      <c r="U685" s="194" t="str">
        <f t="shared" si="106"/>
        <v/>
      </c>
      <c r="V685" s="195" t="str">
        <f t="shared" si="103"/>
        <v/>
      </c>
      <c r="W685" s="336" t="str">
        <f t="shared" si="107"/>
        <v/>
      </c>
      <c r="X685" s="338" t="str">
        <f t="shared" si="108"/>
        <v/>
      </c>
      <c r="Y685" s="274"/>
      <c r="AR685" t="str">
        <f t="shared" si="109"/>
        <v/>
      </c>
      <c r="AS685" t="str">
        <f t="shared" si="110"/>
        <v/>
      </c>
    </row>
    <row r="686" spans="1:45">
      <c r="A686" s="291"/>
      <c r="B686" s="292"/>
      <c r="C686" s="293"/>
      <c r="D686" s="293"/>
      <c r="E686" s="293"/>
      <c r="F686" s="293"/>
      <c r="G686" s="294"/>
      <c r="H686" s="300"/>
      <c r="I686" s="295"/>
      <c r="J686" s="295"/>
      <c r="K686" s="296"/>
      <c r="L686" s="301"/>
      <c r="M686" s="297"/>
      <c r="N686" s="298"/>
      <c r="P686" s="190" t="str">
        <f>IF(R686 = "", "", COUNT(R$4:$R686))</f>
        <v/>
      </c>
      <c r="Q686" s="190" t="str">
        <f t="shared" si="101"/>
        <v/>
      </c>
      <c r="R686" s="191" t="str">
        <f t="shared" si="102"/>
        <v/>
      </c>
      <c r="S686" s="192" t="str">
        <f t="shared" si="104"/>
        <v/>
      </c>
      <c r="T686" s="193" t="str">
        <f t="shared" si="105"/>
        <v/>
      </c>
      <c r="U686" s="194" t="str">
        <f t="shared" si="106"/>
        <v/>
      </c>
      <c r="V686" s="195" t="str">
        <f t="shared" si="103"/>
        <v/>
      </c>
      <c r="W686" s="336" t="str">
        <f t="shared" si="107"/>
        <v/>
      </c>
      <c r="X686" s="338" t="str">
        <f t="shared" si="108"/>
        <v/>
      </c>
      <c r="Y686" s="274"/>
      <c r="AR686" t="str">
        <f t="shared" si="109"/>
        <v/>
      </c>
      <c r="AS686" t="str">
        <f t="shared" si="110"/>
        <v/>
      </c>
    </row>
    <row r="687" spans="1:45">
      <c r="A687" s="291"/>
      <c r="B687" s="292"/>
      <c r="C687" s="293"/>
      <c r="D687" s="293"/>
      <c r="E687" s="293"/>
      <c r="F687" s="293"/>
      <c r="G687" s="294"/>
      <c r="H687" s="300"/>
      <c r="I687" s="295"/>
      <c r="J687" s="295"/>
      <c r="K687" s="296"/>
      <c r="L687" s="301"/>
      <c r="M687" s="297"/>
      <c r="N687" s="298"/>
      <c r="P687" s="190" t="str">
        <f>IF(R687 = "", "", COUNT(R$4:$R687))</f>
        <v/>
      </c>
      <c r="Q687" s="190" t="str">
        <f t="shared" si="101"/>
        <v/>
      </c>
      <c r="R687" s="191" t="str">
        <f t="shared" si="102"/>
        <v/>
      </c>
      <c r="S687" s="192" t="str">
        <f t="shared" si="104"/>
        <v/>
      </c>
      <c r="T687" s="193" t="str">
        <f t="shared" si="105"/>
        <v/>
      </c>
      <c r="U687" s="194" t="str">
        <f t="shared" si="106"/>
        <v/>
      </c>
      <c r="V687" s="195" t="str">
        <f t="shared" si="103"/>
        <v/>
      </c>
      <c r="W687" s="336" t="str">
        <f t="shared" si="107"/>
        <v/>
      </c>
      <c r="X687" s="338" t="str">
        <f t="shared" si="108"/>
        <v/>
      </c>
      <c r="Y687" s="274"/>
      <c r="AR687" t="str">
        <f t="shared" si="109"/>
        <v/>
      </c>
      <c r="AS687" t="str">
        <f t="shared" si="110"/>
        <v/>
      </c>
    </row>
    <row r="688" spans="1:45">
      <c r="A688" s="291"/>
      <c r="B688" s="292"/>
      <c r="C688" s="293"/>
      <c r="D688" s="293"/>
      <c r="E688" s="293"/>
      <c r="F688" s="293"/>
      <c r="G688" s="294"/>
      <c r="H688" s="300"/>
      <c r="I688" s="295"/>
      <c r="J688" s="295"/>
      <c r="K688" s="296"/>
      <c r="L688" s="301"/>
      <c r="M688" s="297"/>
      <c r="N688" s="298"/>
      <c r="P688" s="190" t="str">
        <f>IF(R688 = "", "", COUNT(R$4:$R688))</f>
        <v/>
      </c>
      <c r="Q688" s="190" t="str">
        <f t="shared" si="101"/>
        <v/>
      </c>
      <c r="R688" s="191" t="str">
        <f t="shared" si="102"/>
        <v/>
      </c>
      <c r="S688" s="192" t="str">
        <f t="shared" si="104"/>
        <v/>
      </c>
      <c r="T688" s="193" t="str">
        <f t="shared" si="105"/>
        <v/>
      </c>
      <c r="U688" s="194" t="str">
        <f t="shared" si="106"/>
        <v/>
      </c>
      <c r="V688" s="195" t="str">
        <f t="shared" si="103"/>
        <v/>
      </c>
      <c r="W688" s="336" t="str">
        <f t="shared" si="107"/>
        <v/>
      </c>
      <c r="X688" s="338" t="str">
        <f t="shared" si="108"/>
        <v/>
      </c>
      <c r="Y688" s="274"/>
      <c r="AR688" t="str">
        <f t="shared" si="109"/>
        <v/>
      </c>
      <c r="AS688" t="str">
        <f t="shared" si="110"/>
        <v/>
      </c>
    </row>
    <row r="689" spans="1:45">
      <c r="A689" s="291"/>
      <c r="B689" s="292"/>
      <c r="C689" s="293"/>
      <c r="D689" s="293"/>
      <c r="E689" s="293"/>
      <c r="F689" s="293"/>
      <c r="G689" s="294"/>
      <c r="H689" s="300"/>
      <c r="I689" s="295"/>
      <c r="J689" s="295"/>
      <c r="K689" s="296"/>
      <c r="L689" s="301"/>
      <c r="M689" s="297"/>
      <c r="N689" s="298"/>
      <c r="P689" s="190" t="str">
        <f>IF(R689 = "", "", COUNT(R$4:$R689))</f>
        <v/>
      </c>
      <c r="Q689" s="190" t="str">
        <f t="shared" si="101"/>
        <v/>
      </c>
      <c r="R689" s="191" t="str">
        <f t="shared" si="102"/>
        <v/>
      </c>
      <c r="S689" s="192" t="str">
        <f t="shared" si="104"/>
        <v/>
      </c>
      <c r="T689" s="193" t="str">
        <f t="shared" si="105"/>
        <v/>
      </c>
      <c r="U689" s="194" t="str">
        <f t="shared" si="106"/>
        <v/>
      </c>
      <c r="V689" s="195" t="str">
        <f t="shared" si="103"/>
        <v/>
      </c>
      <c r="W689" s="336" t="str">
        <f t="shared" si="107"/>
        <v/>
      </c>
      <c r="X689" s="338" t="str">
        <f t="shared" si="108"/>
        <v/>
      </c>
      <c r="Y689" s="274"/>
      <c r="AR689" t="str">
        <f t="shared" si="109"/>
        <v/>
      </c>
      <c r="AS689" t="str">
        <f t="shared" si="110"/>
        <v/>
      </c>
    </row>
    <row r="690" spans="1:45">
      <c r="A690" s="291"/>
      <c r="B690" s="292"/>
      <c r="C690" s="293"/>
      <c r="D690" s="293"/>
      <c r="E690" s="293"/>
      <c r="F690" s="293"/>
      <c r="G690" s="294"/>
      <c r="H690" s="300"/>
      <c r="I690" s="295"/>
      <c r="J690" s="295"/>
      <c r="K690" s="296"/>
      <c r="L690" s="301"/>
      <c r="M690" s="297"/>
      <c r="N690" s="298"/>
      <c r="P690" s="190" t="str">
        <f>IF(R690 = "", "", COUNT(R$4:$R690))</f>
        <v/>
      </c>
      <c r="Q690" s="190" t="str">
        <f t="shared" si="101"/>
        <v/>
      </c>
      <c r="R690" s="191" t="str">
        <f t="shared" si="102"/>
        <v/>
      </c>
      <c r="S690" s="192" t="str">
        <f t="shared" si="104"/>
        <v/>
      </c>
      <c r="T690" s="193" t="str">
        <f t="shared" si="105"/>
        <v/>
      </c>
      <c r="U690" s="194" t="str">
        <f t="shared" si="106"/>
        <v/>
      </c>
      <c r="V690" s="195" t="str">
        <f t="shared" si="103"/>
        <v/>
      </c>
      <c r="W690" s="336" t="str">
        <f t="shared" si="107"/>
        <v/>
      </c>
      <c r="X690" s="338" t="str">
        <f t="shared" si="108"/>
        <v/>
      </c>
      <c r="Y690" s="274"/>
      <c r="AR690" t="str">
        <f t="shared" si="109"/>
        <v/>
      </c>
      <c r="AS690" t="str">
        <f t="shared" si="110"/>
        <v/>
      </c>
    </row>
    <row r="691" spans="1:45">
      <c r="A691" s="291"/>
      <c r="B691" s="292"/>
      <c r="C691" s="293"/>
      <c r="D691" s="293"/>
      <c r="E691" s="293"/>
      <c r="F691" s="293"/>
      <c r="G691" s="294"/>
      <c r="H691" s="300"/>
      <c r="I691" s="295"/>
      <c r="J691" s="295"/>
      <c r="K691" s="296"/>
      <c r="L691" s="301"/>
      <c r="M691" s="297"/>
      <c r="N691" s="298"/>
      <c r="P691" s="190" t="str">
        <f>IF(R691 = "", "", COUNT(R$4:$R691))</f>
        <v/>
      </c>
      <c r="Q691" s="190" t="str">
        <f t="shared" si="101"/>
        <v/>
      </c>
      <c r="R691" s="191" t="str">
        <f t="shared" si="102"/>
        <v/>
      </c>
      <c r="S691" s="192" t="str">
        <f t="shared" si="104"/>
        <v/>
      </c>
      <c r="T691" s="193" t="str">
        <f t="shared" si="105"/>
        <v/>
      </c>
      <c r="U691" s="194" t="str">
        <f t="shared" si="106"/>
        <v/>
      </c>
      <c r="V691" s="195" t="str">
        <f t="shared" si="103"/>
        <v/>
      </c>
      <c r="W691" s="336" t="str">
        <f t="shared" si="107"/>
        <v/>
      </c>
      <c r="X691" s="338" t="str">
        <f t="shared" si="108"/>
        <v/>
      </c>
      <c r="Y691" s="274"/>
      <c r="AR691" t="str">
        <f t="shared" si="109"/>
        <v/>
      </c>
      <c r="AS691" t="str">
        <f t="shared" si="110"/>
        <v/>
      </c>
    </row>
    <row r="692" spans="1:45">
      <c r="A692" s="291"/>
      <c r="B692" s="292"/>
      <c r="C692" s="293"/>
      <c r="D692" s="293"/>
      <c r="E692" s="293"/>
      <c r="F692" s="293"/>
      <c r="G692" s="294"/>
      <c r="H692" s="300"/>
      <c r="I692" s="295"/>
      <c r="J692" s="295"/>
      <c r="K692" s="296"/>
      <c r="L692" s="301"/>
      <c r="M692" s="297"/>
      <c r="N692" s="298"/>
      <c r="P692" s="190" t="str">
        <f>IF(R692 = "", "", COUNT(R$4:$R692))</f>
        <v/>
      </c>
      <c r="Q692" s="190" t="str">
        <f t="shared" si="101"/>
        <v/>
      </c>
      <c r="R692" s="191" t="str">
        <f t="shared" si="102"/>
        <v/>
      </c>
      <c r="S692" s="192" t="str">
        <f t="shared" si="104"/>
        <v/>
      </c>
      <c r="T692" s="193" t="str">
        <f t="shared" si="105"/>
        <v/>
      </c>
      <c r="U692" s="194" t="str">
        <f t="shared" si="106"/>
        <v/>
      </c>
      <c r="V692" s="195" t="str">
        <f t="shared" si="103"/>
        <v/>
      </c>
      <c r="W692" s="336" t="str">
        <f t="shared" si="107"/>
        <v/>
      </c>
      <c r="X692" s="338" t="str">
        <f t="shared" si="108"/>
        <v/>
      </c>
      <c r="Y692" s="274"/>
      <c r="AR692" t="str">
        <f t="shared" si="109"/>
        <v/>
      </c>
      <c r="AS692" t="str">
        <f t="shared" si="110"/>
        <v/>
      </c>
    </row>
    <row r="693" spans="1:45">
      <c r="A693" s="291"/>
      <c r="B693" s="292"/>
      <c r="C693" s="293"/>
      <c r="D693" s="293"/>
      <c r="E693" s="293"/>
      <c r="F693" s="293"/>
      <c r="G693" s="294"/>
      <c r="H693" s="300"/>
      <c r="I693" s="295"/>
      <c r="J693" s="295"/>
      <c r="K693" s="296"/>
      <c r="L693" s="301"/>
      <c r="M693" s="297"/>
      <c r="N693" s="298"/>
      <c r="P693" s="190" t="str">
        <f>IF(R693 = "", "", COUNT(R$4:$R693))</f>
        <v/>
      </c>
      <c r="Q693" s="190" t="str">
        <f t="shared" si="101"/>
        <v/>
      </c>
      <c r="R693" s="191" t="str">
        <f t="shared" si="102"/>
        <v/>
      </c>
      <c r="S693" s="192" t="str">
        <f t="shared" si="104"/>
        <v/>
      </c>
      <c r="T693" s="193" t="str">
        <f t="shared" si="105"/>
        <v/>
      </c>
      <c r="U693" s="194" t="str">
        <f t="shared" si="106"/>
        <v/>
      </c>
      <c r="V693" s="195" t="str">
        <f t="shared" si="103"/>
        <v/>
      </c>
      <c r="W693" s="336" t="str">
        <f t="shared" si="107"/>
        <v/>
      </c>
      <c r="X693" s="338" t="str">
        <f t="shared" si="108"/>
        <v/>
      </c>
      <c r="Y693" s="274"/>
      <c r="AR693" t="str">
        <f t="shared" si="109"/>
        <v/>
      </c>
      <c r="AS693" t="str">
        <f t="shared" si="110"/>
        <v/>
      </c>
    </row>
    <row r="694" spans="1:45">
      <c r="A694" s="291"/>
      <c r="B694" s="292"/>
      <c r="C694" s="293"/>
      <c r="D694" s="293"/>
      <c r="E694" s="293"/>
      <c r="F694" s="293"/>
      <c r="G694" s="294"/>
      <c r="H694" s="300"/>
      <c r="I694" s="295"/>
      <c r="J694" s="295"/>
      <c r="K694" s="296"/>
      <c r="L694" s="301"/>
      <c r="M694" s="297"/>
      <c r="N694" s="298"/>
      <c r="P694" s="190" t="str">
        <f>IF(R694 = "", "", COUNT(R$4:$R694))</f>
        <v/>
      </c>
      <c r="Q694" s="190" t="str">
        <f t="shared" si="101"/>
        <v/>
      </c>
      <c r="R694" s="191" t="str">
        <f t="shared" si="102"/>
        <v/>
      </c>
      <c r="S694" s="192" t="str">
        <f t="shared" si="104"/>
        <v/>
      </c>
      <c r="T694" s="193" t="str">
        <f t="shared" si="105"/>
        <v/>
      </c>
      <c r="U694" s="194" t="str">
        <f t="shared" si="106"/>
        <v/>
      </c>
      <c r="V694" s="195" t="str">
        <f t="shared" si="103"/>
        <v/>
      </c>
      <c r="W694" s="336" t="str">
        <f t="shared" si="107"/>
        <v/>
      </c>
      <c r="X694" s="338" t="str">
        <f t="shared" si="108"/>
        <v/>
      </c>
      <c r="Y694" s="274"/>
      <c r="AR694" t="str">
        <f t="shared" si="109"/>
        <v/>
      </c>
      <c r="AS694" t="str">
        <f t="shared" si="110"/>
        <v/>
      </c>
    </row>
    <row r="695" spans="1:45">
      <c r="A695" s="291"/>
      <c r="B695" s="292"/>
      <c r="C695" s="293"/>
      <c r="D695" s="293"/>
      <c r="E695" s="293"/>
      <c r="F695" s="293"/>
      <c r="G695" s="294"/>
      <c r="H695" s="300"/>
      <c r="I695" s="295"/>
      <c r="J695" s="295"/>
      <c r="K695" s="296"/>
      <c r="L695" s="301"/>
      <c r="M695" s="297"/>
      <c r="N695" s="298"/>
      <c r="P695" s="190" t="str">
        <f>IF(R695 = "", "", COUNT(R$4:$R695))</f>
        <v/>
      </c>
      <c r="Q695" s="190" t="str">
        <f t="shared" si="101"/>
        <v/>
      </c>
      <c r="R695" s="191" t="str">
        <f t="shared" si="102"/>
        <v/>
      </c>
      <c r="S695" s="192" t="str">
        <f t="shared" si="104"/>
        <v/>
      </c>
      <c r="T695" s="193" t="str">
        <f t="shared" si="105"/>
        <v/>
      </c>
      <c r="U695" s="194" t="str">
        <f t="shared" si="106"/>
        <v/>
      </c>
      <c r="V695" s="195" t="str">
        <f t="shared" si="103"/>
        <v/>
      </c>
      <c r="W695" s="336" t="str">
        <f t="shared" si="107"/>
        <v/>
      </c>
      <c r="X695" s="338" t="str">
        <f t="shared" si="108"/>
        <v/>
      </c>
      <c r="Y695" s="274"/>
      <c r="AR695" t="str">
        <f t="shared" si="109"/>
        <v/>
      </c>
      <c r="AS695" t="str">
        <f t="shared" si="110"/>
        <v/>
      </c>
    </row>
    <row r="696" spans="1:45">
      <c r="A696" s="291"/>
      <c r="B696" s="292"/>
      <c r="C696" s="293"/>
      <c r="D696" s="293"/>
      <c r="E696" s="293"/>
      <c r="F696" s="293"/>
      <c r="G696" s="294"/>
      <c r="H696" s="300"/>
      <c r="I696" s="295"/>
      <c r="J696" s="295"/>
      <c r="K696" s="296"/>
      <c r="L696" s="301"/>
      <c r="M696" s="297"/>
      <c r="N696" s="298"/>
      <c r="P696" s="190" t="str">
        <f>IF(R696 = "", "", COUNT(R$4:$R696))</f>
        <v/>
      </c>
      <c r="Q696" s="190" t="str">
        <f t="shared" si="101"/>
        <v/>
      </c>
      <c r="R696" s="191" t="str">
        <f t="shared" si="102"/>
        <v/>
      </c>
      <c r="S696" s="192" t="str">
        <f t="shared" si="104"/>
        <v/>
      </c>
      <c r="T696" s="193" t="str">
        <f t="shared" si="105"/>
        <v/>
      </c>
      <c r="U696" s="194" t="str">
        <f t="shared" si="106"/>
        <v/>
      </c>
      <c r="V696" s="195" t="str">
        <f t="shared" si="103"/>
        <v/>
      </c>
      <c r="W696" s="336" t="str">
        <f t="shared" si="107"/>
        <v/>
      </c>
      <c r="X696" s="338" t="str">
        <f t="shared" si="108"/>
        <v/>
      </c>
      <c r="Y696" s="274"/>
      <c r="AR696" t="str">
        <f t="shared" si="109"/>
        <v/>
      </c>
      <c r="AS696" t="str">
        <f t="shared" si="110"/>
        <v/>
      </c>
    </row>
    <row r="697" spans="1:45">
      <c r="A697" s="291"/>
      <c r="B697" s="292"/>
      <c r="C697" s="293"/>
      <c r="D697" s="293"/>
      <c r="E697" s="293"/>
      <c r="F697" s="293"/>
      <c r="G697" s="294"/>
      <c r="H697" s="300"/>
      <c r="I697" s="295"/>
      <c r="J697" s="295"/>
      <c r="K697" s="296"/>
      <c r="L697" s="301"/>
      <c r="M697" s="297"/>
      <c r="N697" s="298"/>
      <c r="P697" s="190" t="str">
        <f>IF(R697 = "", "", COUNT(R$4:$R697))</f>
        <v/>
      </c>
      <c r="Q697" s="190" t="str">
        <f t="shared" si="101"/>
        <v/>
      </c>
      <c r="R697" s="191" t="str">
        <f t="shared" si="102"/>
        <v/>
      </c>
      <c r="S697" s="192" t="str">
        <f t="shared" si="104"/>
        <v/>
      </c>
      <c r="T697" s="193" t="str">
        <f t="shared" si="105"/>
        <v/>
      </c>
      <c r="U697" s="194" t="str">
        <f t="shared" si="106"/>
        <v/>
      </c>
      <c r="V697" s="195" t="str">
        <f t="shared" si="103"/>
        <v/>
      </c>
      <c r="W697" s="336" t="str">
        <f t="shared" si="107"/>
        <v/>
      </c>
      <c r="X697" s="338" t="str">
        <f t="shared" si="108"/>
        <v/>
      </c>
      <c r="Y697" s="274"/>
      <c r="AR697" t="str">
        <f t="shared" si="109"/>
        <v/>
      </c>
      <c r="AS697" t="str">
        <f t="shared" si="110"/>
        <v/>
      </c>
    </row>
    <row r="698" spans="1:45">
      <c r="A698" s="291"/>
      <c r="B698" s="292"/>
      <c r="C698" s="293"/>
      <c r="D698" s="293"/>
      <c r="E698" s="293"/>
      <c r="F698" s="293"/>
      <c r="G698" s="294"/>
      <c r="H698" s="300"/>
      <c r="I698" s="295"/>
      <c r="J698" s="295"/>
      <c r="K698" s="296"/>
      <c r="L698" s="301"/>
      <c r="M698" s="297"/>
      <c r="N698" s="298"/>
      <c r="P698" s="190" t="str">
        <f>IF(R698 = "", "", COUNT(R$4:$R698))</f>
        <v/>
      </c>
      <c r="Q698" s="190" t="str">
        <f t="shared" si="101"/>
        <v/>
      </c>
      <c r="R698" s="191" t="str">
        <f t="shared" si="102"/>
        <v/>
      </c>
      <c r="S698" s="192" t="str">
        <f t="shared" si="104"/>
        <v/>
      </c>
      <c r="T698" s="193" t="str">
        <f t="shared" si="105"/>
        <v/>
      </c>
      <c r="U698" s="194" t="str">
        <f t="shared" si="106"/>
        <v/>
      </c>
      <c r="V698" s="195" t="str">
        <f t="shared" si="103"/>
        <v/>
      </c>
      <c r="W698" s="336" t="str">
        <f t="shared" si="107"/>
        <v/>
      </c>
      <c r="X698" s="338" t="str">
        <f t="shared" si="108"/>
        <v/>
      </c>
      <c r="Y698" s="274"/>
      <c r="AR698" t="str">
        <f t="shared" si="109"/>
        <v/>
      </c>
      <c r="AS698" t="str">
        <f t="shared" si="110"/>
        <v/>
      </c>
    </row>
    <row r="699" spans="1:45">
      <c r="A699" s="291"/>
      <c r="B699" s="292"/>
      <c r="C699" s="293"/>
      <c r="D699" s="293"/>
      <c r="E699" s="293"/>
      <c r="F699" s="293"/>
      <c r="G699" s="294"/>
      <c r="H699" s="300"/>
      <c r="I699" s="295"/>
      <c r="J699" s="295"/>
      <c r="K699" s="296"/>
      <c r="L699" s="301"/>
      <c r="M699" s="297"/>
      <c r="N699" s="298"/>
      <c r="P699" s="190" t="str">
        <f>IF(R699 = "", "", COUNT(R$4:$R699))</f>
        <v/>
      </c>
      <c r="Q699" s="190" t="str">
        <f t="shared" si="101"/>
        <v/>
      </c>
      <c r="R699" s="191" t="str">
        <f t="shared" si="102"/>
        <v/>
      </c>
      <c r="S699" s="192" t="str">
        <f t="shared" si="104"/>
        <v/>
      </c>
      <c r="T699" s="193" t="str">
        <f t="shared" si="105"/>
        <v/>
      </c>
      <c r="U699" s="194" t="str">
        <f t="shared" si="106"/>
        <v/>
      </c>
      <c r="V699" s="195" t="str">
        <f t="shared" si="103"/>
        <v/>
      </c>
      <c r="W699" s="336" t="str">
        <f t="shared" si="107"/>
        <v/>
      </c>
      <c r="X699" s="338" t="str">
        <f t="shared" si="108"/>
        <v/>
      </c>
      <c r="Y699" s="274"/>
      <c r="AR699" t="str">
        <f t="shared" si="109"/>
        <v/>
      </c>
      <c r="AS699" t="str">
        <f t="shared" si="110"/>
        <v/>
      </c>
    </row>
    <row r="700" spans="1:45">
      <c r="A700" s="291"/>
      <c r="B700" s="292"/>
      <c r="C700" s="293"/>
      <c r="D700" s="293"/>
      <c r="E700" s="293"/>
      <c r="F700" s="293"/>
      <c r="G700" s="294"/>
      <c r="H700" s="300"/>
      <c r="I700" s="295"/>
      <c r="J700" s="295"/>
      <c r="K700" s="296"/>
      <c r="L700" s="301"/>
      <c r="M700" s="297"/>
      <c r="N700" s="298"/>
      <c r="P700" s="190" t="str">
        <f>IF(R700 = "", "", COUNT(R$4:$R700))</f>
        <v/>
      </c>
      <c r="Q700" s="190" t="str">
        <f t="shared" si="101"/>
        <v/>
      </c>
      <c r="R700" s="191" t="str">
        <f t="shared" si="102"/>
        <v/>
      </c>
      <c r="S700" s="192" t="str">
        <f t="shared" si="104"/>
        <v/>
      </c>
      <c r="T700" s="193" t="str">
        <f t="shared" si="105"/>
        <v/>
      </c>
      <c r="U700" s="194" t="str">
        <f t="shared" si="106"/>
        <v/>
      </c>
      <c r="V700" s="195" t="str">
        <f t="shared" si="103"/>
        <v/>
      </c>
      <c r="W700" s="336" t="str">
        <f t="shared" si="107"/>
        <v/>
      </c>
      <c r="X700" s="338" t="str">
        <f t="shared" si="108"/>
        <v/>
      </c>
      <c r="Y700" s="274"/>
      <c r="AR700" t="str">
        <f t="shared" si="109"/>
        <v/>
      </c>
      <c r="AS700" t="str">
        <f t="shared" si="110"/>
        <v/>
      </c>
    </row>
    <row r="701" spans="1:45">
      <c r="A701" s="291"/>
      <c r="B701" s="292"/>
      <c r="C701" s="293"/>
      <c r="D701" s="293"/>
      <c r="E701" s="293"/>
      <c r="F701" s="293"/>
      <c r="G701" s="294"/>
      <c r="H701" s="300"/>
      <c r="I701" s="295"/>
      <c r="J701" s="295"/>
      <c r="K701" s="296"/>
      <c r="L701" s="301"/>
      <c r="M701" s="297"/>
      <c r="N701" s="298"/>
      <c r="P701" s="190" t="str">
        <f>IF(R701 = "", "", COUNT(R$4:$R701))</f>
        <v/>
      </c>
      <c r="Q701" s="190" t="str">
        <f t="shared" si="101"/>
        <v/>
      </c>
      <c r="R701" s="191" t="str">
        <f t="shared" si="102"/>
        <v/>
      </c>
      <c r="S701" s="192" t="str">
        <f t="shared" si="104"/>
        <v/>
      </c>
      <c r="T701" s="193" t="str">
        <f t="shared" si="105"/>
        <v/>
      </c>
      <c r="U701" s="194" t="str">
        <f t="shared" si="106"/>
        <v/>
      </c>
      <c r="V701" s="195" t="str">
        <f t="shared" si="103"/>
        <v/>
      </c>
      <c r="W701" s="336" t="str">
        <f t="shared" si="107"/>
        <v/>
      </c>
      <c r="X701" s="338" t="str">
        <f t="shared" si="108"/>
        <v/>
      </c>
      <c r="Y701" s="274"/>
      <c r="AR701" t="str">
        <f t="shared" si="109"/>
        <v/>
      </c>
      <c r="AS701" t="str">
        <f t="shared" si="110"/>
        <v/>
      </c>
    </row>
    <row r="702" spans="1:45">
      <c r="A702" s="291"/>
      <c r="B702" s="292"/>
      <c r="C702" s="293"/>
      <c r="D702" s="293"/>
      <c r="E702" s="293"/>
      <c r="F702" s="293"/>
      <c r="G702" s="294"/>
      <c r="H702" s="300"/>
      <c r="I702" s="295"/>
      <c r="J702" s="295"/>
      <c r="K702" s="296"/>
      <c r="L702" s="301"/>
      <c r="M702" s="297"/>
      <c r="N702" s="298"/>
      <c r="P702" s="190" t="str">
        <f>IF(R702 = "", "", COUNT(R$4:$R702))</f>
        <v/>
      </c>
      <c r="Q702" s="190" t="str">
        <f t="shared" si="101"/>
        <v/>
      </c>
      <c r="R702" s="191" t="str">
        <f t="shared" si="102"/>
        <v/>
      </c>
      <c r="S702" s="192" t="str">
        <f t="shared" si="104"/>
        <v/>
      </c>
      <c r="T702" s="193" t="str">
        <f t="shared" si="105"/>
        <v/>
      </c>
      <c r="U702" s="194" t="str">
        <f t="shared" si="106"/>
        <v/>
      </c>
      <c r="V702" s="195" t="str">
        <f t="shared" si="103"/>
        <v/>
      </c>
      <c r="W702" s="336" t="str">
        <f t="shared" si="107"/>
        <v/>
      </c>
      <c r="X702" s="338" t="str">
        <f t="shared" si="108"/>
        <v/>
      </c>
      <c r="Y702" s="274"/>
      <c r="AR702" t="str">
        <f t="shared" si="109"/>
        <v/>
      </c>
      <c r="AS702" t="str">
        <f t="shared" si="110"/>
        <v/>
      </c>
    </row>
    <row r="703" spans="1:45">
      <c r="A703" s="291"/>
      <c r="B703" s="292"/>
      <c r="C703" s="293"/>
      <c r="D703" s="293"/>
      <c r="E703" s="293"/>
      <c r="F703" s="293"/>
      <c r="G703" s="294"/>
      <c r="H703" s="300"/>
      <c r="I703" s="295"/>
      <c r="J703" s="295"/>
      <c r="K703" s="296"/>
      <c r="L703" s="301"/>
      <c r="M703" s="297"/>
      <c r="N703" s="298"/>
      <c r="P703" s="190" t="str">
        <f>IF(R703 = "", "", COUNT(R$4:$R703))</f>
        <v/>
      </c>
      <c r="Q703" s="190" t="str">
        <f t="shared" si="101"/>
        <v/>
      </c>
      <c r="R703" s="191" t="str">
        <f t="shared" si="102"/>
        <v/>
      </c>
      <c r="S703" s="192" t="str">
        <f t="shared" si="104"/>
        <v/>
      </c>
      <c r="T703" s="193" t="str">
        <f t="shared" si="105"/>
        <v/>
      </c>
      <c r="U703" s="194" t="str">
        <f t="shared" si="106"/>
        <v/>
      </c>
      <c r="V703" s="195" t="str">
        <f t="shared" si="103"/>
        <v/>
      </c>
      <c r="W703" s="336" t="str">
        <f t="shared" si="107"/>
        <v/>
      </c>
      <c r="X703" s="338" t="str">
        <f t="shared" si="108"/>
        <v/>
      </c>
      <c r="Y703" s="274"/>
      <c r="AR703" t="str">
        <f t="shared" si="109"/>
        <v/>
      </c>
      <c r="AS703" t="str">
        <f t="shared" si="110"/>
        <v/>
      </c>
    </row>
    <row r="704" spans="1:45">
      <c r="A704" s="291"/>
      <c r="B704" s="292"/>
      <c r="C704" s="293"/>
      <c r="D704" s="293"/>
      <c r="E704" s="293"/>
      <c r="F704" s="293"/>
      <c r="G704" s="294"/>
      <c r="H704" s="300"/>
      <c r="I704" s="295"/>
      <c r="J704" s="295"/>
      <c r="K704" s="296"/>
      <c r="L704" s="301"/>
      <c r="M704" s="297"/>
      <c r="N704" s="298"/>
      <c r="P704" s="190" t="str">
        <f>IF(R704 = "", "", COUNT(R$4:$R704))</f>
        <v/>
      </c>
      <c r="Q704" s="190" t="str">
        <f t="shared" si="101"/>
        <v/>
      </c>
      <c r="R704" s="191" t="str">
        <f t="shared" si="102"/>
        <v/>
      </c>
      <c r="S704" s="192" t="str">
        <f t="shared" si="104"/>
        <v/>
      </c>
      <c r="T704" s="193" t="str">
        <f t="shared" si="105"/>
        <v/>
      </c>
      <c r="U704" s="194" t="str">
        <f t="shared" si="106"/>
        <v/>
      </c>
      <c r="V704" s="195" t="str">
        <f t="shared" si="103"/>
        <v/>
      </c>
      <c r="W704" s="336" t="str">
        <f t="shared" si="107"/>
        <v/>
      </c>
      <c r="X704" s="338" t="str">
        <f t="shared" si="108"/>
        <v/>
      </c>
      <c r="Y704" s="274"/>
      <c r="AR704" t="str">
        <f t="shared" si="109"/>
        <v/>
      </c>
      <c r="AS704" t="str">
        <f t="shared" si="110"/>
        <v/>
      </c>
    </row>
    <row r="705" spans="1:45">
      <c r="A705" s="291"/>
      <c r="B705" s="292"/>
      <c r="C705" s="293"/>
      <c r="D705" s="293"/>
      <c r="E705" s="293"/>
      <c r="F705" s="293"/>
      <c r="G705" s="294"/>
      <c r="H705" s="300"/>
      <c r="I705" s="295"/>
      <c r="J705" s="295"/>
      <c r="K705" s="296"/>
      <c r="L705" s="301"/>
      <c r="M705" s="297"/>
      <c r="N705" s="298"/>
      <c r="P705" s="190" t="str">
        <f>IF(R705 = "", "", COUNT(R$4:$R705))</f>
        <v/>
      </c>
      <c r="Q705" s="190" t="str">
        <f t="shared" si="101"/>
        <v/>
      </c>
      <c r="R705" s="191" t="str">
        <f t="shared" si="102"/>
        <v/>
      </c>
      <c r="S705" s="192" t="str">
        <f t="shared" si="104"/>
        <v/>
      </c>
      <c r="T705" s="193" t="str">
        <f t="shared" si="105"/>
        <v/>
      </c>
      <c r="U705" s="194" t="str">
        <f t="shared" si="106"/>
        <v/>
      </c>
      <c r="V705" s="195" t="str">
        <f t="shared" si="103"/>
        <v/>
      </c>
      <c r="W705" s="336" t="str">
        <f t="shared" si="107"/>
        <v/>
      </c>
      <c r="X705" s="338" t="str">
        <f t="shared" si="108"/>
        <v/>
      </c>
      <c r="Y705" s="274"/>
      <c r="AR705" t="str">
        <f t="shared" si="109"/>
        <v/>
      </c>
      <c r="AS705" t="str">
        <f t="shared" si="110"/>
        <v/>
      </c>
    </row>
    <row r="706" spans="1:45">
      <c r="A706" s="291"/>
      <c r="B706" s="292"/>
      <c r="C706" s="293"/>
      <c r="D706" s="293"/>
      <c r="E706" s="293"/>
      <c r="F706" s="293"/>
      <c r="G706" s="294"/>
      <c r="H706" s="300"/>
      <c r="I706" s="295"/>
      <c r="J706" s="295"/>
      <c r="K706" s="296"/>
      <c r="L706" s="301"/>
      <c r="M706" s="297"/>
      <c r="N706" s="298"/>
      <c r="P706" s="190" t="str">
        <f>IF(R706 = "", "", COUNT(R$4:$R706))</f>
        <v/>
      </c>
      <c r="Q706" s="190" t="str">
        <f t="shared" si="101"/>
        <v/>
      </c>
      <c r="R706" s="191" t="str">
        <f t="shared" si="102"/>
        <v/>
      </c>
      <c r="S706" s="192" t="str">
        <f t="shared" si="104"/>
        <v/>
      </c>
      <c r="T706" s="193" t="str">
        <f t="shared" si="105"/>
        <v/>
      </c>
      <c r="U706" s="194" t="str">
        <f t="shared" si="106"/>
        <v/>
      </c>
      <c r="V706" s="195" t="str">
        <f t="shared" si="103"/>
        <v/>
      </c>
      <c r="W706" s="336" t="str">
        <f t="shared" si="107"/>
        <v/>
      </c>
      <c r="X706" s="338" t="str">
        <f t="shared" si="108"/>
        <v/>
      </c>
      <c r="Y706" s="274"/>
      <c r="AR706" t="str">
        <f t="shared" si="109"/>
        <v/>
      </c>
      <c r="AS706" t="str">
        <f t="shared" si="110"/>
        <v/>
      </c>
    </row>
    <row r="707" spans="1:45">
      <c r="A707" s="291"/>
      <c r="B707" s="292"/>
      <c r="C707" s="293"/>
      <c r="D707" s="293"/>
      <c r="E707" s="293"/>
      <c r="F707" s="293"/>
      <c r="G707" s="294"/>
      <c r="H707" s="300"/>
      <c r="I707" s="295"/>
      <c r="J707" s="295"/>
      <c r="K707" s="296"/>
      <c r="L707" s="301"/>
      <c r="M707" s="297"/>
      <c r="N707" s="298"/>
      <c r="P707" s="190" t="str">
        <f>IF(R707 = "", "", COUNT(R$4:$R707))</f>
        <v/>
      </c>
      <c r="Q707" s="190" t="str">
        <f t="shared" si="101"/>
        <v/>
      </c>
      <c r="R707" s="191" t="str">
        <f t="shared" si="102"/>
        <v/>
      </c>
      <c r="S707" s="192" t="str">
        <f t="shared" si="104"/>
        <v/>
      </c>
      <c r="T707" s="193" t="str">
        <f t="shared" si="105"/>
        <v/>
      </c>
      <c r="U707" s="194" t="str">
        <f t="shared" si="106"/>
        <v/>
      </c>
      <c r="V707" s="195" t="str">
        <f t="shared" si="103"/>
        <v/>
      </c>
      <c r="W707" s="336" t="str">
        <f t="shared" si="107"/>
        <v/>
      </c>
      <c r="X707" s="338" t="str">
        <f t="shared" si="108"/>
        <v/>
      </c>
      <c r="Y707" s="274"/>
      <c r="AR707" t="str">
        <f t="shared" si="109"/>
        <v/>
      </c>
      <c r="AS707" t="str">
        <f t="shared" si="110"/>
        <v/>
      </c>
    </row>
    <row r="708" spans="1:45">
      <c r="A708" s="291"/>
      <c r="B708" s="292"/>
      <c r="C708" s="293"/>
      <c r="D708" s="293"/>
      <c r="E708" s="293"/>
      <c r="F708" s="293"/>
      <c r="G708" s="294"/>
      <c r="H708" s="300"/>
      <c r="I708" s="295"/>
      <c r="J708" s="295"/>
      <c r="K708" s="296"/>
      <c r="L708" s="301"/>
      <c r="M708" s="297"/>
      <c r="N708" s="298"/>
      <c r="P708" s="190" t="str">
        <f>IF(R708 = "", "", COUNT(R$4:$R708))</f>
        <v/>
      </c>
      <c r="Q708" s="190" t="str">
        <f t="shared" ref="Q708:Q771" si="111">IF(C708 &gt; 0, YEAR(B708), "")</f>
        <v/>
      </c>
      <c r="R708" s="191" t="str">
        <f t="shared" ref="R708:R771" si="112">IF(A708="", "", IF(G708="",1,IF(G708="O",1,IF(G708="C",8.4,IF(G708="B",8.4,IF(G708="A",76.8,IF(G708="K",76.8,"ERR")))))))</f>
        <v/>
      </c>
      <c r="S708" s="192" t="str">
        <f t="shared" si="104"/>
        <v/>
      </c>
      <c r="T708" s="193" t="str">
        <f t="shared" si="105"/>
        <v/>
      </c>
      <c r="U708" s="194" t="str">
        <f t="shared" si="106"/>
        <v/>
      </c>
      <c r="V708" s="195" t="str">
        <f t="shared" ref="V708:V771" si="113">IF(IF(M708&lt;&gt;"",G708,"")=0, "O", IF(M708&lt;&gt;"",G708,""))</f>
        <v/>
      </c>
      <c r="W708" s="336" t="str">
        <f t="shared" si="107"/>
        <v/>
      </c>
      <c r="X708" s="338" t="str">
        <f t="shared" si="108"/>
        <v/>
      </c>
      <c r="Y708" s="274"/>
      <c r="AR708" t="str">
        <f t="shared" si="109"/>
        <v/>
      </c>
      <c r="AS708" t="str">
        <f t="shared" si="110"/>
        <v/>
      </c>
    </row>
    <row r="709" spans="1:45">
      <c r="A709" s="291"/>
      <c r="B709" s="292"/>
      <c r="C709" s="293"/>
      <c r="D709" s="293"/>
      <c r="E709" s="293"/>
      <c r="F709" s="293"/>
      <c r="G709" s="294"/>
      <c r="H709" s="300"/>
      <c r="I709" s="295"/>
      <c r="J709" s="295"/>
      <c r="K709" s="296"/>
      <c r="L709" s="301"/>
      <c r="M709" s="297"/>
      <c r="N709" s="298"/>
      <c r="P709" s="190" t="str">
        <f>IF(R709 = "", "", COUNT(R$4:$R709))</f>
        <v/>
      </c>
      <c r="Q709" s="190" t="str">
        <f t="shared" si="111"/>
        <v/>
      </c>
      <c r="R709" s="191" t="str">
        <f t="shared" si="112"/>
        <v/>
      </c>
      <c r="S709" s="192" t="str">
        <f t="shared" ref="S709:S772" si="114">IF(L709&lt;&gt;"",R709,"")</f>
        <v/>
      </c>
      <c r="T709" s="193" t="str">
        <f t="shared" ref="T709:T772" si="115">IF(IF(L709&lt;&gt;"",G709,"")=0, "O", IF(L709&lt;&gt;"",G709,""))</f>
        <v/>
      </c>
      <c r="U709" s="194" t="str">
        <f t="shared" ref="U709:U772" si="116">IF(M709&lt;&gt;"",R709,"")</f>
        <v/>
      </c>
      <c r="V709" s="195" t="str">
        <f t="shared" si="113"/>
        <v/>
      </c>
      <c r="W709" s="336" t="str">
        <f t="shared" ref="W709:W772" si="117">IF(N709&lt;&gt;"",R709,"")</f>
        <v/>
      </c>
      <c r="X709" s="338" t="str">
        <f t="shared" ref="X709:X772" si="118">IF(IF(N709&lt;&gt;"",G709,"")=0, "O", IF(N709&lt;&gt;"",G709,""))</f>
        <v/>
      </c>
      <c r="Y709" s="274"/>
      <c r="AR709" t="str">
        <f t="shared" ref="AR709:AR772" si="119">IF(P709&gt;0, P709, "")</f>
        <v/>
      </c>
      <c r="AS709" t="str">
        <f t="shared" ref="AS709:AS772" si="120">IF(OR(L709="Y",M709="Y",N709="Y"),"Y","")</f>
        <v/>
      </c>
    </row>
    <row r="710" spans="1:45">
      <c r="A710" s="291"/>
      <c r="B710" s="292"/>
      <c r="C710" s="293"/>
      <c r="D710" s="293"/>
      <c r="E710" s="293"/>
      <c r="F710" s="293"/>
      <c r="G710" s="294"/>
      <c r="H710" s="300"/>
      <c r="I710" s="295"/>
      <c r="J710" s="295"/>
      <c r="K710" s="296"/>
      <c r="L710" s="301"/>
      <c r="M710" s="297"/>
      <c r="N710" s="298"/>
      <c r="P710" s="190" t="str">
        <f>IF(R710 = "", "", COUNT(R$4:$R710))</f>
        <v/>
      </c>
      <c r="Q710" s="190" t="str">
        <f t="shared" si="111"/>
        <v/>
      </c>
      <c r="R710" s="191" t="str">
        <f t="shared" si="112"/>
        <v/>
      </c>
      <c r="S710" s="192" t="str">
        <f t="shared" si="114"/>
        <v/>
      </c>
      <c r="T710" s="193" t="str">
        <f t="shared" si="115"/>
        <v/>
      </c>
      <c r="U710" s="194" t="str">
        <f t="shared" si="116"/>
        <v/>
      </c>
      <c r="V710" s="195" t="str">
        <f t="shared" si="113"/>
        <v/>
      </c>
      <c r="W710" s="336" t="str">
        <f t="shared" si="117"/>
        <v/>
      </c>
      <c r="X710" s="338" t="str">
        <f t="shared" si="118"/>
        <v/>
      </c>
      <c r="Y710" s="274"/>
      <c r="AR710" t="str">
        <f t="shared" si="119"/>
        <v/>
      </c>
      <c r="AS710" t="str">
        <f t="shared" si="120"/>
        <v/>
      </c>
    </row>
    <row r="711" spans="1:45">
      <c r="A711" s="291"/>
      <c r="B711" s="292"/>
      <c r="C711" s="293"/>
      <c r="D711" s="293"/>
      <c r="E711" s="293"/>
      <c r="F711" s="293"/>
      <c r="G711" s="294"/>
      <c r="H711" s="300"/>
      <c r="I711" s="295"/>
      <c r="J711" s="295"/>
      <c r="K711" s="296"/>
      <c r="L711" s="301"/>
      <c r="M711" s="297"/>
      <c r="N711" s="298"/>
      <c r="P711" s="190" t="str">
        <f>IF(R711 = "", "", COUNT(R$4:$R711))</f>
        <v/>
      </c>
      <c r="Q711" s="190" t="str">
        <f t="shared" si="111"/>
        <v/>
      </c>
      <c r="R711" s="191" t="str">
        <f t="shared" si="112"/>
        <v/>
      </c>
      <c r="S711" s="192" t="str">
        <f t="shared" si="114"/>
        <v/>
      </c>
      <c r="T711" s="193" t="str">
        <f t="shared" si="115"/>
        <v/>
      </c>
      <c r="U711" s="194" t="str">
        <f t="shared" si="116"/>
        <v/>
      </c>
      <c r="V711" s="195" t="str">
        <f t="shared" si="113"/>
        <v/>
      </c>
      <c r="W711" s="336" t="str">
        <f t="shared" si="117"/>
        <v/>
      </c>
      <c r="X711" s="338" t="str">
        <f t="shared" si="118"/>
        <v/>
      </c>
      <c r="Y711" s="274"/>
      <c r="AR711" t="str">
        <f t="shared" si="119"/>
        <v/>
      </c>
      <c r="AS711" t="str">
        <f t="shared" si="120"/>
        <v/>
      </c>
    </row>
    <row r="712" spans="1:45">
      <c r="A712" s="291"/>
      <c r="B712" s="292"/>
      <c r="C712" s="293"/>
      <c r="D712" s="293"/>
      <c r="E712" s="293"/>
      <c r="F712" s="293"/>
      <c r="G712" s="294"/>
      <c r="H712" s="300"/>
      <c r="I712" s="295"/>
      <c r="J712" s="295"/>
      <c r="K712" s="296"/>
      <c r="L712" s="301"/>
      <c r="M712" s="297"/>
      <c r="N712" s="298"/>
      <c r="P712" s="190" t="str">
        <f>IF(R712 = "", "", COUNT(R$4:$R712))</f>
        <v/>
      </c>
      <c r="Q712" s="190" t="str">
        <f t="shared" si="111"/>
        <v/>
      </c>
      <c r="R712" s="191" t="str">
        <f t="shared" si="112"/>
        <v/>
      </c>
      <c r="S712" s="192" t="str">
        <f t="shared" si="114"/>
        <v/>
      </c>
      <c r="T712" s="193" t="str">
        <f t="shared" si="115"/>
        <v/>
      </c>
      <c r="U712" s="194" t="str">
        <f t="shared" si="116"/>
        <v/>
      </c>
      <c r="V712" s="195" t="str">
        <f t="shared" si="113"/>
        <v/>
      </c>
      <c r="W712" s="336" t="str">
        <f t="shared" si="117"/>
        <v/>
      </c>
      <c r="X712" s="338" t="str">
        <f t="shared" si="118"/>
        <v/>
      </c>
      <c r="Y712" s="274"/>
      <c r="AR712" t="str">
        <f t="shared" si="119"/>
        <v/>
      </c>
      <c r="AS712" t="str">
        <f t="shared" si="120"/>
        <v/>
      </c>
    </row>
    <row r="713" spans="1:45">
      <c r="A713" s="291"/>
      <c r="B713" s="292"/>
      <c r="C713" s="293"/>
      <c r="D713" s="293"/>
      <c r="E713" s="293"/>
      <c r="F713" s="293"/>
      <c r="G713" s="294"/>
      <c r="H713" s="300"/>
      <c r="I713" s="295"/>
      <c r="J713" s="295"/>
      <c r="K713" s="296"/>
      <c r="L713" s="301"/>
      <c r="M713" s="297"/>
      <c r="N713" s="298"/>
      <c r="P713" s="190" t="str">
        <f>IF(R713 = "", "", COUNT(R$4:$R713))</f>
        <v/>
      </c>
      <c r="Q713" s="190" t="str">
        <f t="shared" si="111"/>
        <v/>
      </c>
      <c r="R713" s="191" t="str">
        <f t="shared" si="112"/>
        <v/>
      </c>
      <c r="S713" s="192" t="str">
        <f t="shared" si="114"/>
        <v/>
      </c>
      <c r="T713" s="193" t="str">
        <f t="shared" si="115"/>
        <v/>
      </c>
      <c r="U713" s="194" t="str">
        <f t="shared" si="116"/>
        <v/>
      </c>
      <c r="V713" s="195" t="str">
        <f t="shared" si="113"/>
        <v/>
      </c>
      <c r="W713" s="336" t="str">
        <f t="shared" si="117"/>
        <v/>
      </c>
      <c r="X713" s="338" t="str">
        <f t="shared" si="118"/>
        <v/>
      </c>
      <c r="Y713" s="274"/>
      <c r="AR713" t="str">
        <f t="shared" si="119"/>
        <v/>
      </c>
      <c r="AS713" t="str">
        <f t="shared" si="120"/>
        <v/>
      </c>
    </row>
    <row r="714" spans="1:45">
      <c r="A714" s="291"/>
      <c r="B714" s="292"/>
      <c r="C714" s="293"/>
      <c r="D714" s="293"/>
      <c r="E714" s="293"/>
      <c r="F714" s="293"/>
      <c r="G714" s="294"/>
      <c r="H714" s="300"/>
      <c r="I714" s="295"/>
      <c r="J714" s="295"/>
      <c r="K714" s="296"/>
      <c r="L714" s="301"/>
      <c r="M714" s="297"/>
      <c r="N714" s="298"/>
      <c r="P714" s="190" t="str">
        <f>IF(R714 = "", "", COUNT(R$4:$R714))</f>
        <v/>
      </c>
      <c r="Q714" s="190" t="str">
        <f t="shared" si="111"/>
        <v/>
      </c>
      <c r="R714" s="191" t="str">
        <f t="shared" si="112"/>
        <v/>
      </c>
      <c r="S714" s="192" t="str">
        <f t="shared" si="114"/>
        <v/>
      </c>
      <c r="T714" s="193" t="str">
        <f t="shared" si="115"/>
        <v/>
      </c>
      <c r="U714" s="194" t="str">
        <f t="shared" si="116"/>
        <v/>
      </c>
      <c r="V714" s="195" t="str">
        <f t="shared" si="113"/>
        <v/>
      </c>
      <c r="W714" s="336" t="str">
        <f t="shared" si="117"/>
        <v/>
      </c>
      <c r="X714" s="338" t="str">
        <f t="shared" si="118"/>
        <v/>
      </c>
      <c r="Y714" s="274"/>
      <c r="AR714" t="str">
        <f t="shared" si="119"/>
        <v/>
      </c>
      <c r="AS714" t="str">
        <f t="shared" si="120"/>
        <v/>
      </c>
    </row>
    <row r="715" spans="1:45">
      <c r="A715" s="291"/>
      <c r="B715" s="292"/>
      <c r="C715" s="293"/>
      <c r="D715" s="293"/>
      <c r="E715" s="293"/>
      <c r="F715" s="293"/>
      <c r="G715" s="294"/>
      <c r="H715" s="300"/>
      <c r="I715" s="295"/>
      <c r="J715" s="295"/>
      <c r="K715" s="296"/>
      <c r="L715" s="301"/>
      <c r="M715" s="297"/>
      <c r="N715" s="298"/>
      <c r="P715" s="190" t="str">
        <f>IF(R715 = "", "", COUNT(R$4:$R715))</f>
        <v/>
      </c>
      <c r="Q715" s="190" t="str">
        <f t="shared" si="111"/>
        <v/>
      </c>
      <c r="R715" s="191" t="str">
        <f t="shared" si="112"/>
        <v/>
      </c>
      <c r="S715" s="192" t="str">
        <f t="shared" si="114"/>
        <v/>
      </c>
      <c r="T715" s="193" t="str">
        <f t="shared" si="115"/>
        <v/>
      </c>
      <c r="U715" s="194" t="str">
        <f t="shared" si="116"/>
        <v/>
      </c>
      <c r="V715" s="195" t="str">
        <f t="shared" si="113"/>
        <v/>
      </c>
      <c r="W715" s="336" t="str">
        <f t="shared" si="117"/>
        <v/>
      </c>
      <c r="X715" s="338" t="str">
        <f t="shared" si="118"/>
        <v/>
      </c>
      <c r="Y715" s="274"/>
      <c r="AR715" t="str">
        <f t="shared" si="119"/>
        <v/>
      </c>
      <c r="AS715" t="str">
        <f t="shared" si="120"/>
        <v/>
      </c>
    </row>
    <row r="716" spans="1:45">
      <c r="A716" s="291"/>
      <c r="B716" s="292"/>
      <c r="C716" s="293"/>
      <c r="D716" s="293"/>
      <c r="E716" s="293"/>
      <c r="F716" s="293"/>
      <c r="G716" s="294"/>
      <c r="H716" s="300"/>
      <c r="I716" s="295"/>
      <c r="J716" s="295"/>
      <c r="K716" s="296"/>
      <c r="L716" s="301"/>
      <c r="M716" s="297"/>
      <c r="N716" s="298"/>
      <c r="P716" s="190" t="str">
        <f>IF(R716 = "", "", COUNT(R$4:$R716))</f>
        <v/>
      </c>
      <c r="Q716" s="190" t="str">
        <f t="shared" si="111"/>
        <v/>
      </c>
      <c r="R716" s="191" t="str">
        <f t="shared" si="112"/>
        <v/>
      </c>
      <c r="S716" s="192" t="str">
        <f t="shared" si="114"/>
        <v/>
      </c>
      <c r="T716" s="193" t="str">
        <f t="shared" si="115"/>
        <v/>
      </c>
      <c r="U716" s="194" t="str">
        <f t="shared" si="116"/>
        <v/>
      </c>
      <c r="V716" s="195" t="str">
        <f t="shared" si="113"/>
        <v/>
      </c>
      <c r="W716" s="336" t="str">
        <f t="shared" si="117"/>
        <v/>
      </c>
      <c r="X716" s="338" t="str">
        <f t="shared" si="118"/>
        <v/>
      </c>
      <c r="Y716" s="274"/>
      <c r="AR716" t="str">
        <f t="shared" si="119"/>
        <v/>
      </c>
      <c r="AS716" t="str">
        <f t="shared" si="120"/>
        <v/>
      </c>
    </row>
    <row r="717" spans="1:45">
      <c r="A717" s="291"/>
      <c r="B717" s="292"/>
      <c r="C717" s="293"/>
      <c r="D717" s="293"/>
      <c r="E717" s="293"/>
      <c r="F717" s="293"/>
      <c r="G717" s="294"/>
      <c r="H717" s="300"/>
      <c r="I717" s="295"/>
      <c r="J717" s="295"/>
      <c r="K717" s="296"/>
      <c r="L717" s="301"/>
      <c r="M717" s="297"/>
      <c r="N717" s="298"/>
      <c r="P717" s="190" t="str">
        <f>IF(R717 = "", "", COUNT(R$4:$R717))</f>
        <v/>
      </c>
      <c r="Q717" s="190" t="str">
        <f t="shared" si="111"/>
        <v/>
      </c>
      <c r="R717" s="191" t="str">
        <f t="shared" si="112"/>
        <v/>
      </c>
      <c r="S717" s="192" t="str">
        <f t="shared" si="114"/>
        <v/>
      </c>
      <c r="T717" s="193" t="str">
        <f t="shared" si="115"/>
        <v/>
      </c>
      <c r="U717" s="194" t="str">
        <f t="shared" si="116"/>
        <v/>
      </c>
      <c r="V717" s="195" t="str">
        <f t="shared" si="113"/>
        <v/>
      </c>
      <c r="W717" s="336" t="str">
        <f t="shared" si="117"/>
        <v/>
      </c>
      <c r="X717" s="338" t="str">
        <f t="shared" si="118"/>
        <v/>
      </c>
      <c r="Y717" s="274"/>
      <c r="AR717" t="str">
        <f t="shared" si="119"/>
        <v/>
      </c>
      <c r="AS717" t="str">
        <f t="shared" si="120"/>
        <v/>
      </c>
    </row>
    <row r="718" spans="1:45">
      <c r="A718" s="291"/>
      <c r="B718" s="292"/>
      <c r="C718" s="293"/>
      <c r="D718" s="293"/>
      <c r="E718" s="293"/>
      <c r="F718" s="293"/>
      <c r="G718" s="294"/>
      <c r="H718" s="300"/>
      <c r="I718" s="295"/>
      <c r="J718" s="295"/>
      <c r="K718" s="296"/>
      <c r="L718" s="301"/>
      <c r="M718" s="297"/>
      <c r="N718" s="298"/>
      <c r="P718" s="190" t="str">
        <f>IF(R718 = "", "", COUNT(R$4:$R718))</f>
        <v/>
      </c>
      <c r="Q718" s="190" t="str">
        <f t="shared" si="111"/>
        <v/>
      </c>
      <c r="R718" s="191" t="str">
        <f t="shared" si="112"/>
        <v/>
      </c>
      <c r="S718" s="192" t="str">
        <f t="shared" si="114"/>
        <v/>
      </c>
      <c r="T718" s="193" t="str">
        <f t="shared" si="115"/>
        <v/>
      </c>
      <c r="U718" s="194" t="str">
        <f t="shared" si="116"/>
        <v/>
      </c>
      <c r="V718" s="195" t="str">
        <f t="shared" si="113"/>
        <v/>
      </c>
      <c r="W718" s="336" t="str">
        <f t="shared" si="117"/>
        <v/>
      </c>
      <c r="X718" s="338" t="str">
        <f t="shared" si="118"/>
        <v/>
      </c>
      <c r="Y718" s="274"/>
      <c r="AR718" t="str">
        <f t="shared" si="119"/>
        <v/>
      </c>
      <c r="AS718" t="str">
        <f t="shared" si="120"/>
        <v/>
      </c>
    </row>
    <row r="719" spans="1:45">
      <c r="A719" s="291"/>
      <c r="B719" s="292"/>
      <c r="C719" s="293"/>
      <c r="D719" s="293"/>
      <c r="E719" s="293"/>
      <c r="F719" s="293"/>
      <c r="G719" s="294"/>
      <c r="H719" s="300"/>
      <c r="I719" s="295"/>
      <c r="J719" s="295"/>
      <c r="K719" s="296"/>
      <c r="L719" s="301"/>
      <c r="M719" s="297"/>
      <c r="N719" s="298"/>
      <c r="P719" s="190" t="str">
        <f>IF(R719 = "", "", COUNT(R$4:$R719))</f>
        <v/>
      </c>
      <c r="Q719" s="190" t="str">
        <f t="shared" si="111"/>
        <v/>
      </c>
      <c r="R719" s="191" t="str">
        <f t="shared" si="112"/>
        <v/>
      </c>
      <c r="S719" s="192" t="str">
        <f t="shared" si="114"/>
        <v/>
      </c>
      <c r="T719" s="193" t="str">
        <f t="shared" si="115"/>
        <v/>
      </c>
      <c r="U719" s="194" t="str">
        <f t="shared" si="116"/>
        <v/>
      </c>
      <c r="V719" s="195" t="str">
        <f t="shared" si="113"/>
        <v/>
      </c>
      <c r="W719" s="336" t="str">
        <f t="shared" si="117"/>
        <v/>
      </c>
      <c r="X719" s="338" t="str">
        <f t="shared" si="118"/>
        <v/>
      </c>
      <c r="Y719" s="274"/>
      <c r="AR719" t="str">
        <f t="shared" si="119"/>
        <v/>
      </c>
      <c r="AS719" t="str">
        <f t="shared" si="120"/>
        <v/>
      </c>
    </row>
    <row r="720" spans="1:45">
      <c r="A720" s="291"/>
      <c r="B720" s="292"/>
      <c r="C720" s="293"/>
      <c r="D720" s="293"/>
      <c r="E720" s="293"/>
      <c r="F720" s="293"/>
      <c r="G720" s="294"/>
      <c r="H720" s="300"/>
      <c r="I720" s="295"/>
      <c r="J720" s="295"/>
      <c r="K720" s="296"/>
      <c r="L720" s="301"/>
      <c r="M720" s="297"/>
      <c r="N720" s="298"/>
      <c r="P720" s="190" t="str">
        <f>IF(R720 = "", "", COUNT(R$4:$R720))</f>
        <v/>
      </c>
      <c r="Q720" s="190" t="str">
        <f t="shared" si="111"/>
        <v/>
      </c>
      <c r="R720" s="191" t="str">
        <f t="shared" si="112"/>
        <v/>
      </c>
      <c r="S720" s="192" t="str">
        <f t="shared" si="114"/>
        <v/>
      </c>
      <c r="T720" s="193" t="str">
        <f t="shared" si="115"/>
        <v/>
      </c>
      <c r="U720" s="194" t="str">
        <f t="shared" si="116"/>
        <v/>
      </c>
      <c r="V720" s="195" t="str">
        <f t="shared" si="113"/>
        <v/>
      </c>
      <c r="W720" s="336" t="str">
        <f t="shared" si="117"/>
        <v/>
      </c>
      <c r="X720" s="338" t="str">
        <f t="shared" si="118"/>
        <v/>
      </c>
      <c r="Y720" s="274"/>
      <c r="AR720" t="str">
        <f t="shared" si="119"/>
        <v/>
      </c>
      <c r="AS720" t="str">
        <f t="shared" si="120"/>
        <v/>
      </c>
    </row>
    <row r="721" spans="1:45">
      <c r="A721" s="291"/>
      <c r="B721" s="292"/>
      <c r="C721" s="293"/>
      <c r="D721" s="293"/>
      <c r="E721" s="293"/>
      <c r="F721" s="293"/>
      <c r="G721" s="294"/>
      <c r="H721" s="300"/>
      <c r="I721" s="295"/>
      <c r="J721" s="295"/>
      <c r="K721" s="296"/>
      <c r="L721" s="301"/>
      <c r="M721" s="297"/>
      <c r="N721" s="298"/>
      <c r="P721" s="190" t="str">
        <f>IF(R721 = "", "", COUNT(R$4:$R721))</f>
        <v/>
      </c>
      <c r="Q721" s="190" t="str">
        <f t="shared" si="111"/>
        <v/>
      </c>
      <c r="R721" s="191" t="str">
        <f t="shared" si="112"/>
        <v/>
      </c>
      <c r="S721" s="192" t="str">
        <f t="shared" si="114"/>
        <v/>
      </c>
      <c r="T721" s="193" t="str">
        <f t="shared" si="115"/>
        <v/>
      </c>
      <c r="U721" s="194" t="str">
        <f t="shared" si="116"/>
        <v/>
      </c>
      <c r="V721" s="195" t="str">
        <f t="shared" si="113"/>
        <v/>
      </c>
      <c r="W721" s="336" t="str">
        <f t="shared" si="117"/>
        <v/>
      </c>
      <c r="X721" s="338" t="str">
        <f t="shared" si="118"/>
        <v/>
      </c>
      <c r="Y721" s="274"/>
      <c r="AR721" t="str">
        <f t="shared" si="119"/>
        <v/>
      </c>
      <c r="AS721" t="str">
        <f t="shared" si="120"/>
        <v/>
      </c>
    </row>
    <row r="722" spans="1:45">
      <c r="A722" s="291"/>
      <c r="B722" s="292"/>
      <c r="C722" s="293"/>
      <c r="D722" s="293"/>
      <c r="E722" s="293"/>
      <c r="F722" s="293"/>
      <c r="G722" s="294"/>
      <c r="H722" s="300"/>
      <c r="I722" s="295"/>
      <c r="J722" s="295"/>
      <c r="K722" s="296"/>
      <c r="L722" s="301"/>
      <c r="M722" s="297"/>
      <c r="N722" s="298"/>
      <c r="P722" s="190" t="str">
        <f>IF(R722 = "", "", COUNT(R$4:$R722))</f>
        <v/>
      </c>
      <c r="Q722" s="190" t="str">
        <f t="shared" si="111"/>
        <v/>
      </c>
      <c r="R722" s="191" t="str">
        <f t="shared" si="112"/>
        <v/>
      </c>
      <c r="S722" s="192" t="str">
        <f t="shared" si="114"/>
        <v/>
      </c>
      <c r="T722" s="193" t="str">
        <f t="shared" si="115"/>
        <v/>
      </c>
      <c r="U722" s="194" t="str">
        <f t="shared" si="116"/>
        <v/>
      </c>
      <c r="V722" s="195" t="str">
        <f t="shared" si="113"/>
        <v/>
      </c>
      <c r="W722" s="336" t="str">
        <f t="shared" si="117"/>
        <v/>
      </c>
      <c r="X722" s="338" t="str">
        <f t="shared" si="118"/>
        <v/>
      </c>
      <c r="Y722" s="274"/>
      <c r="AR722" t="str">
        <f t="shared" si="119"/>
        <v/>
      </c>
      <c r="AS722" t="str">
        <f t="shared" si="120"/>
        <v/>
      </c>
    </row>
    <row r="723" spans="1:45">
      <c r="A723" s="291"/>
      <c r="B723" s="292"/>
      <c r="C723" s="293"/>
      <c r="D723" s="293"/>
      <c r="E723" s="293"/>
      <c r="F723" s="293"/>
      <c r="G723" s="294"/>
      <c r="H723" s="300"/>
      <c r="I723" s="295"/>
      <c r="J723" s="295"/>
      <c r="K723" s="296"/>
      <c r="L723" s="301"/>
      <c r="M723" s="297"/>
      <c r="N723" s="298"/>
      <c r="P723" s="190" t="str">
        <f>IF(R723 = "", "", COUNT(R$4:$R723))</f>
        <v/>
      </c>
      <c r="Q723" s="190" t="str">
        <f t="shared" si="111"/>
        <v/>
      </c>
      <c r="R723" s="191" t="str">
        <f t="shared" si="112"/>
        <v/>
      </c>
      <c r="S723" s="192" t="str">
        <f t="shared" si="114"/>
        <v/>
      </c>
      <c r="T723" s="193" t="str">
        <f t="shared" si="115"/>
        <v/>
      </c>
      <c r="U723" s="194" t="str">
        <f t="shared" si="116"/>
        <v/>
      </c>
      <c r="V723" s="195" t="str">
        <f t="shared" si="113"/>
        <v/>
      </c>
      <c r="W723" s="336" t="str">
        <f t="shared" si="117"/>
        <v/>
      </c>
      <c r="X723" s="338" t="str">
        <f t="shared" si="118"/>
        <v/>
      </c>
      <c r="Y723" s="274"/>
      <c r="AR723" t="str">
        <f t="shared" si="119"/>
        <v/>
      </c>
      <c r="AS723" t="str">
        <f t="shared" si="120"/>
        <v/>
      </c>
    </row>
    <row r="724" spans="1:45">
      <c r="A724" s="291"/>
      <c r="B724" s="292"/>
      <c r="C724" s="293"/>
      <c r="D724" s="293"/>
      <c r="E724" s="293"/>
      <c r="F724" s="293"/>
      <c r="G724" s="294"/>
      <c r="H724" s="300"/>
      <c r="I724" s="295"/>
      <c r="J724" s="295"/>
      <c r="K724" s="296"/>
      <c r="L724" s="301"/>
      <c r="M724" s="297"/>
      <c r="N724" s="298"/>
      <c r="P724" s="190" t="str">
        <f>IF(R724 = "", "", COUNT(R$4:$R724))</f>
        <v/>
      </c>
      <c r="Q724" s="190" t="str">
        <f t="shared" si="111"/>
        <v/>
      </c>
      <c r="R724" s="191" t="str">
        <f t="shared" si="112"/>
        <v/>
      </c>
      <c r="S724" s="192" t="str">
        <f t="shared" si="114"/>
        <v/>
      </c>
      <c r="T724" s="193" t="str">
        <f t="shared" si="115"/>
        <v/>
      </c>
      <c r="U724" s="194" t="str">
        <f t="shared" si="116"/>
        <v/>
      </c>
      <c r="V724" s="195" t="str">
        <f t="shared" si="113"/>
        <v/>
      </c>
      <c r="W724" s="336" t="str">
        <f t="shared" si="117"/>
        <v/>
      </c>
      <c r="X724" s="338" t="str">
        <f t="shared" si="118"/>
        <v/>
      </c>
      <c r="Y724" s="274"/>
      <c r="AR724" t="str">
        <f t="shared" si="119"/>
        <v/>
      </c>
      <c r="AS724" t="str">
        <f t="shared" si="120"/>
        <v/>
      </c>
    </row>
    <row r="725" spans="1:45">
      <c r="A725" s="291"/>
      <c r="B725" s="292"/>
      <c r="C725" s="293"/>
      <c r="D725" s="293"/>
      <c r="E725" s="293"/>
      <c r="F725" s="293"/>
      <c r="G725" s="294"/>
      <c r="H725" s="300"/>
      <c r="I725" s="295"/>
      <c r="J725" s="295"/>
      <c r="K725" s="296"/>
      <c r="L725" s="301"/>
      <c r="M725" s="297"/>
      <c r="N725" s="298"/>
      <c r="P725" s="190" t="str">
        <f>IF(R725 = "", "", COUNT(R$4:$R725))</f>
        <v/>
      </c>
      <c r="Q725" s="190" t="str">
        <f t="shared" si="111"/>
        <v/>
      </c>
      <c r="R725" s="191" t="str">
        <f t="shared" si="112"/>
        <v/>
      </c>
      <c r="S725" s="192" t="str">
        <f t="shared" si="114"/>
        <v/>
      </c>
      <c r="T725" s="193" t="str">
        <f t="shared" si="115"/>
        <v/>
      </c>
      <c r="U725" s="194" t="str">
        <f t="shared" si="116"/>
        <v/>
      </c>
      <c r="V725" s="195" t="str">
        <f t="shared" si="113"/>
        <v/>
      </c>
      <c r="W725" s="336" t="str">
        <f t="shared" si="117"/>
        <v/>
      </c>
      <c r="X725" s="338" t="str">
        <f t="shared" si="118"/>
        <v/>
      </c>
      <c r="Y725" s="274"/>
      <c r="AR725" t="str">
        <f t="shared" si="119"/>
        <v/>
      </c>
      <c r="AS725" t="str">
        <f t="shared" si="120"/>
        <v/>
      </c>
    </row>
    <row r="726" spans="1:45">
      <c r="A726" s="291"/>
      <c r="B726" s="292"/>
      <c r="C726" s="293"/>
      <c r="D726" s="293"/>
      <c r="E726" s="293"/>
      <c r="F726" s="293"/>
      <c r="G726" s="294"/>
      <c r="H726" s="300"/>
      <c r="I726" s="295"/>
      <c r="J726" s="295"/>
      <c r="K726" s="296"/>
      <c r="L726" s="301"/>
      <c r="M726" s="297"/>
      <c r="N726" s="298"/>
      <c r="P726" s="190" t="str">
        <f>IF(R726 = "", "", COUNT(R$4:$R726))</f>
        <v/>
      </c>
      <c r="Q726" s="190" t="str">
        <f t="shared" si="111"/>
        <v/>
      </c>
      <c r="R726" s="191" t="str">
        <f t="shared" si="112"/>
        <v/>
      </c>
      <c r="S726" s="192" t="str">
        <f t="shared" si="114"/>
        <v/>
      </c>
      <c r="T726" s="193" t="str">
        <f t="shared" si="115"/>
        <v/>
      </c>
      <c r="U726" s="194" t="str">
        <f t="shared" si="116"/>
        <v/>
      </c>
      <c r="V726" s="195" t="str">
        <f t="shared" si="113"/>
        <v/>
      </c>
      <c r="W726" s="336" t="str">
        <f t="shared" si="117"/>
        <v/>
      </c>
      <c r="X726" s="338" t="str">
        <f t="shared" si="118"/>
        <v/>
      </c>
      <c r="Y726" s="274"/>
      <c r="AR726" t="str">
        <f t="shared" si="119"/>
        <v/>
      </c>
      <c r="AS726" t="str">
        <f t="shared" si="120"/>
        <v/>
      </c>
    </row>
    <row r="727" spans="1:45">
      <c r="A727" s="291"/>
      <c r="B727" s="292"/>
      <c r="C727" s="293"/>
      <c r="D727" s="293"/>
      <c r="E727" s="293"/>
      <c r="F727" s="293"/>
      <c r="G727" s="294"/>
      <c r="H727" s="300"/>
      <c r="I727" s="295"/>
      <c r="J727" s="295"/>
      <c r="K727" s="296"/>
      <c r="L727" s="301"/>
      <c r="M727" s="297"/>
      <c r="N727" s="298"/>
      <c r="P727" s="190" t="str">
        <f>IF(R727 = "", "", COUNT(R$4:$R727))</f>
        <v/>
      </c>
      <c r="Q727" s="190" t="str">
        <f t="shared" si="111"/>
        <v/>
      </c>
      <c r="R727" s="191" t="str">
        <f t="shared" si="112"/>
        <v/>
      </c>
      <c r="S727" s="192" t="str">
        <f t="shared" si="114"/>
        <v/>
      </c>
      <c r="T727" s="193" t="str">
        <f t="shared" si="115"/>
        <v/>
      </c>
      <c r="U727" s="194" t="str">
        <f t="shared" si="116"/>
        <v/>
      </c>
      <c r="V727" s="195" t="str">
        <f t="shared" si="113"/>
        <v/>
      </c>
      <c r="W727" s="336" t="str">
        <f t="shared" si="117"/>
        <v/>
      </c>
      <c r="X727" s="338" t="str">
        <f t="shared" si="118"/>
        <v/>
      </c>
      <c r="Y727" s="274"/>
      <c r="AR727" t="str">
        <f t="shared" si="119"/>
        <v/>
      </c>
      <c r="AS727" t="str">
        <f t="shared" si="120"/>
        <v/>
      </c>
    </row>
    <row r="728" spans="1:45">
      <c r="A728" s="291"/>
      <c r="B728" s="292"/>
      <c r="C728" s="293"/>
      <c r="D728" s="293"/>
      <c r="E728" s="293"/>
      <c r="F728" s="293"/>
      <c r="G728" s="294"/>
      <c r="H728" s="300"/>
      <c r="I728" s="295"/>
      <c r="J728" s="295"/>
      <c r="K728" s="296"/>
      <c r="L728" s="301"/>
      <c r="M728" s="297"/>
      <c r="N728" s="298"/>
      <c r="P728" s="190" t="str">
        <f>IF(R728 = "", "", COUNT(R$4:$R728))</f>
        <v/>
      </c>
      <c r="Q728" s="190" t="str">
        <f t="shared" si="111"/>
        <v/>
      </c>
      <c r="R728" s="191" t="str">
        <f t="shared" si="112"/>
        <v/>
      </c>
      <c r="S728" s="192" t="str">
        <f t="shared" si="114"/>
        <v/>
      </c>
      <c r="T728" s="193" t="str">
        <f t="shared" si="115"/>
        <v/>
      </c>
      <c r="U728" s="194" t="str">
        <f t="shared" si="116"/>
        <v/>
      </c>
      <c r="V728" s="195" t="str">
        <f t="shared" si="113"/>
        <v/>
      </c>
      <c r="W728" s="336" t="str">
        <f t="shared" si="117"/>
        <v/>
      </c>
      <c r="X728" s="338" t="str">
        <f t="shared" si="118"/>
        <v/>
      </c>
      <c r="Y728" s="274"/>
      <c r="AR728" t="str">
        <f t="shared" si="119"/>
        <v/>
      </c>
      <c r="AS728" t="str">
        <f t="shared" si="120"/>
        <v/>
      </c>
    </row>
    <row r="729" spans="1:45">
      <c r="A729" s="291"/>
      <c r="B729" s="292"/>
      <c r="C729" s="293"/>
      <c r="D729" s="293"/>
      <c r="E729" s="293"/>
      <c r="F729" s="293"/>
      <c r="G729" s="294"/>
      <c r="H729" s="300"/>
      <c r="I729" s="295"/>
      <c r="J729" s="295"/>
      <c r="K729" s="296"/>
      <c r="L729" s="301"/>
      <c r="M729" s="297"/>
      <c r="N729" s="298"/>
      <c r="P729" s="190" t="str">
        <f>IF(R729 = "", "", COUNT(R$4:$R729))</f>
        <v/>
      </c>
      <c r="Q729" s="190" t="str">
        <f t="shared" si="111"/>
        <v/>
      </c>
      <c r="R729" s="191" t="str">
        <f t="shared" si="112"/>
        <v/>
      </c>
      <c r="S729" s="192" t="str">
        <f t="shared" si="114"/>
        <v/>
      </c>
      <c r="T729" s="193" t="str">
        <f t="shared" si="115"/>
        <v/>
      </c>
      <c r="U729" s="194" t="str">
        <f t="shared" si="116"/>
        <v/>
      </c>
      <c r="V729" s="195" t="str">
        <f t="shared" si="113"/>
        <v/>
      </c>
      <c r="W729" s="336" t="str">
        <f t="shared" si="117"/>
        <v/>
      </c>
      <c r="X729" s="338" t="str">
        <f t="shared" si="118"/>
        <v/>
      </c>
      <c r="Y729" s="274"/>
      <c r="AR729" t="str">
        <f t="shared" si="119"/>
        <v/>
      </c>
      <c r="AS729" t="str">
        <f t="shared" si="120"/>
        <v/>
      </c>
    </row>
    <row r="730" spans="1:45">
      <c r="A730" s="291"/>
      <c r="B730" s="292"/>
      <c r="C730" s="293"/>
      <c r="D730" s="293"/>
      <c r="E730" s="293"/>
      <c r="F730" s="293"/>
      <c r="G730" s="294"/>
      <c r="H730" s="300"/>
      <c r="I730" s="295"/>
      <c r="J730" s="295"/>
      <c r="K730" s="296"/>
      <c r="L730" s="301"/>
      <c r="M730" s="297"/>
      <c r="N730" s="298"/>
      <c r="P730" s="190" t="str">
        <f>IF(R730 = "", "", COUNT(R$4:$R730))</f>
        <v/>
      </c>
      <c r="Q730" s="190" t="str">
        <f t="shared" si="111"/>
        <v/>
      </c>
      <c r="R730" s="191" t="str">
        <f t="shared" si="112"/>
        <v/>
      </c>
      <c r="S730" s="192" t="str">
        <f t="shared" si="114"/>
        <v/>
      </c>
      <c r="T730" s="193" t="str">
        <f t="shared" si="115"/>
        <v/>
      </c>
      <c r="U730" s="194" t="str">
        <f t="shared" si="116"/>
        <v/>
      </c>
      <c r="V730" s="195" t="str">
        <f t="shared" si="113"/>
        <v/>
      </c>
      <c r="W730" s="336" t="str">
        <f t="shared" si="117"/>
        <v/>
      </c>
      <c r="X730" s="338" t="str">
        <f t="shared" si="118"/>
        <v/>
      </c>
      <c r="Y730" s="274"/>
      <c r="AR730" t="str">
        <f t="shared" si="119"/>
        <v/>
      </c>
      <c r="AS730" t="str">
        <f t="shared" si="120"/>
        <v/>
      </c>
    </row>
    <row r="731" spans="1:45">
      <c r="A731" s="291"/>
      <c r="B731" s="292"/>
      <c r="C731" s="293"/>
      <c r="D731" s="293"/>
      <c r="E731" s="293"/>
      <c r="F731" s="293"/>
      <c r="G731" s="294"/>
      <c r="H731" s="300"/>
      <c r="I731" s="295"/>
      <c r="J731" s="295"/>
      <c r="K731" s="296"/>
      <c r="L731" s="301"/>
      <c r="M731" s="297"/>
      <c r="N731" s="298"/>
      <c r="P731" s="190" t="str">
        <f>IF(R731 = "", "", COUNT(R$4:$R731))</f>
        <v/>
      </c>
      <c r="Q731" s="190" t="str">
        <f t="shared" si="111"/>
        <v/>
      </c>
      <c r="R731" s="191" t="str">
        <f t="shared" si="112"/>
        <v/>
      </c>
      <c r="S731" s="192" t="str">
        <f t="shared" si="114"/>
        <v/>
      </c>
      <c r="T731" s="193" t="str">
        <f t="shared" si="115"/>
        <v/>
      </c>
      <c r="U731" s="194" t="str">
        <f t="shared" si="116"/>
        <v/>
      </c>
      <c r="V731" s="195" t="str">
        <f t="shared" si="113"/>
        <v/>
      </c>
      <c r="W731" s="336" t="str">
        <f t="shared" si="117"/>
        <v/>
      </c>
      <c r="X731" s="338" t="str">
        <f t="shared" si="118"/>
        <v/>
      </c>
      <c r="Y731" s="274"/>
      <c r="AR731" t="str">
        <f t="shared" si="119"/>
        <v/>
      </c>
      <c r="AS731" t="str">
        <f t="shared" si="120"/>
        <v/>
      </c>
    </row>
    <row r="732" spans="1:45">
      <c r="A732" s="291"/>
      <c r="B732" s="292"/>
      <c r="C732" s="293"/>
      <c r="D732" s="293"/>
      <c r="E732" s="293"/>
      <c r="F732" s="293"/>
      <c r="G732" s="294"/>
      <c r="H732" s="300"/>
      <c r="I732" s="295"/>
      <c r="J732" s="295"/>
      <c r="K732" s="296"/>
      <c r="L732" s="301"/>
      <c r="M732" s="297"/>
      <c r="N732" s="298"/>
      <c r="P732" s="190" t="str">
        <f>IF(R732 = "", "", COUNT(R$4:$R732))</f>
        <v/>
      </c>
      <c r="Q732" s="190" t="str">
        <f t="shared" si="111"/>
        <v/>
      </c>
      <c r="R732" s="191" t="str">
        <f t="shared" si="112"/>
        <v/>
      </c>
      <c r="S732" s="192" t="str">
        <f t="shared" si="114"/>
        <v/>
      </c>
      <c r="T732" s="193" t="str">
        <f t="shared" si="115"/>
        <v/>
      </c>
      <c r="U732" s="194" t="str">
        <f t="shared" si="116"/>
        <v/>
      </c>
      <c r="V732" s="195" t="str">
        <f t="shared" si="113"/>
        <v/>
      </c>
      <c r="W732" s="336" t="str">
        <f t="shared" si="117"/>
        <v/>
      </c>
      <c r="X732" s="338" t="str">
        <f t="shared" si="118"/>
        <v/>
      </c>
      <c r="Y732" s="274"/>
      <c r="AR732" t="str">
        <f t="shared" si="119"/>
        <v/>
      </c>
      <c r="AS732" t="str">
        <f t="shared" si="120"/>
        <v/>
      </c>
    </row>
    <row r="733" spans="1:45">
      <c r="A733" s="291"/>
      <c r="B733" s="292"/>
      <c r="C733" s="293"/>
      <c r="D733" s="293"/>
      <c r="E733" s="293"/>
      <c r="F733" s="293"/>
      <c r="G733" s="294"/>
      <c r="H733" s="300"/>
      <c r="I733" s="295"/>
      <c r="J733" s="295"/>
      <c r="K733" s="296"/>
      <c r="L733" s="301"/>
      <c r="M733" s="297"/>
      <c r="N733" s="298"/>
      <c r="P733" s="190" t="str">
        <f>IF(R733 = "", "", COUNT(R$4:$R733))</f>
        <v/>
      </c>
      <c r="Q733" s="190" t="str">
        <f t="shared" si="111"/>
        <v/>
      </c>
      <c r="R733" s="191" t="str">
        <f t="shared" si="112"/>
        <v/>
      </c>
      <c r="S733" s="192" t="str">
        <f t="shared" si="114"/>
        <v/>
      </c>
      <c r="T733" s="193" t="str">
        <f t="shared" si="115"/>
        <v/>
      </c>
      <c r="U733" s="194" t="str">
        <f t="shared" si="116"/>
        <v/>
      </c>
      <c r="V733" s="195" t="str">
        <f t="shared" si="113"/>
        <v/>
      </c>
      <c r="W733" s="336" t="str">
        <f t="shared" si="117"/>
        <v/>
      </c>
      <c r="X733" s="338" t="str">
        <f t="shared" si="118"/>
        <v/>
      </c>
      <c r="Y733" s="274"/>
      <c r="AR733" t="str">
        <f t="shared" si="119"/>
        <v/>
      </c>
      <c r="AS733" t="str">
        <f t="shared" si="120"/>
        <v/>
      </c>
    </row>
    <row r="734" spans="1:45">
      <c r="A734" s="291"/>
      <c r="B734" s="292"/>
      <c r="C734" s="293"/>
      <c r="D734" s="293"/>
      <c r="E734" s="293"/>
      <c r="F734" s="293"/>
      <c r="G734" s="294"/>
      <c r="H734" s="300"/>
      <c r="I734" s="295"/>
      <c r="J734" s="295"/>
      <c r="K734" s="296"/>
      <c r="L734" s="301"/>
      <c r="M734" s="297"/>
      <c r="N734" s="298"/>
      <c r="P734" s="190" t="str">
        <f>IF(R734 = "", "", COUNT(R$4:$R734))</f>
        <v/>
      </c>
      <c r="Q734" s="190" t="str">
        <f t="shared" si="111"/>
        <v/>
      </c>
      <c r="R734" s="191" t="str">
        <f t="shared" si="112"/>
        <v/>
      </c>
      <c r="S734" s="192" t="str">
        <f t="shared" si="114"/>
        <v/>
      </c>
      <c r="T734" s="193" t="str">
        <f t="shared" si="115"/>
        <v/>
      </c>
      <c r="U734" s="194" t="str">
        <f t="shared" si="116"/>
        <v/>
      </c>
      <c r="V734" s="195" t="str">
        <f t="shared" si="113"/>
        <v/>
      </c>
      <c r="W734" s="336" t="str">
        <f t="shared" si="117"/>
        <v/>
      </c>
      <c r="X734" s="338" t="str">
        <f t="shared" si="118"/>
        <v/>
      </c>
      <c r="Y734" s="274"/>
      <c r="AR734" t="str">
        <f t="shared" si="119"/>
        <v/>
      </c>
      <c r="AS734" t="str">
        <f t="shared" si="120"/>
        <v/>
      </c>
    </row>
    <row r="735" spans="1:45">
      <c r="A735" s="291"/>
      <c r="B735" s="292"/>
      <c r="C735" s="293"/>
      <c r="D735" s="293"/>
      <c r="E735" s="293"/>
      <c r="F735" s="293"/>
      <c r="G735" s="294"/>
      <c r="H735" s="300"/>
      <c r="I735" s="295"/>
      <c r="J735" s="295"/>
      <c r="K735" s="296"/>
      <c r="L735" s="301"/>
      <c r="M735" s="297"/>
      <c r="N735" s="298"/>
      <c r="P735" s="190" t="str">
        <f>IF(R735 = "", "", COUNT(R$4:$R735))</f>
        <v/>
      </c>
      <c r="Q735" s="190" t="str">
        <f t="shared" si="111"/>
        <v/>
      </c>
      <c r="R735" s="191" t="str">
        <f t="shared" si="112"/>
        <v/>
      </c>
      <c r="S735" s="192" t="str">
        <f t="shared" si="114"/>
        <v/>
      </c>
      <c r="T735" s="193" t="str">
        <f t="shared" si="115"/>
        <v/>
      </c>
      <c r="U735" s="194" t="str">
        <f t="shared" si="116"/>
        <v/>
      </c>
      <c r="V735" s="195" t="str">
        <f t="shared" si="113"/>
        <v/>
      </c>
      <c r="W735" s="336" t="str">
        <f t="shared" si="117"/>
        <v/>
      </c>
      <c r="X735" s="338" t="str">
        <f t="shared" si="118"/>
        <v/>
      </c>
      <c r="Y735" s="274"/>
      <c r="AR735" t="str">
        <f t="shared" si="119"/>
        <v/>
      </c>
      <c r="AS735" t="str">
        <f t="shared" si="120"/>
        <v/>
      </c>
    </row>
    <row r="736" spans="1:45">
      <c r="A736" s="291"/>
      <c r="B736" s="292"/>
      <c r="C736" s="293"/>
      <c r="D736" s="293"/>
      <c r="E736" s="293"/>
      <c r="F736" s="293"/>
      <c r="G736" s="294"/>
      <c r="H736" s="300"/>
      <c r="I736" s="295"/>
      <c r="J736" s="295"/>
      <c r="K736" s="296"/>
      <c r="L736" s="301"/>
      <c r="M736" s="297"/>
      <c r="N736" s="298"/>
      <c r="P736" s="190" t="str">
        <f>IF(R736 = "", "", COUNT(R$4:$R736))</f>
        <v/>
      </c>
      <c r="Q736" s="190" t="str">
        <f t="shared" si="111"/>
        <v/>
      </c>
      <c r="R736" s="191" t="str">
        <f t="shared" si="112"/>
        <v/>
      </c>
      <c r="S736" s="192" t="str">
        <f t="shared" si="114"/>
        <v/>
      </c>
      <c r="T736" s="193" t="str">
        <f t="shared" si="115"/>
        <v/>
      </c>
      <c r="U736" s="194" t="str">
        <f t="shared" si="116"/>
        <v/>
      </c>
      <c r="V736" s="195" t="str">
        <f t="shared" si="113"/>
        <v/>
      </c>
      <c r="W736" s="336" t="str">
        <f t="shared" si="117"/>
        <v/>
      </c>
      <c r="X736" s="338" t="str">
        <f t="shared" si="118"/>
        <v/>
      </c>
      <c r="Y736" s="274"/>
      <c r="AR736" t="str">
        <f t="shared" si="119"/>
        <v/>
      </c>
      <c r="AS736" t="str">
        <f t="shared" si="120"/>
        <v/>
      </c>
    </row>
    <row r="737" spans="1:45">
      <c r="A737" s="291"/>
      <c r="B737" s="292"/>
      <c r="C737" s="293"/>
      <c r="D737" s="293"/>
      <c r="E737" s="293"/>
      <c r="F737" s="293"/>
      <c r="G737" s="294"/>
      <c r="H737" s="300"/>
      <c r="I737" s="295"/>
      <c r="J737" s="295"/>
      <c r="K737" s="296"/>
      <c r="L737" s="301"/>
      <c r="M737" s="297"/>
      <c r="N737" s="298"/>
      <c r="P737" s="190" t="str">
        <f>IF(R737 = "", "", COUNT(R$4:$R737))</f>
        <v/>
      </c>
      <c r="Q737" s="190" t="str">
        <f t="shared" si="111"/>
        <v/>
      </c>
      <c r="R737" s="191" t="str">
        <f t="shared" si="112"/>
        <v/>
      </c>
      <c r="S737" s="192" t="str">
        <f t="shared" si="114"/>
        <v/>
      </c>
      <c r="T737" s="193" t="str">
        <f t="shared" si="115"/>
        <v/>
      </c>
      <c r="U737" s="194" t="str">
        <f t="shared" si="116"/>
        <v/>
      </c>
      <c r="V737" s="195" t="str">
        <f t="shared" si="113"/>
        <v/>
      </c>
      <c r="W737" s="336" t="str">
        <f t="shared" si="117"/>
        <v/>
      </c>
      <c r="X737" s="338" t="str">
        <f t="shared" si="118"/>
        <v/>
      </c>
      <c r="Y737" s="274"/>
      <c r="AR737" t="str">
        <f t="shared" si="119"/>
        <v/>
      </c>
      <c r="AS737" t="str">
        <f t="shared" si="120"/>
        <v/>
      </c>
    </row>
    <row r="738" spans="1:45">
      <c r="A738" s="291"/>
      <c r="B738" s="292"/>
      <c r="C738" s="293"/>
      <c r="D738" s="293"/>
      <c r="E738" s="293"/>
      <c r="F738" s="293"/>
      <c r="G738" s="294"/>
      <c r="H738" s="300"/>
      <c r="I738" s="295"/>
      <c r="J738" s="295"/>
      <c r="K738" s="296"/>
      <c r="L738" s="301"/>
      <c r="M738" s="297"/>
      <c r="N738" s="298"/>
      <c r="P738" s="190" t="str">
        <f>IF(R738 = "", "", COUNT(R$4:$R738))</f>
        <v/>
      </c>
      <c r="Q738" s="190" t="str">
        <f t="shared" si="111"/>
        <v/>
      </c>
      <c r="R738" s="191" t="str">
        <f t="shared" si="112"/>
        <v/>
      </c>
      <c r="S738" s="192" t="str">
        <f t="shared" si="114"/>
        <v/>
      </c>
      <c r="T738" s="193" t="str">
        <f t="shared" si="115"/>
        <v/>
      </c>
      <c r="U738" s="194" t="str">
        <f t="shared" si="116"/>
        <v/>
      </c>
      <c r="V738" s="195" t="str">
        <f t="shared" si="113"/>
        <v/>
      </c>
      <c r="W738" s="336" t="str">
        <f t="shared" si="117"/>
        <v/>
      </c>
      <c r="X738" s="338" t="str">
        <f t="shared" si="118"/>
        <v/>
      </c>
      <c r="Y738" s="274"/>
      <c r="AR738" t="str">
        <f t="shared" si="119"/>
        <v/>
      </c>
      <c r="AS738" t="str">
        <f t="shared" si="120"/>
        <v/>
      </c>
    </row>
    <row r="739" spans="1:45">
      <c r="A739" s="291"/>
      <c r="B739" s="292"/>
      <c r="C739" s="293"/>
      <c r="D739" s="293"/>
      <c r="E739" s="293"/>
      <c r="F739" s="293"/>
      <c r="G739" s="294"/>
      <c r="H739" s="300"/>
      <c r="I739" s="295"/>
      <c r="J739" s="295"/>
      <c r="K739" s="296"/>
      <c r="L739" s="301"/>
      <c r="M739" s="297"/>
      <c r="N739" s="298"/>
      <c r="P739" s="190" t="str">
        <f>IF(R739 = "", "", COUNT(R$4:$R739))</f>
        <v/>
      </c>
      <c r="Q739" s="190" t="str">
        <f t="shared" si="111"/>
        <v/>
      </c>
      <c r="R739" s="191" t="str">
        <f t="shared" si="112"/>
        <v/>
      </c>
      <c r="S739" s="192" t="str">
        <f t="shared" si="114"/>
        <v/>
      </c>
      <c r="T739" s="193" t="str">
        <f t="shared" si="115"/>
        <v/>
      </c>
      <c r="U739" s="194" t="str">
        <f t="shared" si="116"/>
        <v/>
      </c>
      <c r="V739" s="195" t="str">
        <f t="shared" si="113"/>
        <v/>
      </c>
      <c r="W739" s="336" t="str">
        <f t="shared" si="117"/>
        <v/>
      </c>
      <c r="X739" s="338" t="str">
        <f t="shared" si="118"/>
        <v/>
      </c>
      <c r="Y739" s="274"/>
      <c r="AR739" t="str">
        <f t="shared" si="119"/>
        <v/>
      </c>
      <c r="AS739" t="str">
        <f t="shared" si="120"/>
        <v/>
      </c>
    </row>
    <row r="740" spans="1:45">
      <c r="A740" s="291"/>
      <c r="B740" s="292"/>
      <c r="C740" s="293"/>
      <c r="D740" s="293"/>
      <c r="E740" s="293"/>
      <c r="F740" s="293"/>
      <c r="G740" s="294"/>
      <c r="H740" s="300"/>
      <c r="I740" s="295"/>
      <c r="J740" s="295"/>
      <c r="K740" s="296"/>
      <c r="L740" s="301"/>
      <c r="M740" s="297"/>
      <c r="N740" s="298"/>
      <c r="P740" s="190" t="str">
        <f>IF(R740 = "", "", COUNT(R$4:$R740))</f>
        <v/>
      </c>
      <c r="Q740" s="190" t="str">
        <f t="shared" si="111"/>
        <v/>
      </c>
      <c r="R740" s="191" t="str">
        <f t="shared" si="112"/>
        <v/>
      </c>
      <c r="S740" s="192" t="str">
        <f t="shared" si="114"/>
        <v/>
      </c>
      <c r="T740" s="193" t="str">
        <f t="shared" si="115"/>
        <v/>
      </c>
      <c r="U740" s="194" t="str">
        <f t="shared" si="116"/>
        <v/>
      </c>
      <c r="V740" s="195" t="str">
        <f t="shared" si="113"/>
        <v/>
      </c>
      <c r="W740" s="336" t="str">
        <f t="shared" si="117"/>
        <v/>
      </c>
      <c r="X740" s="338" t="str">
        <f t="shared" si="118"/>
        <v/>
      </c>
      <c r="Y740" s="274"/>
      <c r="AR740" t="str">
        <f t="shared" si="119"/>
        <v/>
      </c>
      <c r="AS740" t="str">
        <f t="shared" si="120"/>
        <v/>
      </c>
    </row>
    <row r="741" spans="1:45">
      <c r="A741" s="291"/>
      <c r="B741" s="292"/>
      <c r="C741" s="293"/>
      <c r="D741" s="293"/>
      <c r="E741" s="293"/>
      <c r="F741" s="293"/>
      <c r="G741" s="294"/>
      <c r="H741" s="300"/>
      <c r="I741" s="295"/>
      <c r="J741" s="295"/>
      <c r="K741" s="296"/>
      <c r="L741" s="301"/>
      <c r="M741" s="297"/>
      <c r="N741" s="298"/>
      <c r="P741" s="190" t="str">
        <f>IF(R741 = "", "", COUNT(R$4:$R741))</f>
        <v/>
      </c>
      <c r="Q741" s="190" t="str">
        <f t="shared" si="111"/>
        <v/>
      </c>
      <c r="R741" s="191" t="str">
        <f t="shared" si="112"/>
        <v/>
      </c>
      <c r="S741" s="192" t="str">
        <f t="shared" si="114"/>
        <v/>
      </c>
      <c r="T741" s="193" t="str">
        <f t="shared" si="115"/>
        <v/>
      </c>
      <c r="U741" s="194" t="str">
        <f t="shared" si="116"/>
        <v/>
      </c>
      <c r="V741" s="195" t="str">
        <f t="shared" si="113"/>
        <v/>
      </c>
      <c r="W741" s="336" t="str">
        <f t="shared" si="117"/>
        <v/>
      </c>
      <c r="X741" s="338" t="str">
        <f t="shared" si="118"/>
        <v/>
      </c>
      <c r="Y741" s="274"/>
      <c r="AR741" t="str">
        <f t="shared" si="119"/>
        <v/>
      </c>
      <c r="AS741" t="str">
        <f t="shared" si="120"/>
        <v/>
      </c>
    </row>
    <row r="742" spans="1:45">
      <c r="A742" s="291"/>
      <c r="B742" s="292"/>
      <c r="C742" s="293"/>
      <c r="D742" s="293"/>
      <c r="E742" s="293"/>
      <c r="F742" s="293"/>
      <c r="G742" s="294"/>
      <c r="H742" s="300"/>
      <c r="I742" s="295"/>
      <c r="J742" s="295"/>
      <c r="K742" s="296"/>
      <c r="L742" s="301"/>
      <c r="M742" s="297"/>
      <c r="N742" s="298"/>
      <c r="P742" s="190" t="str">
        <f>IF(R742 = "", "", COUNT(R$4:$R742))</f>
        <v/>
      </c>
      <c r="Q742" s="190" t="str">
        <f t="shared" si="111"/>
        <v/>
      </c>
      <c r="R742" s="191" t="str">
        <f t="shared" si="112"/>
        <v/>
      </c>
      <c r="S742" s="192" t="str">
        <f t="shared" si="114"/>
        <v/>
      </c>
      <c r="T742" s="193" t="str">
        <f t="shared" si="115"/>
        <v/>
      </c>
      <c r="U742" s="194" t="str">
        <f t="shared" si="116"/>
        <v/>
      </c>
      <c r="V742" s="195" t="str">
        <f t="shared" si="113"/>
        <v/>
      </c>
      <c r="W742" s="336" t="str">
        <f t="shared" si="117"/>
        <v/>
      </c>
      <c r="X742" s="338" t="str">
        <f t="shared" si="118"/>
        <v/>
      </c>
      <c r="Y742" s="274"/>
      <c r="AR742" t="str">
        <f t="shared" si="119"/>
        <v/>
      </c>
      <c r="AS742" t="str">
        <f t="shared" si="120"/>
        <v/>
      </c>
    </row>
    <row r="743" spans="1:45">
      <c r="A743" s="291"/>
      <c r="B743" s="292"/>
      <c r="C743" s="293"/>
      <c r="D743" s="293"/>
      <c r="E743" s="293"/>
      <c r="F743" s="293"/>
      <c r="G743" s="294"/>
      <c r="H743" s="300"/>
      <c r="I743" s="295"/>
      <c r="J743" s="295"/>
      <c r="K743" s="296"/>
      <c r="L743" s="301"/>
      <c r="M743" s="297"/>
      <c r="N743" s="298"/>
      <c r="P743" s="190" t="str">
        <f>IF(R743 = "", "", COUNT(R$4:$R743))</f>
        <v/>
      </c>
      <c r="Q743" s="190" t="str">
        <f t="shared" si="111"/>
        <v/>
      </c>
      <c r="R743" s="191" t="str">
        <f t="shared" si="112"/>
        <v/>
      </c>
      <c r="S743" s="192" t="str">
        <f t="shared" si="114"/>
        <v/>
      </c>
      <c r="T743" s="193" t="str">
        <f t="shared" si="115"/>
        <v/>
      </c>
      <c r="U743" s="194" t="str">
        <f t="shared" si="116"/>
        <v/>
      </c>
      <c r="V743" s="195" t="str">
        <f t="shared" si="113"/>
        <v/>
      </c>
      <c r="W743" s="336" t="str">
        <f t="shared" si="117"/>
        <v/>
      </c>
      <c r="X743" s="338" t="str">
        <f t="shared" si="118"/>
        <v/>
      </c>
      <c r="Y743" s="274"/>
      <c r="AR743" t="str">
        <f t="shared" si="119"/>
        <v/>
      </c>
      <c r="AS743" t="str">
        <f t="shared" si="120"/>
        <v/>
      </c>
    </row>
    <row r="744" spans="1:45">
      <c r="A744" s="291"/>
      <c r="B744" s="292"/>
      <c r="C744" s="293"/>
      <c r="D744" s="293"/>
      <c r="E744" s="293"/>
      <c r="F744" s="293"/>
      <c r="G744" s="294"/>
      <c r="H744" s="300"/>
      <c r="I744" s="295"/>
      <c r="J744" s="295"/>
      <c r="K744" s="296"/>
      <c r="L744" s="301"/>
      <c r="M744" s="297"/>
      <c r="N744" s="298"/>
      <c r="P744" s="190" t="str">
        <f>IF(R744 = "", "", COUNT(R$4:$R744))</f>
        <v/>
      </c>
      <c r="Q744" s="190" t="str">
        <f t="shared" si="111"/>
        <v/>
      </c>
      <c r="R744" s="191" t="str">
        <f t="shared" si="112"/>
        <v/>
      </c>
      <c r="S744" s="192" t="str">
        <f t="shared" si="114"/>
        <v/>
      </c>
      <c r="T744" s="193" t="str">
        <f t="shared" si="115"/>
        <v/>
      </c>
      <c r="U744" s="194" t="str">
        <f t="shared" si="116"/>
        <v/>
      </c>
      <c r="V744" s="195" t="str">
        <f t="shared" si="113"/>
        <v/>
      </c>
      <c r="W744" s="336" t="str">
        <f t="shared" si="117"/>
        <v/>
      </c>
      <c r="X744" s="338" t="str">
        <f t="shared" si="118"/>
        <v/>
      </c>
      <c r="Y744" s="274"/>
      <c r="AR744" t="str">
        <f t="shared" si="119"/>
        <v/>
      </c>
      <c r="AS744" t="str">
        <f t="shared" si="120"/>
        <v/>
      </c>
    </row>
    <row r="745" spans="1:45">
      <c r="A745" s="291"/>
      <c r="B745" s="292"/>
      <c r="C745" s="293"/>
      <c r="D745" s="293"/>
      <c r="E745" s="293"/>
      <c r="F745" s="293"/>
      <c r="G745" s="294"/>
      <c r="H745" s="300"/>
      <c r="I745" s="295"/>
      <c r="J745" s="295"/>
      <c r="K745" s="296"/>
      <c r="L745" s="301"/>
      <c r="M745" s="297"/>
      <c r="N745" s="298"/>
      <c r="P745" s="190" t="str">
        <f>IF(R745 = "", "", COUNT(R$4:$R745))</f>
        <v/>
      </c>
      <c r="Q745" s="190" t="str">
        <f t="shared" si="111"/>
        <v/>
      </c>
      <c r="R745" s="191" t="str">
        <f t="shared" si="112"/>
        <v/>
      </c>
      <c r="S745" s="192" t="str">
        <f t="shared" si="114"/>
        <v/>
      </c>
      <c r="T745" s="193" t="str">
        <f t="shared" si="115"/>
        <v/>
      </c>
      <c r="U745" s="194" t="str">
        <f t="shared" si="116"/>
        <v/>
      </c>
      <c r="V745" s="195" t="str">
        <f t="shared" si="113"/>
        <v/>
      </c>
      <c r="W745" s="336" t="str">
        <f t="shared" si="117"/>
        <v/>
      </c>
      <c r="X745" s="338" t="str">
        <f t="shared" si="118"/>
        <v/>
      </c>
      <c r="Y745" s="274"/>
      <c r="AR745" t="str">
        <f t="shared" si="119"/>
        <v/>
      </c>
      <c r="AS745" t="str">
        <f t="shared" si="120"/>
        <v/>
      </c>
    </row>
    <row r="746" spans="1:45">
      <c r="A746" s="291"/>
      <c r="B746" s="292"/>
      <c r="C746" s="293"/>
      <c r="D746" s="293"/>
      <c r="E746" s="293"/>
      <c r="F746" s="293"/>
      <c r="G746" s="294"/>
      <c r="H746" s="300"/>
      <c r="I746" s="295"/>
      <c r="J746" s="295"/>
      <c r="K746" s="296"/>
      <c r="L746" s="301"/>
      <c r="M746" s="297"/>
      <c r="N746" s="298"/>
      <c r="P746" s="190" t="str">
        <f>IF(R746 = "", "", COUNT(R$4:$R746))</f>
        <v/>
      </c>
      <c r="Q746" s="190" t="str">
        <f t="shared" si="111"/>
        <v/>
      </c>
      <c r="R746" s="191" t="str">
        <f t="shared" si="112"/>
        <v/>
      </c>
      <c r="S746" s="192" t="str">
        <f t="shared" si="114"/>
        <v/>
      </c>
      <c r="T746" s="193" t="str">
        <f t="shared" si="115"/>
        <v/>
      </c>
      <c r="U746" s="194" t="str">
        <f t="shared" si="116"/>
        <v/>
      </c>
      <c r="V746" s="195" t="str">
        <f t="shared" si="113"/>
        <v/>
      </c>
      <c r="W746" s="336" t="str">
        <f t="shared" si="117"/>
        <v/>
      </c>
      <c r="X746" s="338" t="str">
        <f t="shared" si="118"/>
        <v/>
      </c>
      <c r="Y746" s="274"/>
      <c r="AR746" t="str">
        <f t="shared" si="119"/>
        <v/>
      </c>
      <c r="AS746" t="str">
        <f t="shared" si="120"/>
        <v/>
      </c>
    </row>
    <row r="747" spans="1:45">
      <c r="A747" s="291"/>
      <c r="B747" s="292"/>
      <c r="C747" s="293"/>
      <c r="D747" s="293"/>
      <c r="E747" s="293"/>
      <c r="F747" s="293"/>
      <c r="G747" s="294"/>
      <c r="H747" s="300"/>
      <c r="I747" s="295"/>
      <c r="J747" s="295"/>
      <c r="K747" s="296"/>
      <c r="L747" s="301"/>
      <c r="M747" s="297"/>
      <c r="N747" s="298"/>
      <c r="P747" s="190" t="str">
        <f>IF(R747 = "", "", COUNT(R$4:$R747))</f>
        <v/>
      </c>
      <c r="Q747" s="190" t="str">
        <f t="shared" si="111"/>
        <v/>
      </c>
      <c r="R747" s="191" t="str">
        <f t="shared" si="112"/>
        <v/>
      </c>
      <c r="S747" s="192" t="str">
        <f t="shared" si="114"/>
        <v/>
      </c>
      <c r="T747" s="193" t="str">
        <f t="shared" si="115"/>
        <v/>
      </c>
      <c r="U747" s="194" t="str">
        <f t="shared" si="116"/>
        <v/>
      </c>
      <c r="V747" s="195" t="str">
        <f t="shared" si="113"/>
        <v/>
      </c>
      <c r="W747" s="336" t="str">
        <f t="shared" si="117"/>
        <v/>
      </c>
      <c r="X747" s="338" t="str">
        <f t="shared" si="118"/>
        <v/>
      </c>
      <c r="Y747" s="274"/>
      <c r="AR747" t="str">
        <f t="shared" si="119"/>
        <v/>
      </c>
      <c r="AS747" t="str">
        <f t="shared" si="120"/>
        <v/>
      </c>
    </row>
    <row r="748" spans="1:45">
      <c r="A748" s="291"/>
      <c r="B748" s="292"/>
      <c r="C748" s="293"/>
      <c r="D748" s="293"/>
      <c r="E748" s="293"/>
      <c r="F748" s="293"/>
      <c r="G748" s="294"/>
      <c r="H748" s="300"/>
      <c r="I748" s="295"/>
      <c r="J748" s="295"/>
      <c r="K748" s="296"/>
      <c r="L748" s="301"/>
      <c r="M748" s="297"/>
      <c r="N748" s="298"/>
      <c r="P748" s="190" t="str">
        <f>IF(R748 = "", "", COUNT(R$4:$R748))</f>
        <v/>
      </c>
      <c r="Q748" s="190" t="str">
        <f t="shared" si="111"/>
        <v/>
      </c>
      <c r="R748" s="191" t="str">
        <f t="shared" si="112"/>
        <v/>
      </c>
      <c r="S748" s="192" t="str">
        <f t="shared" si="114"/>
        <v/>
      </c>
      <c r="T748" s="193" t="str">
        <f t="shared" si="115"/>
        <v/>
      </c>
      <c r="U748" s="194" t="str">
        <f t="shared" si="116"/>
        <v/>
      </c>
      <c r="V748" s="195" t="str">
        <f t="shared" si="113"/>
        <v/>
      </c>
      <c r="W748" s="336" t="str">
        <f t="shared" si="117"/>
        <v/>
      </c>
      <c r="X748" s="338" t="str">
        <f t="shared" si="118"/>
        <v/>
      </c>
      <c r="Y748" s="274"/>
      <c r="AR748" t="str">
        <f t="shared" si="119"/>
        <v/>
      </c>
      <c r="AS748" t="str">
        <f t="shared" si="120"/>
        <v/>
      </c>
    </row>
    <row r="749" spans="1:45">
      <c r="A749" s="291"/>
      <c r="B749" s="292"/>
      <c r="C749" s="293"/>
      <c r="D749" s="293"/>
      <c r="E749" s="293"/>
      <c r="F749" s="293"/>
      <c r="G749" s="294"/>
      <c r="H749" s="300"/>
      <c r="I749" s="295"/>
      <c r="J749" s="295"/>
      <c r="K749" s="296"/>
      <c r="L749" s="301"/>
      <c r="M749" s="297"/>
      <c r="N749" s="298"/>
      <c r="P749" s="190" t="str">
        <f>IF(R749 = "", "", COUNT(R$4:$R749))</f>
        <v/>
      </c>
      <c r="Q749" s="190" t="str">
        <f t="shared" si="111"/>
        <v/>
      </c>
      <c r="R749" s="191" t="str">
        <f t="shared" si="112"/>
        <v/>
      </c>
      <c r="S749" s="192" t="str">
        <f t="shared" si="114"/>
        <v/>
      </c>
      <c r="T749" s="193" t="str">
        <f t="shared" si="115"/>
        <v/>
      </c>
      <c r="U749" s="194" t="str">
        <f t="shared" si="116"/>
        <v/>
      </c>
      <c r="V749" s="195" t="str">
        <f t="shared" si="113"/>
        <v/>
      </c>
      <c r="W749" s="336" t="str">
        <f t="shared" si="117"/>
        <v/>
      </c>
      <c r="X749" s="338" t="str">
        <f t="shared" si="118"/>
        <v/>
      </c>
      <c r="Y749" s="274"/>
      <c r="AR749" t="str">
        <f t="shared" si="119"/>
        <v/>
      </c>
      <c r="AS749" t="str">
        <f t="shared" si="120"/>
        <v/>
      </c>
    </row>
    <row r="750" spans="1:45">
      <c r="A750" s="291"/>
      <c r="B750" s="292"/>
      <c r="C750" s="293"/>
      <c r="D750" s="293"/>
      <c r="E750" s="293"/>
      <c r="F750" s="293"/>
      <c r="G750" s="294"/>
      <c r="H750" s="300"/>
      <c r="I750" s="295"/>
      <c r="J750" s="295"/>
      <c r="K750" s="296"/>
      <c r="L750" s="301"/>
      <c r="M750" s="297"/>
      <c r="N750" s="298"/>
      <c r="P750" s="190" t="str">
        <f>IF(R750 = "", "", COUNT(R$4:$R750))</f>
        <v/>
      </c>
      <c r="Q750" s="190" t="str">
        <f t="shared" si="111"/>
        <v/>
      </c>
      <c r="R750" s="191" t="str">
        <f t="shared" si="112"/>
        <v/>
      </c>
      <c r="S750" s="192" t="str">
        <f t="shared" si="114"/>
        <v/>
      </c>
      <c r="T750" s="193" t="str">
        <f t="shared" si="115"/>
        <v/>
      </c>
      <c r="U750" s="194" t="str">
        <f t="shared" si="116"/>
        <v/>
      </c>
      <c r="V750" s="195" t="str">
        <f t="shared" si="113"/>
        <v/>
      </c>
      <c r="W750" s="336" t="str">
        <f t="shared" si="117"/>
        <v/>
      </c>
      <c r="X750" s="338" t="str">
        <f t="shared" si="118"/>
        <v/>
      </c>
      <c r="Y750" s="274"/>
      <c r="AR750" t="str">
        <f t="shared" si="119"/>
        <v/>
      </c>
      <c r="AS750" t="str">
        <f t="shared" si="120"/>
        <v/>
      </c>
    </row>
    <row r="751" spans="1:45">
      <c r="A751" s="291"/>
      <c r="B751" s="292"/>
      <c r="C751" s="293"/>
      <c r="D751" s="293"/>
      <c r="E751" s="293"/>
      <c r="F751" s="293"/>
      <c r="G751" s="294"/>
      <c r="H751" s="300"/>
      <c r="I751" s="295"/>
      <c r="J751" s="295"/>
      <c r="K751" s="296"/>
      <c r="L751" s="301"/>
      <c r="M751" s="297"/>
      <c r="N751" s="298"/>
      <c r="P751" s="190" t="str">
        <f>IF(R751 = "", "", COUNT(R$4:$R751))</f>
        <v/>
      </c>
      <c r="Q751" s="190" t="str">
        <f t="shared" si="111"/>
        <v/>
      </c>
      <c r="R751" s="191" t="str">
        <f t="shared" si="112"/>
        <v/>
      </c>
      <c r="S751" s="192" t="str">
        <f t="shared" si="114"/>
        <v/>
      </c>
      <c r="T751" s="193" t="str">
        <f t="shared" si="115"/>
        <v/>
      </c>
      <c r="U751" s="194" t="str">
        <f t="shared" si="116"/>
        <v/>
      </c>
      <c r="V751" s="195" t="str">
        <f t="shared" si="113"/>
        <v/>
      </c>
      <c r="W751" s="336" t="str">
        <f t="shared" si="117"/>
        <v/>
      </c>
      <c r="X751" s="338" t="str">
        <f t="shared" si="118"/>
        <v/>
      </c>
      <c r="Y751" s="274"/>
      <c r="AR751" t="str">
        <f t="shared" si="119"/>
        <v/>
      </c>
      <c r="AS751" t="str">
        <f t="shared" si="120"/>
        <v/>
      </c>
    </row>
    <row r="752" spans="1:45">
      <c r="A752" s="291"/>
      <c r="B752" s="292"/>
      <c r="C752" s="293"/>
      <c r="D752" s="293"/>
      <c r="E752" s="293"/>
      <c r="F752" s="293"/>
      <c r="G752" s="294"/>
      <c r="H752" s="300"/>
      <c r="I752" s="295"/>
      <c r="J752" s="295"/>
      <c r="K752" s="296"/>
      <c r="L752" s="301"/>
      <c r="M752" s="297"/>
      <c r="N752" s="298"/>
      <c r="P752" s="190" t="str">
        <f>IF(R752 = "", "", COUNT(R$4:$R752))</f>
        <v/>
      </c>
      <c r="Q752" s="190" t="str">
        <f t="shared" si="111"/>
        <v/>
      </c>
      <c r="R752" s="191" t="str">
        <f t="shared" si="112"/>
        <v/>
      </c>
      <c r="S752" s="192" t="str">
        <f t="shared" si="114"/>
        <v/>
      </c>
      <c r="T752" s="193" t="str">
        <f t="shared" si="115"/>
        <v/>
      </c>
      <c r="U752" s="194" t="str">
        <f t="shared" si="116"/>
        <v/>
      </c>
      <c r="V752" s="195" t="str">
        <f t="shared" si="113"/>
        <v/>
      </c>
      <c r="W752" s="336" t="str">
        <f t="shared" si="117"/>
        <v/>
      </c>
      <c r="X752" s="338" t="str">
        <f t="shared" si="118"/>
        <v/>
      </c>
      <c r="Y752" s="274"/>
      <c r="AR752" t="str">
        <f t="shared" si="119"/>
        <v/>
      </c>
      <c r="AS752" t="str">
        <f t="shared" si="120"/>
        <v/>
      </c>
    </row>
    <row r="753" spans="1:45">
      <c r="A753" s="291"/>
      <c r="B753" s="292"/>
      <c r="C753" s="293"/>
      <c r="D753" s="293"/>
      <c r="E753" s="293"/>
      <c r="F753" s="293"/>
      <c r="G753" s="294"/>
      <c r="H753" s="300"/>
      <c r="I753" s="295"/>
      <c r="J753" s="295"/>
      <c r="K753" s="296"/>
      <c r="L753" s="301"/>
      <c r="M753" s="297"/>
      <c r="N753" s="298"/>
      <c r="P753" s="190" t="str">
        <f>IF(R753 = "", "", COUNT(R$4:$R753))</f>
        <v/>
      </c>
      <c r="Q753" s="190" t="str">
        <f t="shared" si="111"/>
        <v/>
      </c>
      <c r="R753" s="191" t="str">
        <f t="shared" si="112"/>
        <v/>
      </c>
      <c r="S753" s="192" t="str">
        <f t="shared" si="114"/>
        <v/>
      </c>
      <c r="T753" s="193" t="str">
        <f t="shared" si="115"/>
        <v/>
      </c>
      <c r="U753" s="194" t="str">
        <f t="shared" si="116"/>
        <v/>
      </c>
      <c r="V753" s="195" t="str">
        <f t="shared" si="113"/>
        <v/>
      </c>
      <c r="W753" s="336" t="str">
        <f t="shared" si="117"/>
        <v/>
      </c>
      <c r="X753" s="338" t="str">
        <f t="shared" si="118"/>
        <v/>
      </c>
      <c r="Y753" s="274"/>
      <c r="AR753" t="str">
        <f t="shared" si="119"/>
        <v/>
      </c>
      <c r="AS753" t="str">
        <f t="shared" si="120"/>
        <v/>
      </c>
    </row>
    <row r="754" spans="1:45">
      <c r="A754" s="291"/>
      <c r="B754" s="292"/>
      <c r="C754" s="293"/>
      <c r="D754" s="293"/>
      <c r="E754" s="293"/>
      <c r="F754" s="293"/>
      <c r="G754" s="294"/>
      <c r="H754" s="300"/>
      <c r="I754" s="295"/>
      <c r="J754" s="295"/>
      <c r="K754" s="296"/>
      <c r="L754" s="301"/>
      <c r="M754" s="297"/>
      <c r="N754" s="298"/>
      <c r="P754" s="190" t="str">
        <f>IF(R754 = "", "", COUNT(R$4:$R754))</f>
        <v/>
      </c>
      <c r="Q754" s="190" t="str">
        <f t="shared" si="111"/>
        <v/>
      </c>
      <c r="R754" s="191" t="str">
        <f t="shared" si="112"/>
        <v/>
      </c>
      <c r="S754" s="192" t="str">
        <f t="shared" si="114"/>
        <v/>
      </c>
      <c r="T754" s="193" t="str">
        <f t="shared" si="115"/>
        <v/>
      </c>
      <c r="U754" s="194" t="str">
        <f t="shared" si="116"/>
        <v/>
      </c>
      <c r="V754" s="195" t="str">
        <f t="shared" si="113"/>
        <v/>
      </c>
      <c r="W754" s="336" t="str">
        <f t="shared" si="117"/>
        <v/>
      </c>
      <c r="X754" s="338" t="str">
        <f t="shared" si="118"/>
        <v/>
      </c>
      <c r="Y754" s="274"/>
      <c r="AR754" t="str">
        <f t="shared" si="119"/>
        <v/>
      </c>
      <c r="AS754" t="str">
        <f t="shared" si="120"/>
        <v/>
      </c>
    </row>
    <row r="755" spans="1:45">
      <c r="A755" s="291"/>
      <c r="B755" s="292"/>
      <c r="C755" s="293"/>
      <c r="D755" s="293"/>
      <c r="E755" s="293"/>
      <c r="F755" s="293"/>
      <c r="G755" s="294"/>
      <c r="H755" s="300"/>
      <c r="I755" s="295"/>
      <c r="J755" s="295"/>
      <c r="K755" s="296"/>
      <c r="L755" s="301"/>
      <c r="M755" s="297"/>
      <c r="N755" s="298"/>
      <c r="P755" s="190" t="str">
        <f>IF(R755 = "", "", COUNT(R$4:$R755))</f>
        <v/>
      </c>
      <c r="Q755" s="190" t="str">
        <f t="shared" si="111"/>
        <v/>
      </c>
      <c r="R755" s="191" t="str">
        <f t="shared" si="112"/>
        <v/>
      </c>
      <c r="S755" s="192" t="str">
        <f t="shared" si="114"/>
        <v/>
      </c>
      <c r="T755" s="193" t="str">
        <f t="shared" si="115"/>
        <v/>
      </c>
      <c r="U755" s="194" t="str">
        <f t="shared" si="116"/>
        <v/>
      </c>
      <c r="V755" s="195" t="str">
        <f t="shared" si="113"/>
        <v/>
      </c>
      <c r="W755" s="336" t="str">
        <f t="shared" si="117"/>
        <v/>
      </c>
      <c r="X755" s="338" t="str">
        <f t="shared" si="118"/>
        <v/>
      </c>
      <c r="Y755" s="274"/>
      <c r="AR755" t="str">
        <f t="shared" si="119"/>
        <v/>
      </c>
      <c r="AS755" t="str">
        <f t="shared" si="120"/>
        <v/>
      </c>
    </row>
    <row r="756" spans="1:45">
      <c r="A756" s="291"/>
      <c r="B756" s="292"/>
      <c r="C756" s="293"/>
      <c r="D756" s="293"/>
      <c r="E756" s="293"/>
      <c r="F756" s="293"/>
      <c r="G756" s="294"/>
      <c r="H756" s="300"/>
      <c r="I756" s="295"/>
      <c r="J756" s="295"/>
      <c r="K756" s="296"/>
      <c r="L756" s="301"/>
      <c r="M756" s="297"/>
      <c r="N756" s="298"/>
      <c r="P756" s="190" t="str">
        <f>IF(R756 = "", "", COUNT(R$4:$R756))</f>
        <v/>
      </c>
      <c r="Q756" s="190" t="str">
        <f t="shared" si="111"/>
        <v/>
      </c>
      <c r="R756" s="191" t="str">
        <f t="shared" si="112"/>
        <v/>
      </c>
      <c r="S756" s="192" t="str">
        <f t="shared" si="114"/>
        <v/>
      </c>
      <c r="T756" s="193" t="str">
        <f t="shared" si="115"/>
        <v/>
      </c>
      <c r="U756" s="194" t="str">
        <f t="shared" si="116"/>
        <v/>
      </c>
      <c r="V756" s="195" t="str">
        <f t="shared" si="113"/>
        <v/>
      </c>
      <c r="W756" s="336" t="str">
        <f t="shared" si="117"/>
        <v/>
      </c>
      <c r="X756" s="338" t="str">
        <f t="shared" si="118"/>
        <v/>
      </c>
      <c r="Y756" s="274"/>
      <c r="AR756" t="str">
        <f t="shared" si="119"/>
        <v/>
      </c>
      <c r="AS756" t="str">
        <f t="shared" si="120"/>
        <v/>
      </c>
    </row>
    <row r="757" spans="1:45">
      <c r="A757" s="291"/>
      <c r="B757" s="292"/>
      <c r="C757" s="293"/>
      <c r="D757" s="293"/>
      <c r="E757" s="293"/>
      <c r="F757" s="293"/>
      <c r="G757" s="294"/>
      <c r="H757" s="300"/>
      <c r="I757" s="295"/>
      <c r="J757" s="295"/>
      <c r="K757" s="296"/>
      <c r="L757" s="301"/>
      <c r="M757" s="297"/>
      <c r="N757" s="298"/>
      <c r="P757" s="190" t="str">
        <f>IF(R757 = "", "", COUNT(R$4:$R757))</f>
        <v/>
      </c>
      <c r="Q757" s="190" t="str">
        <f t="shared" si="111"/>
        <v/>
      </c>
      <c r="R757" s="191" t="str">
        <f t="shared" si="112"/>
        <v/>
      </c>
      <c r="S757" s="192" t="str">
        <f t="shared" si="114"/>
        <v/>
      </c>
      <c r="T757" s="193" t="str">
        <f t="shared" si="115"/>
        <v/>
      </c>
      <c r="U757" s="194" t="str">
        <f t="shared" si="116"/>
        <v/>
      </c>
      <c r="V757" s="195" t="str">
        <f t="shared" si="113"/>
        <v/>
      </c>
      <c r="W757" s="336" t="str">
        <f t="shared" si="117"/>
        <v/>
      </c>
      <c r="X757" s="338" t="str">
        <f t="shared" si="118"/>
        <v/>
      </c>
      <c r="Y757" s="274"/>
      <c r="AR757" t="str">
        <f t="shared" si="119"/>
        <v/>
      </c>
      <c r="AS757" t="str">
        <f t="shared" si="120"/>
        <v/>
      </c>
    </row>
    <row r="758" spans="1:45">
      <c r="A758" s="291"/>
      <c r="B758" s="292"/>
      <c r="C758" s="293"/>
      <c r="D758" s="293"/>
      <c r="E758" s="293"/>
      <c r="F758" s="293"/>
      <c r="G758" s="294"/>
      <c r="H758" s="300"/>
      <c r="I758" s="295"/>
      <c r="J758" s="295"/>
      <c r="K758" s="296"/>
      <c r="L758" s="301"/>
      <c r="M758" s="297"/>
      <c r="N758" s="298"/>
      <c r="P758" s="190" t="str">
        <f>IF(R758 = "", "", COUNT(R$4:$R758))</f>
        <v/>
      </c>
      <c r="Q758" s="190" t="str">
        <f t="shared" si="111"/>
        <v/>
      </c>
      <c r="R758" s="191" t="str">
        <f t="shared" si="112"/>
        <v/>
      </c>
      <c r="S758" s="192" t="str">
        <f t="shared" si="114"/>
        <v/>
      </c>
      <c r="T758" s="193" t="str">
        <f t="shared" si="115"/>
        <v/>
      </c>
      <c r="U758" s="194" t="str">
        <f t="shared" si="116"/>
        <v/>
      </c>
      <c r="V758" s="195" t="str">
        <f t="shared" si="113"/>
        <v/>
      </c>
      <c r="W758" s="336" t="str">
        <f t="shared" si="117"/>
        <v/>
      </c>
      <c r="X758" s="338" t="str">
        <f t="shared" si="118"/>
        <v/>
      </c>
      <c r="Y758" s="274"/>
      <c r="AR758" t="str">
        <f t="shared" si="119"/>
        <v/>
      </c>
      <c r="AS758" t="str">
        <f t="shared" si="120"/>
        <v/>
      </c>
    </row>
    <row r="759" spans="1:45">
      <c r="A759" s="291"/>
      <c r="B759" s="292"/>
      <c r="C759" s="293"/>
      <c r="D759" s="293"/>
      <c r="E759" s="293"/>
      <c r="F759" s="293"/>
      <c r="G759" s="294"/>
      <c r="H759" s="300"/>
      <c r="I759" s="295"/>
      <c r="J759" s="295"/>
      <c r="K759" s="296"/>
      <c r="L759" s="301"/>
      <c r="M759" s="297"/>
      <c r="N759" s="298"/>
      <c r="P759" s="190" t="str">
        <f>IF(R759 = "", "", COUNT(R$4:$R759))</f>
        <v/>
      </c>
      <c r="Q759" s="190" t="str">
        <f t="shared" si="111"/>
        <v/>
      </c>
      <c r="R759" s="191" t="str">
        <f t="shared" si="112"/>
        <v/>
      </c>
      <c r="S759" s="192" t="str">
        <f t="shared" si="114"/>
        <v/>
      </c>
      <c r="T759" s="193" t="str">
        <f t="shared" si="115"/>
        <v/>
      </c>
      <c r="U759" s="194" t="str">
        <f t="shared" si="116"/>
        <v/>
      </c>
      <c r="V759" s="195" t="str">
        <f t="shared" si="113"/>
        <v/>
      </c>
      <c r="W759" s="336" t="str">
        <f t="shared" si="117"/>
        <v/>
      </c>
      <c r="X759" s="338" t="str">
        <f t="shared" si="118"/>
        <v/>
      </c>
      <c r="Y759" s="274"/>
      <c r="AR759" t="str">
        <f t="shared" si="119"/>
        <v/>
      </c>
      <c r="AS759" t="str">
        <f t="shared" si="120"/>
        <v/>
      </c>
    </row>
    <row r="760" spans="1:45">
      <c r="A760" s="291"/>
      <c r="B760" s="292"/>
      <c r="C760" s="293"/>
      <c r="D760" s="293"/>
      <c r="E760" s="293"/>
      <c r="F760" s="293"/>
      <c r="G760" s="294"/>
      <c r="H760" s="300"/>
      <c r="I760" s="295"/>
      <c r="J760" s="295"/>
      <c r="K760" s="296"/>
      <c r="L760" s="301"/>
      <c r="M760" s="297"/>
      <c r="N760" s="298"/>
      <c r="P760" s="190" t="str">
        <f>IF(R760 = "", "", COUNT(R$4:$R760))</f>
        <v/>
      </c>
      <c r="Q760" s="190" t="str">
        <f t="shared" si="111"/>
        <v/>
      </c>
      <c r="R760" s="191" t="str">
        <f t="shared" si="112"/>
        <v/>
      </c>
      <c r="S760" s="192" t="str">
        <f t="shared" si="114"/>
        <v/>
      </c>
      <c r="T760" s="193" t="str">
        <f t="shared" si="115"/>
        <v/>
      </c>
      <c r="U760" s="194" t="str">
        <f t="shared" si="116"/>
        <v/>
      </c>
      <c r="V760" s="195" t="str">
        <f t="shared" si="113"/>
        <v/>
      </c>
      <c r="W760" s="336" t="str">
        <f t="shared" si="117"/>
        <v/>
      </c>
      <c r="X760" s="338" t="str">
        <f t="shared" si="118"/>
        <v/>
      </c>
      <c r="Y760" s="274"/>
      <c r="AR760" t="str">
        <f t="shared" si="119"/>
        <v/>
      </c>
      <c r="AS760" t="str">
        <f t="shared" si="120"/>
        <v/>
      </c>
    </row>
    <row r="761" spans="1:45">
      <c r="A761" s="291"/>
      <c r="B761" s="292"/>
      <c r="C761" s="293"/>
      <c r="D761" s="293"/>
      <c r="E761" s="293"/>
      <c r="F761" s="293"/>
      <c r="G761" s="294"/>
      <c r="H761" s="300"/>
      <c r="I761" s="295"/>
      <c r="J761" s="295"/>
      <c r="K761" s="296"/>
      <c r="L761" s="301"/>
      <c r="M761" s="297"/>
      <c r="N761" s="298"/>
      <c r="P761" s="190" t="str">
        <f>IF(R761 = "", "", COUNT(R$4:$R761))</f>
        <v/>
      </c>
      <c r="Q761" s="190" t="str">
        <f t="shared" si="111"/>
        <v/>
      </c>
      <c r="R761" s="191" t="str">
        <f t="shared" si="112"/>
        <v/>
      </c>
      <c r="S761" s="192" t="str">
        <f t="shared" si="114"/>
        <v/>
      </c>
      <c r="T761" s="193" t="str">
        <f t="shared" si="115"/>
        <v/>
      </c>
      <c r="U761" s="194" t="str">
        <f t="shared" si="116"/>
        <v/>
      </c>
      <c r="V761" s="195" t="str">
        <f t="shared" si="113"/>
        <v/>
      </c>
      <c r="W761" s="336" t="str">
        <f t="shared" si="117"/>
        <v/>
      </c>
      <c r="X761" s="338" t="str">
        <f t="shared" si="118"/>
        <v/>
      </c>
      <c r="Y761" s="274"/>
      <c r="AR761" t="str">
        <f t="shared" si="119"/>
        <v/>
      </c>
      <c r="AS761" t="str">
        <f t="shared" si="120"/>
        <v/>
      </c>
    </row>
    <row r="762" spans="1:45">
      <c r="A762" s="291"/>
      <c r="B762" s="292"/>
      <c r="C762" s="293"/>
      <c r="D762" s="293"/>
      <c r="E762" s="293"/>
      <c r="F762" s="293"/>
      <c r="G762" s="294"/>
      <c r="H762" s="300"/>
      <c r="I762" s="295"/>
      <c r="J762" s="295"/>
      <c r="K762" s="296"/>
      <c r="L762" s="301"/>
      <c r="M762" s="297"/>
      <c r="N762" s="298"/>
      <c r="P762" s="190" t="str">
        <f>IF(R762 = "", "", COUNT(R$4:$R762))</f>
        <v/>
      </c>
      <c r="Q762" s="190" t="str">
        <f t="shared" si="111"/>
        <v/>
      </c>
      <c r="R762" s="191" t="str">
        <f t="shared" si="112"/>
        <v/>
      </c>
      <c r="S762" s="192" t="str">
        <f t="shared" si="114"/>
        <v/>
      </c>
      <c r="T762" s="193" t="str">
        <f t="shared" si="115"/>
        <v/>
      </c>
      <c r="U762" s="194" t="str">
        <f t="shared" si="116"/>
        <v/>
      </c>
      <c r="V762" s="195" t="str">
        <f t="shared" si="113"/>
        <v/>
      </c>
      <c r="W762" s="336" t="str">
        <f t="shared" si="117"/>
        <v/>
      </c>
      <c r="X762" s="338" t="str">
        <f t="shared" si="118"/>
        <v/>
      </c>
      <c r="Y762" s="274"/>
      <c r="AR762" t="str">
        <f t="shared" si="119"/>
        <v/>
      </c>
      <c r="AS762" t="str">
        <f t="shared" si="120"/>
        <v/>
      </c>
    </row>
    <row r="763" spans="1:45">
      <c r="A763" s="291"/>
      <c r="B763" s="292"/>
      <c r="C763" s="293"/>
      <c r="D763" s="293"/>
      <c r="E763" s="293"/>
      <c r="F763" s="293"/>
      <c r="G763" s="294"/>
      <c r="H763" s="300"/>
      <c r="I763" s="295"/>
      <c r="J763" s="295"/>
      <c r="K763" s="296"/>
      <c r="L763" s="301"/>
      <c r="M763" s="297"/>
      <c r="N763" s="298"/>
      <c r="P763" s="190" t="str">
        <f>IF(R763 = "", "", COUNT(R$4:$R763))</f>
        <v/>
      </c>
      <c r="Q763" s="190" t="str">
        <f t="shared" si="111"/>
        <v/>
      </c>
      <c r="R763" s="191" t="str">
        <f t="shared" si="112"/>
        <v/>
      </c>
      <c r="S763" s="192" t="str">
        <f t="shared" si="114"/>
        <v/>
      </c>
      <c r="T763" s="193" t="str">
        <f t="shared" si="115"/>
        <v/>
      </c>
      <c r="U763" s="194" t="str">
        <f t="shared" si="116"/>
        <v/>
      </c>
      <c r="V763" s="195" t="str">
        <f t="shared" si="113"/>
        <v/>
      </c>
      <c r="W763" s="336" t="str">
        <f t="shared" si="117"/>
        <v/>
      </c>
      <c r="X763" s="338" t="str">
        <f t="shared" si="118"/>
        <v/>
      </c>
      <c r="Y763" s="274"/>
      <c r="AR763" t="str">
        <f t="shared" si="119"/>
        <v/>
      </c>
      <c r="AS763" t="str">
        <f t="shared" si="120"/>
        <v/>
      </c>
    </row>
    <row r="764" spans="1:45">
      <c r="A764" s="291"/>
      <c r="B764" s="292"/>
      <c r="C764" s="293"/>
      <c r="D764" s="293"/>
      <c r="E764" s="293"/>
      <c r="F764" s="293"/>
      <c r="G764" s="294"/>
      <c r="H764" s="300"/>
      <c r="I764" s="295"/>
      <c r="J764" s="295"/>
      <c r="K764" s="296"/>
      <c r="L764" s="301"/>
      <c r="M764" s="297"/>
      <c r="N764" s="298"/>
      <c r="P764" s="190" t="str">
        <f>IF(R764 = "", "", COUNT(R$4:$R764))</f>
        <v/>
      </c>
      <c r="Q764" s="190" t="str">
        <f t="shared" si="111"/>
        <v/>
      </c>
      <c r="R764" s="191" t="str">
        <f t="shared" si="112"/>
        <v/>
      </c>
      <c r="S764" s="192" t="str">
        <f t="shared" si="114"/>
        <v/>
      </c>
      <c r="T764" s="193" t="str">
        <f t="shared" si="115"/>
        <v/>
      </c>
      <c r="U764" s="194" t="str">
        <f t="shared" si="116"/>
        <v/>
      </c>
      <c r="V764" s="195" t="str">
        <f t="shared" si="113"/>
        <v/>
      </c>
      <c r="W764" s="336" t="str">
        <f t="shared" si="117"/>
        <v/>
      </c>
      <c r="X764" s="338" t="str">
        <f t="shared" si="118"/>
        <v/>
      </c>
      <c r="Y764" s="274"/>
      <c r="AR764" t="str">
        <f t="shared" si="119"/>
        <v/>
      </c>
      <c r="AS764" t="str">
        <f t="shared" si="120"/>
        <v/>
      </c>
    </row>
    <row r="765" spans="1:45">
      <c r="A765" s="291"/>
      <c r="B765" s="292"/>
      <c r="C765" s="293"/>
      <c r="D765" s="293"/>
      <c r="E765" s="293"/>
      <c r="F765" s="293"/>
      <c r="G765" s="294"/>
      <c r="H765" s="300"/>
      <c r="I765" s="295"/>
      <c r="J765" s="295"/>
      <c r="K765" s="296"/>
      <c r="L765" s="301"/>
      <c r="M765" s="297"/>
      <c r="N765" s="298"/>
      <c r="P765" s="190" t="str">
        <f>IF(R765 = "", "", COUNT(R$4:$R765))</f>
        <v/>
      </c>
      <c r="Q765" s="190" t="str">
        <f t="shared" si="111"/>
        <v/>
      </c>
      <c r="R765" s="191" t="str">
        <f t="shared" si="112"/>
        <v/>
      </c>
      <c r="S765" s="192" t="str">
        <f t="shared" si="114"/>
        <v/>
      </c>
      <c r="T765" s="193" t="str">
        <f t="shared" si="115"/>
        <v/>
      </c>
      <c r="U765" s="194" t="str">
        <f t="shared" si="116"/>
        <v/>
      </c>
      <c r="V765" s="195" t="str">
        <f t="shared" si="113"/>
        <v/>
      </c>
      <c r="W765" s="336" t="str">
        <f t="shared" si="117"/>
        <v/>
      </c>
      <c r="X765" s="338" t="str">
        <f t="shared" si="118"/>
        <v/>
      </c>
      <c r="Y765" s="274"/>
      <c r="AR765" t="str">
        <f t="shared" si="119"/>
        <v/>
      </c>
      <c r="AS765" t="str">
        <f t="shared" si="120"/>
        <v/>
      </c>
    </row>
    <row r="766" spans="1:45">
      <c r="A766" s="291"/>
      <c r="B766" s="292"/>
      <c r="C766" s="293"/>
      <c r="D766" s="293"/>
      <c r="E766" s="293"/>
      <c r="F766" s="293"/>
      <c r="G766" s="294"/>
      <c r="H766" s="300"/>
      <c r="I766" s="295"/>
      <c r="J766" s="295"/>
      <c r="K766" s="296"/>
      <c r="L766" s="301"/>
      <c r="M766" s="297"/>
      <c r="N766" s="298"/>
      <c r="P766" s="190" t="str">
        <f>IF(R766 = "", "", COUNT(R$4:$R766))</f>
        <v/>
      </c>
      <c r="Q766" s="190" t="str">
        <f t="shared" si="111"/>
        <v/>
      </c>
      <c r="R766" s="191" t="str">
        <f t="shared" si="112"/>
        <v/>
      </c>
      <c r="S766" s="192" t="str">
        <f t="shared" si="114"/>
        <v/>
      </c>
      <c r="T766" s="193" t="str">
        <f t="shared" si="115"/>
        <v/>
      </c>
      <c r="U766" s="194" t="str">
        <f t="shared" si="116"/>
        <v/>
      </c>
      <c r="V766" s="195" t="str">
        <f t="shared" si="113"/>
        <v/>
      </c>
      <c r="W766" s="336" t="str">
        <f t="shared" si="117"/>
        <v/>
      </c>
      <c r="X766" s="338" t="str">
        <f t="shared" si="118"/>
        <v/>
      </c>
      <c r="Y766" s="274"/>
      <c r="AR766" t="str">
        <f t="shared" si="119"/>
        <v/>
      </c>
      <c r="AS766" t="str">
        <f t="shared" si="120"/>
        <v/>
      </c>
    </row>
    <row r="767" spans="1:45">
      <c r="A767" s="291"/>
      <c r="B767" s="292"/>
      <c r="C767" s="293"/>
      <c r="D767" s="293"/>
      <c r="E767" s="293"/>
      <c r="F767" s="293"/>
      <c r="G767" s="294"/>
      <c r="H767" s="300"/>
      <c r="I767" s="295"/>
      <c r="J767" s="295"/>
      <c r="K767" s="296"/>
      <c r="L767" s="301"/>
      <c r="M767" s="297"/>
      <c r="N767" s="298"/>
      <c r="P767" s="190" t="str">
        <f>IF(R767 = "", "", COUNT(R$4:$R767))</f>
        <v/>
      </c>
      <c r="Q767" s="190" t="str">
        <f t="shared" si="111"/>
        <v/>
      </c>
      <c r="R767" s="191" t="str">
        <f t="shared" si="112"/>
        <v/>
      </c>
      <c r="S767" s="192" t="str">
        <f t="shared" si="114"/>
        <v/>
      </c>
      <c r="T767" s="193" t="str">
        <f t="shared" si="115"/>
        <v/>
      </c>
      <c r="U767" s="194" t="str">
        <f t="shared" si="116"/>
        <v/>
      </c>
      <c r="V767" s="195" t="str">
        <f t="shared" si="113"/>
        <v/>
      </c>
      <c r="W767" s="336" t="str">
        <f t="shared" si="117"/>
        <v/>
      </c>
      <c r="X767" s="338" t="str">
        <f t="shared" si="118"/>
        <v/>
      </c>
      <c r="Y767" s="274"/>
      <c r="AR767" t="str">
        <f t="shared" si="119"/>
        <v/>
      </c>
      <c r="AS767" t="str">
        <f t="shared" si="120"/>
        <v/>
      </c>
    </row>
    <row r="768" spans="1:45">
      <c r="A768" s="291"/>
      <c r="B768" s="292"/>
      <c r="C768" s="293"/>
      <c r="D768" s="293"/>
      <c r="E768" s="293"/>
      <c r="F768" s="293"/>
      <c r="G768" s="294"/>
      <c r="H768" s="300"/>
      <c r="I768" s="295"/>
      <c r="J768" s="295"/>
      <c r="K768" s="296"/>
      <c r="L768" s="301"/>
      <c r="M768" s="297"/>
      <c r="N768" s="298"/>
      <c r="P768" s="190" t="str">
        <f>IF(R768 = "", "", COUNT(R$4:$R768))</f>
        <v/>
      </c>
      <c r="Q768" s="190" t="str">
        <f t="shared" si="111"/>
        <v/>
      </c>
      <c r="R768" s="191" t="str">
        <f t="shared" si="112"/>
        <v/>
      </c>
      <c r="S768" s="192" t="str">
        <f t="shared" si="114"/>
        <v/>
      </c>
      <c r="T768" s="193" t="str">
        <f t="shared" si="115"/>
        <v/>
      </c>
      <c r="U768" s="194" t="str">
        <f t="shared" si="116"/>
        <v/>
      </c>
      <c r="V768" s="195" t="str">
        <f t="shared" si="113"/>
        <v/>
      </c>
      <c r="W768" s="336" t="str">
        <f t="shared" si="117"/>
        <v/>
      </c>
      <c r="X768" s="338" t="str">
        <f t="shared" si="118"/>
        <v/>
      </c>
      <c r="Y768" s="274"/>
      <c r="AR768" t="str">
        <f t="shared" si="119"/>
        <v/>
      </c>
      <c r="AS768" t="str">
        <f t="shared" si="120"/>
        <v/>
      </c>
    </row>
    <row r="769" spans="1:45">
      <c r="A769" s="291"/>
      <c r="B769" s="292"/>
      <c r="C769" s="293"/>
      <c r="D769" s="293"/>
      <c r="E769" s="293"/>
      <c r="F769" s="293"/>
      <c r="G769" s="294"/>
      <c r="H769" s="300"/>
      <c r="I769" s="295"/>
      <c r="J769" s="295"/>
      <c r="K769" s="296"/>
      <c r="L769" s="301"/>
      <c r="M769" s="297"/>
      <c r="N769" s="298"/>
      <c r="P769" s="190" t="str">
        <f>IF(R769 = "", "", COUNT(R$4:$R769))</f>
        <v/>
      </c>
      <c r="Q769" s="190" t="str">
        <f t="shared" si="111"/>
        <v/>
      </c>
      <c r="R769" s="191" t="str">
        <f t="shared" si="112"/>
        <v/>
      </c>
      <c r="S769" s="192" t="str">
        <f t="shared" si="114"/>
        <v/>
      </c>
      <c r="T769" s="193" t="str">
        <f t="shared" si="115"/>
        <v/>
      </c>
      <c r="U769" s="194" t="str">
        <f t="shared" si="116"/>
        <v/>
      </c>
      <c r="V769" s="195" t="str">
        <f t="shared" si="113"/>
        <v/>
      </c>
      <c r="W769" s="336" t="str">
        <f t="shared" si="117"/>
        <v/>
      </c>
      <c r="X769" s="338" t="str">
        <f t="shared" si="118"/>
        <v/>
      </c>
      <c r="Y769" s="274"/>
      <c r="AR769" t="str">
        <f t="shared" si="119"/>
        <v/>
      </c>
      <c r="AS769" t="str">
        <f t="shared" si="120"/>
        <v/>
      </c>
    </row>
    <row r="770" spans="1:45">
      <c r="A770" s="291"/>
      <c r="B770" s="292"/>
      <c r="C770" s="293"/>
      <c r="D770" s="293"/>
      <c r="E770" s="293"/>
      <c r="F770" s="293"/>
      <c r="G770" s="294"/>
      <c r="H770" s="300"/>
      <c r="I770" s="295"/>
      <c r="J770" s="295"/>
      <c r="K770" s="296"/>
      <c r="L770" s="301"/>
      <c r="M770" s="297"/>
      <c r="N770" s="298"/>
      <c r="P770" s="190" t="str">
        <f>IF(R770 = "", "", COUNT(R$4:$R770))</f>
        <v/>
      </c>
      <c r="Q770" s="190" t="str">
        <f t="shared" si="111"/>
        <v/>
      </c>
      <c r="R770" s="191" t="str">
        <f t="shared" si="112"/>
        <v/>
      </c>
      <c r="S770" s="192" t="str">
        <f t="shared" si="114"/>
        <v/>
      </c>
      <c r="T770" s="193" t="str">
        <f t="shared" si="115"/>
        <v/>
      </c>
      <c r="U770" s="194" t="str">
        <f t="shared" si="116"/>
        <v/>
      </c>
      <c r="V770" s="195" t="str">
        <f t="shared" si="113"/>
        <v/>
      </c>
      <c r="W770" s="336" t="str">
        <f t="shared" si="117"/>
        <v/>
      </c>
      <c r="X770" s="338" t="str">
        <f t="shared" si="118"/>
        <v/>
      </c>
      <c r="Y770" s="274"/>
      <c r="AR770" t="str">
        <f t="shared" si="119"/>
        <v/>
      </c>
      <c r="AS770" t="str">
        <f t="shared" si="120"/>
        <v/>
      </c>
    </row>
    <row r="771" spans="1:45">
      <c r="A771" s="291"/>
      <c r="B771" s="292"/>
      <c r="C771" s="293"/>
      <c r="D771" s="293"/>
      <c r="E771" s="293"/>
      <c r="F771" s="293"/>
      <c r="G771" s="294"/>
      <c r="H771" s="300"/>
      <c r="I771" s="295"/>
      <c r="J771" s="295"/>
      <c r="K771" s="296"/>
      <c r="L771" s="301"/>
      <c r="M771" s="297"/>
      <c r="N771" s="298"/>
      <c r="P771" s="190" t="str">
        <f>IF(R771 = "", "", COUNT(R$4:$R771))</f>
        <v/>
      </c>
      <c r="Q771" s="190" t="str">
        <f t="shared" si="111"/>
        <v/>
      </c>
      <c r="R771" s="191" t="str">
        <f t="shared" si="112"/>
        <v/>
      </c>
      <c r="S771" s="192" t="str">
        <f t="shared" si="114"/>
        <v/>
      </c>
      <c r="T771" s="193" t="str">
        <f t="shared" si="115"/>
        <v/>
      </c>
      <c r="U771" s="194" t="str">
        <f t="shared" si="116"/>
        <v/>
      </c>
      <c r="V771" s="195" t="str">
        <f t="shared" si="113"/>
        <v/>
      </c>
      <c r="W771" s="336" t="str">
        <f t="shared" si="117"/>
        <v/>
      </c>
      <c r="X771" s="338" t="str">
        <f t="shared" si="118"/>
        <v/>
      </c>
      <c r="Y771" s="274"/>
      <c r="AR771" t="str">
        <f t="shared" si="119"/>
        <v/>
      </c>
      <c r="AS771" t="str">
        <f t="shared" si="120"/>
        <v/>
      </c>
    </row>
    <row r="772" spans="1:45">
      <c r="A772" s="291"/>
      <c r="B772" s="292"/>
      <c r="C772" s="293"/>
      <c r="D772" s="293"/>
      <c r="E772" s="293"/>
      <c r="F772" s="293"/>
      <c r="G772" s="294"/>
      <c r="H772" s="300"/>
      <c r="I772" s="295"/>
      <c r="J772" s="295"/>
      <c r="K772" s="296"/>
      <c r="L772" s="301"/>
      <c r="M772" s="297"/>
      <c r="N772" s="298"/>
      <c r="P772" s="190" t="str">
        <f>IF(R772 = "", "", COUNT(R$4:$R772))</f>
        <v/>
      </c>
      <c r="Q772" s="190" t="str">
        <f t="shared" ref="Q772:Q835" si="121">IF(C772 &gt; 0, YEAR(B772), "")</f>
        <v/>
      </c>
      <c r="R772" s="191" t="str">
        <f t="shared" ref="R772:R835" si="122">IF(A772="", "", IF(G772="",1,IF(G772="O",1,IF(G772="C",8.4,IF(G772="B",8.4,IF(G772="A",76.8,IF(G772="K",76.8,"ERR")))))))</f>
        <v/>
      </c>
      <c r="S772" s="192" t="str">
        <f t="shared" si="114"/>
        <v/>
      </c>
      <c r="T772" s="193" t="str">
        <f t="shared" si="115"/>
        <v/>
      </c>
      <c r="U772" s="194" t="str">
        <f t="shared" si="116"/>
        <v/>
      </c>
      <c r="V772" s="195" t="str">
        <f t="shared" ref="V772:V835" si="123">IF(IF(M772&lt;&gt;"",G772,"")=0, "O", IF(M772&lt;&gt;"",G772,""))</f>
        <v/>
      </c>
      <c r="W772" s="336" t="str">
        <f t="shared" si="117"/>
        <v/>
      </c>
      <c r="X772" s="338" t="str">
        <f t="shared" si="118"/>
        <v/>
      </c>
      <c r="Y772" s="274"/>
      <c r="AR772" t="str">
        <f t="shared" si="119"/>
        <v/>
      </c>
      <c r="AS772" t="str">
        <f t="shared" si="120"/>
        <v/>
      </c>
    </row>
    <row r="773" spans="1:45">
      <c r="A773" s="291"/>
      <c r="B773" s="292"/>
      <c r="C773" s="293"/>
      <c r="D773" s="293"/>
      <c r="E773" s="293"/>
      <c r="F773" s="293"/>
      <c r="G773" s="294"/>
      <c r="H773" s="300"/>
      <c r="I773" s="295"/>
      <c r="J773" s="295"/>
      <c r="K773" s="296"/>
      <c r="L773" s="301"/>
      <c r="M773" s="297"/>
      <c r="N773" s="298"/>
      <c r="P773" s="190" t="str">
        <f>IF(R773 = "", "", COUNT(R$4:$R773))</f>
        <v/>
      </c>
      <c r="Q773" s="190" t="str">
        <f t="shared" si="121"/>
        <v/>
      </c>
      <c r="R773" s="191" t="str">
        <f t="shared" si="122"/>
        <v/>
      </c>
      <c r="S773" s="192" t="str">
        <f t="shared" ref="S773:S836" si="124">IF(L773&lt;&gt;"",R773,"")</f>
        <v/>
      </c>
      <c r="T773" s="193" t="str">
        <f t="shared" ref="T773:T836" si="125">IF(IF(L773&lt;&gt;"",G773,"")=0, "O", IF(L773&lt;&gt;"",G773,""))</f>
        <v/>
      </c>
      <c r="U773" s="194" t="str">
        <f t="shared" ref="U773:U836" si="126">IF(M773&lt;&gt;"",R773,"")</f>
        <v/>
      </c>
      <c r="V773" s="195" t="str">
        <f t="shared" si="123"/>
        <v/>
      </c>
      <c r="W773" s="336" t="str">
        <f t="shared" ref="W773:W836" si="127">IF(N773&lt;&gt;"",R773,"")</f>
        <v/>
      </c>
      <c r="X773" s="338" t="str">
        <f t="shared" ref="X773:X836" si="128">IF(IF(N773&lt;&gt;"",G773,"")=0, "O", IF(N773&lt;&gt;"",G773,""))</f>
        <v/>
      </c>
      <c r="Y773" s="274"/>
      <c r="AR773" t="str">
        <f t="shared" ref="AR773:AR836" si="129">IF(P773&gt;0, P773, "")</f>
        <v/>
      </c>
      <c r="AS773" t="str">
        <f t="shared" ref="AS773:AS836" si="130">IF(OR(L773="Y",M773="Y",N773="Y"),"Y","")</f>
        <v/>
      </c>
    </row>
    <row r="774" spans="1:45">
      <c r="A774" s="291"/>
      <c r="B774" s="292"/>
      <c r="C774" s="293"/>
      <c r="D774" s="293"/>
      <c r="E774" s="293"/>
      <c r="F774" s="293"/>
      <c r="G774" s="294"/>
      <c r="H774" s="300"/>
      <c r="I774" s="295"/>
      <c r="J774" s="295"/>
      <c r="K774" s="296"/>
      <c r="L774" s="301"/>
      <c r="M774" s="297"/>
      <c r="N774" s="298"/>
      <c r="P774" s="190" t="str">
        <f>IF(R774 = "", "", COUNT(R$4:$R774))</f>
        <v/>
      </c>
      <c r="Q774" s="190" t="str">
        <f t="shared" si="121"/>
        <v/>
      </c>
      <c r="R774" s="191" t="str">
        <f t="shared" si="122"/>
        <v/>
      </c>
      <c r="S774" s="192" t="str">
        <f t="shared" si="124"/>
        <v/>
      </c>
      <c r="T774" s="193" t="str">
        <f t="shared" si="125"/>
        <v/>
      </c>
      <c r="U774" s="194" t="str">
        <f t="shared" si="126"/>
        <v/>
      </c>
      <c r="V774" s="195" t="str">
        <f t="shared" si="123"/>
        <v/>
      </c>
      <c r="W774" s="336" t="str">
        <f t="shared" si="127"/>
        <v/>
      </c>
      <c r="X774" s="338" t="str">
        <f t="shared" si="128"/>
        <v/>
      </c>
      <c r="Y774" s="274"/>
      <c r="AR774" t="str">
        <f t="shared" si="129"/>
        <v/>
      </c>
      <c r="AS774" t="str">
        <f t="shared" si="130"/>
        <v/>
      </c>
    </row>
    <row r="775" spans="1:45">
      <c r="A775" s="291"/>
      <c r="B775" s="292"/>
      <c r="C775" s="293"/>
      <c r="D775" s="293"/>
      <c r="E775" s="293"/>
      <c r="F775" s="293"/>
      <c r="G775" s="294"/>
      <c r="H775" s="300"/>
      <c r="I775" s="295"/>
      <c r="J775" s="295"/>
      <c r="K775" s="296"/>
      <c r="L775" s="301"/>
      <c r="M775" s="297"/>
      <c r="N775" s="298"/>
      <c r="P775" s="190" t="str">
        <f>IF(R775 = "", "", COUNT(R$4:$R775))</f>
        <v/>
      </c>
      <c r="Q775" s="190" t="str">
        <f t="shared" si="121"/>
        <v/>
      </c>
      <c r="R775" s="191" t="str">
        <f t="shared" si="122"/>
        <v/>
      </c>
      <c r="S775" s="192" t="str">
        <f t="shared" si="124"/>
        <v/>
      </c>
      <c r="T775" s="193" t="str">
        <f t="shared" si="125"/>
        <v/>
      </c>
      <c r="U775" s="194" t="str">
        <f t="shared" si="126"/>
        <v/>
      </c>
      <c r="V775" s="195" t="str">
        <f t="shared" si="123"/>
        <v/>
      </c>
      <c r="W775" s="336" t="str">
        <f t="shared" si="127"/>
        <v/>
      </c>
      <c r="X775" s="338" t="str">
        <f t="shared" si="128"/>
        <v/>
      </c>
      <c r="Y775" s="274"/>
      <c r="AR775" t="str">
        <f t="shared" si="129"/>
        <v/>
      </c>
      <c r="AS775" t="str">
        <f t="shared" si="130"/>
        <v/>
      </c>
    </row>
    <row r="776" spans="1:45">
      <c r="A776" s="291"/>
      <c r="B776" s="292"/>
      <c r="C776" s="293"/>
      <c r="D776" s="293"/>
      <c r="E776" s="293"/>
      <c r="F776" s="293"/>
      <c r="G776" s="294"/>
      <c r="H776" s="300"/>
      <c r="I776" s="295"/>
      <c r="J776" s="295"/>
      <c r="K776" s="296"/>
      <c r="L776" s="301"/>
      <c r="M776" s="297"/>
      <c r="N776" s="298"/>
      <c r="P776" s="190" t="str">
        <f>IF(R776 = "", "", COUNT(R$4:$R776))</f>
        <v/>
      </c>
      <c r="Q776" s="190" t="str">
        <f t="shared" si="121"/>
        <v/>
      </c>
      <c r="R776" s="191" t="str">
        <f t="shared" si="122"/>
        <v/>
      </c>
      <c r="S776" s="192" t="str">
        <f t="shared" si="124"/>
        <v/>
      </c>
      <c r="T776" s="193" t="str">
        <f t="shared" si="125"/>
        <v/>
      </c>
      <c r="U776" s="194" t="str">
        <f t="shared" si="126"/>
        <v/>
      </c>
      <c r="V776" s="195" t="str">
        <f t="shared" si="123"/>
        <v/>
      </c>
      <c r="W776" s="336" t="str">
        <f t="shared" si="127"/>
        <v/>
      </c>
      <c r="X776" s="338" t="str">
        <f t="shared" si="128"/>
        <v/>
      </c>
      <c r="Y776" s="274"/>
      <c r="AR776" t="str">
        <f t="shared" si="129"/>
        <v/>
      </c>
      <c r="AS776" t="str">
        <f t="shared" si="130"/>
        <v/>
      </c>
    </row>
    <row r="777" spans="1:45">
      <c r="A777" s="291"/>
      <c r="B777" s="292"/>
      <c r="C777" s="293"/>
      <c r="D777" s="293"/>
      <c r="E777" s="293"/>
      <c r="F777" s="293"/>
      <c r="G777" s="294"/>
      <c r="H777" s="300"/>
      <c r="I777" s="295"/>
      <c r="J777" s="295"/>
      <c r="K777" s="296"/>
      <c r="L777" s="301"/>
      <c r="M777" s="297"/>
      <c r="N777" s="298"/>
      <c r="P777" s="190" t="str">
        <f>IF(R777 = "", "", COUNT(R$4:$R777))</f>
        <v/>
      </c>
      <c r="Q777" s="190" t="str">
        <f t="shared" si="121"/>
        <v/>
      </c>
      <c r="R777" s="191" t="str">
        <f t="shared" si="122"/>
        <v/>
      </c>
      <c r="S777" s="192" t="str">
        <f t="shared" si="124"/>
        <v/>
      </c>
      <c r="T777" s="193" t="str">
        <f t="shared" si="125"/>
        <v/>
      </c>
      <c r="U777" s="194" t="str">
        <f t="shared" si="126"/>
        <v/>
      </c>
      <c r="V777" s="195" t="str">
        <f t="shared" si="123"/>
        <v/>
      </c>
      <c r="W777" s="336" t="str">
        <f t="shared" si="127"/>
        <v/>
      </c>
      <c r="X777" s="338" t="str">
        <f t="shared" si="128"/>
        <v/>
      </c>
      <c r="Y777" s="274"/>
      <c r="AR777" t="str">
        <f t="shared" si="129"/>
        <v/>
      </c>
      <c r="AS777" t="str">
        <f t="shared" si="130"/>
        <v/>
      </c>
    </row>
    <row r="778" spans="1:45">
      <c r="A778" s="291"/>
      <c r="B778" s="292"/>
      <c r="C778" s="293"/>
      <c r="D778" s="293"/>
      <c r="E778" s="293"/>
      <c r="F778" s="293"/>
      <c r="G778" s="294"/>
      <c r="H778" s="300"/>
      <c r="I778" s="295"/>
      <c r="J778" s="295"/>
      <c r="K778" s="296"/>
      <c r="L778" s="301"/>
      <c r="M778" s="297"/>
      <c r="N778" s="298"/>
      <c r="P778" s="190" t="str">
        <f>IF(R778 = "", "", COUNT(R$4:$R778))</f>
        <v/>
      </c>
      <c r="Q778" s="190" t="str">
        <f t="shared" si="121"/>
        <v/>
      </c>
      <c r="R778" s="191" t="str">
        <f t="shared" si="122"/>
        <v/>
      </c>
      <c r="S778" s="192" t="str">
        <f t="shared" si="124"/>
        <v/>
      </c>
      <c r="T778" s="193" t="str">
        <f t="shared" si="125"/>
        <v/>
      </c>
      <c r="U778" s="194" t="str">
        <f t="shared" si="126"/>
        <v/>
      </c>
      <c r="V778" s="195" t="str">
        <f t="shared" si="123"/>
        <v/>
      </c>
      <c r="W778" s="336" t="str">
        <f t="shared" si="127"/>
        <v/>
      </c>
      <c r="X778" s="338" t="str">
        <f t="shared" si="128"/>
        <v/>
      </c>
      <c r="Y778" s="274"/>
      <c r="AR778" t="str">
        <f t="shared" si="129"/>
        <v/>
      </c>
      <c r="AS778" t="str">
        <f t="shared" si="130"/>
        <v/>
      </c>
    </row>
    <row r="779" spans="1:45">
      <c r="A779" s="291"/>
      <c r="B779" s="292"/>
      <c r="C779" s="293"/>
      <c r="D779" s="293"/>
      <c r="E779" s="293"/>
      <c r="F779" s="293"/>
      <c r="G779" s="294"/>
      <c r="H779" s="300"/>
      <c r="I779" s="295"/>
      <c r="J779" s="295"/>
      <c r="K779" s="296"/>
      <c r="L779" s="301"/>
      <c r="M779" s="297"/>
      <c r="N779" s="298"/>
      <c r="P779" s="190" t="str">
        <f>IF(R779 = "", "", COUNT(R$4:$R779))</f>
        <v/>
      </c>
      <c r="Q779" s="190" t="str">
        <f t="shared" si="121"/>
        <v/>
      </c>
      <c r="R779" s="191" t="str">
        <f t="shared" si="122"/>
        <v/>
      </c>
      <c r="S779" s="192" t="str">
        <f t="shared" si="124"/>
        <v/>
      </c>
      <c r="T779" s="193" t="str">
        <f t="shared" si="125"/>
        <v/>
      </c>
      <c r="U779" s="194" t="str">
        <f t="shared" si="126"/>
        <v/>
      </c>
      <c r="V779" s="195" t="str">
        <f t="shared" si="123"/>
        <v/>
      </c>
      <c r="W779" s="336" t="str">
        <f t="shared" si="127"/>
        <v/>
      </c>
      <c r="X779" s="338" t="str">
        <f t="shared" si="128"/>
        <v/>
      </c>
      <c r="Y779" s="274"/>
      <c r="AR779" t="str">
        <f t="shared" si="129"/>
        <v/>
      </c>
      <c r="AS779" t="str">
        <f t="shared" si="130"/>
        <v/>
      </c>
    </row>
    <row r="780" spans="1:45">
      <c r="A780" s="291"/>
      <c r="B780" s="292"/>
      <c r="C780" s="293"/>
      <c r="D780" s="293"/>
      <c r="E780" s="293"/>
      <c r="F780" s="293"/>
      <c r="G780" s="294"/>
      <c r="H780" s="300"/>
      <c r="I780" s="295"/>
      <c r="J780" s="295"/>
      <c r="K780" s="296"/>
      <c r="L780" s="301"/>
      <c r="M780" s="297"/>
      <c r="N780" s="298"/>
      <c r="P780" s="190" t="str">
        <f>IF(R780 = "", "", COUNT(R$4:$R780))</f>
        <v/>
      </c>
      <c r="Q780" s="190" t="str">
        <f t="shared" si="121"/>
        <v/>
      </c>
      <c r="R780" s="191" t="str">
        <f t="shared" si="122"/>
        <v/>
      </c>
      <c r="S780" s="192" t="str">
        <f t="shared" si="124"/>
        <v/>
      </c>
      <c r="T780" s="193" t="str">
        <f t="shared" si="125"/>
        <v/>
      </c>
      <c r="U780" s="194" t="str">
        <f t="shared" si="126"/>
        <v/>
      </c>
      <c r="V780" s="195" t="str">
        <f t="shared" si="123"/>
        <v/>
      </c>
      <c r="W780" s="336" t="str">
        <f t="shared" si="127"/>
        <v/>
      </c>
      <c r="X780" s="338" t="str">
        <f t="shared" si="128"/>
        <v/>
      </c>
      <c r="Y780" s="274"/>
      <c r="AR780" t="str">
        <f t="shared" si="129"/>
        <v/>
      </c>
      <c r="AS780" t="str">
        <f t="shared" si="130"/>
        <v/>
      </c>
    </row>
    <row r="781" spans="1:45">
      <c r="A781" s="291"/>
      <c r="B781" s="292"/>
      <c r="C781" s="293"/>
      <c r="D781" s="293"/>
      <c r="E781" s="293"/>
      <c r="F781" s="293"/>
      <c r="G781" s="294"/>
      <c r="H781" s="300"/>
      <c r="I781" s="295"/>
      <c r="J781" s="295"/>
      <c r="K781" s="296"/>
      <c r="L781" s="301"/>
      <c r="M781" s="297"/>
      <c r="N781" s="298"/>
      <c r="P781" s="190" t="str">
        <f>IF(R781 = "", "", COUNT(R$4:$R781))</f>
        <v/>
      </c>
      <c r="Q781" s="190" t="str">
        <f t="shared" si="121"/>
        <v/>
      </c>
      <c r="R781" s="191" t="str">
        <f t="shared" si="122"/>
        <v/>
      </c>
      <c r="S781" s="192" t="str">
        <f t="shared" si="124"/>
        <v/>
      </c>
      <c r="T781" s="193" t="str">
        <f t="shared" si="125"/>
        <v/>
      </c>
      <c r="U781" s="194" t="str">
        <f t="shared" si="126"/>
        <v/>
      </c>
      <c r="V781" s="195" t="str">
        <f t="shared" si="123"/>
        <v/>
      </c>
      <c r="W781" s="336" t="str">
        <f t="shared" si="127"/>
        <v/>
      </c>
      <c r="X781" s="338" t="str">
        <f t="shared" si="128"/>
        <v/>
      </c>
      <c r="Y781" s="274"/>
      <c r="AR781" t="str">
        <f t="shared" si="129"/>
        <v/>
      </c>
      <c r="AS781" t="str">
        <f t="shared" si="130"/>
        <v/>
      </c>
    </row>
    <row r="782" spans="1:45">
      <c r="A782" s="291"/>
      <c r="B782" s="292"/>
      <c r="C782" s="293"/>
      <c r="D782" s="293"/>
      <c r="E782" s="293"/>
      <c r="F782" s="293"/>
      <c r="G782" s="294"/>
      <c r="H782" s="300"/>
      <c r="I782" s="295"/>
      <c r="J782" s="295"/>
      <c r="K782" s="296"/>
      <c r="L782" s="301"/>
      <c r="M782" s="297"/>
      <c r="N782" s="298"/>
      <c r="P782" s="190" t="str">
        <f>IF(R782 = "", "", COUNT(R$4:$R782))</f>
        <v/>
      </c>
      <c r="Q782" s="190" t="str">
        <f t="shared" si="121"/>
        <v/>
      </c>
      <c r="R782" s="191" t="str">
        <f t="shared" si="122"/>
        <v/>
      </c>
      <c r="S782" s="192" t="str">
        <f t="shared" si="124"/>
        <v/>
      </c>
      <c r="T782" s="193" t="str">
        <f t="shared" si="125"/>
        <v/>
      </c>
      <c r="U782" s="194" t="str">
        <f t="shared" si="126"/>
        <v/>
      </c>
      <c r="V782" s="195" t="str">
        <f t="shared" si="123"/>
        <v/>
      </c>
      <c r="W782" s="336" t="str">
        <f t="shared" si="127"/>
        <v/>
      </c>
      <c r="X782" s="338" t="str">
        <f t="shared" si="128"/>
        <v/>
      </c>
      <c r="Y782" s="274"/>
      <c r="AR782" t="str">
        <f t="shared" si="129"/>
        <v/>
      </c>
      <c r="AS782" t="str">
        <f t="shared" si="130"/>
        <v/>
      </c>
    </row>
    <row r="783" spans="1:45">
      <c r="A783" s="291"/>
      <c r="B783" s="292"/>
      <c r="C783" s="293"/>
      <c r="D783" s="293"/>
      <c r="E783" s="293"/>
      <c r="F783" s="293"/>
      <c r="G783" s="294"/>
      <c r="H783" s="300"/>
      <c r="I783" s="295"/>
      <c r="J783" s="295"/>
      <c r="K783" s="296"/>
      <c r="L783" s="301"/>
      <c r="M783" s="297"/>
      <c r="N783" s="298"/>
      <c r="P783" s="190" t="str">
        <f>IF(R783 = "", "", COUNT(R$4:$R783))</f>
        <v/>
      </c>
      <c r="Q783" s="190" t="str">
        <f t="shared" si="121"/>
        <v/>
      </c>
      <c r="R783" s="191" t="str">
        <f t="shared" si="122"/>
        <v/>
      </c>
      <c r="S783" s="192" t="str">
        <f t="shared" si="124"/>
        <v/>
      </c>
      <c r="T783" s="193" t="str">
        <f t="shared" si="125"/>
        <v/>
      </c>
      <c r="U783" s="194" t="str">
        <f t="shared" si="126"/>
        <v/>
      </c>
      <c r="V783" s="195" t="str">
        <f t="shared" si="123"/>
        <v/>
      </c>
      <c r="W783" s="336" t="str">
        <f t="shared" si="127"/>
        <v/>
      </c>
      <c r="X783" s="338" t="str">
        <f t="shared" si="128"/>
        <v/>
      </c>
      <c r="Y783" s="274"/>
      <c r="AR783" t="str">
        <f t="shared" si="129"/>
        <v/>
      </c>
      <c r="AS783" t="str">
        <f t="shared" si="130"/>
        <v/>
      </c>
    </row>
    <row r="784" spans="1:45">
      <c r="A784" s="291"/>
      <c r="B784" s="292"/>
      <c r="C784" s="293"/>
      <c r="D784" s="293"/>
      <c r="E784" s="293"/>
      <c r="F784" s="293"/>
      <c r="G784" s="294"/>
      <c r="H784" s="300"/>
      <c r="I784" s="295"/>
      <c r="J784" s="295"/>
      <c r="K784" s="296"/>
      <c r="L784" s="301"/>
      <c r="M784" s="297"/>
      <c r="N784" s="298"/>
      <c r="P784" s="190" t="str">
        <f>IF(R784 = "", "", COUNT(R$4:$R784))</f>
        <v/>
      </c>
      <c r="Q784" s="190" t="str">
        <f t="shared" si="121"/>
        <v/>
      </c>
      <c r="R784" s="191" t="str">
        <f t="shared" si="122"/>
        <v/>
      </c>
      <c r="S784" s="192" t="str">
        <f t="shared" si="124"/>
        <v/>
      </c>
      <c r="T784" s="193" t="str">
        <f t="shared" si="125"/>
        <v/>
      </c>
      <c r="U784" s="194" t="str">
        <f t="shared" si="126"/>
        <v/>
      </c>
      <c r="V784" s="195" t="str">
        <f t="shared" si="123"/>
        <v/>
      </c>
      <c r="W784" s="336" t="str">
        <f t="shared" si="127"/>
        <v/>
      </c>
      <c r="X784" s="338" t="str">
        <f t="shared" si="128"/>
        <v/>
      </c>
      <c r="Y784" s="274"/>
      <c r="AR784" t="str">
        <f t="shared" si="129"/>
        <v/>
      </c>
      <c r="AS784" t="str">
        <f t="shared" si="130"/>
        <v/>
      </c>
    </row>
    <row r="785" spans="1:45">
      <c r="A785" s="291"/>
      <c r="B785" s="292"/>
      <c r="C785" s="293"/>
      <c r="D785" s="293"/>
      <c r="E785" s="293"/>
      <c r="F785" s="293"/>
      <c r="G785" s="294"/>
      <c r="H785" s="300"/>
      <c r="I785" s="295"/>
      <c r="J785" s="295"/>
      <c r="K785" s="296"/>
      <c r="L785" s="301"/>
      <c r="M785" s="297"/>
      <c r="N785" s="298"/>
      <c r="P785" s="190" t="str">
        <f>IF(R785 = "", "", COUNT(R$4:$R785))</f>
        <v/>
      </c>
      <c r="Q785" s="190" t="str">
        <f t="shared" si="121"/>
        <v/>
      </c>
      <c r="R785" s="191" t="str">
        <f t="shared" si="122"/>
        <v/>
      </c>
      <c r="S785" s="192" t="str">
        <f t="shared" si="124"/>
        <v/>
      </c>
      <c r="T785" s="193" t="str">
        <f t="shared" si="125"/>
        <v/>
      </c>
      <c r="U785" s="194" t="str">
        <f t="shared" si="126"/>
        <v/>
      </c>
      <c r="V785" s="195" t="str">
        <f t="shared" si="123"/>
        <v/>
      </c>
      <c r="W785" s="336" t="str">
        <f t="shared" si="127"/>
        <v/>
      </c>
      <c r="X785" s="338" t="str">
        <f t="shared" si="128"/>
        <v/>
      </c>
      <c r="Y785" s="274"/>
      <c r="AR785" t="str">
        <f t="shared" si="129"/>
        <v/>
      </c>
      <c r="AS785" t="str">
        <f t="shared" si="130"/>
        <v/>
      </c>
    </row>
    <row r="786" spans="1:45">
      <c r="A786" s="291"/>
      <c r="B786" s="292"/>
      <c r="C786" s="293"/>
      <c r="D786" s="293"/>
      <c r="E786" s="293"/>
      <c r="F786" s="293"/>
      <c r="G786" s="294"/>
      <c r="H786" s="300"/>
      <c r="I786" s="295"/>
      <c r="J786" s="295"/>
      <c r="K786" s="296"/>
      <c r="L786" s="301"/>
      <c r="M786" s="297"/>
      <c r="N786" s="298"/>
      <c r="P786" s="190" t="str">
        <f>IF(R786 = "", "", COUNT(R$4:$R786))</f>
        <v/>
      </c>
      <c r="Q786" s="190" t="str">
        <f t="shared" si="121"/>
        <v/>
      </c>
      <c r="R786" s="191" t="str">
        <f t="shared" si="122"/>
        <v/>
      </c>
      <c r="S786" s="192" t="str">
        <f t="shared" si="124"/>
        <v/>
      </c>
      <c r="T786" s="193" t="str">
        <f t="shared" si="125"/>
        <v/>
      </c>
      <c r="U786" s="194" t="str">
        <f t="shared" si="126"/>
        <v/>
      </c>
      <c r="V786" s="195" t="str">
        <f t="shared" si="123"/>
        <v/>
      </c>
      <c r="W786" s="336" t="str">
        <f t="shared" si="127"/>
        <v/>
      </c>
      <c r="X786" s="338" t="str">
        <f t="shared" si="128"/>
        <v/>
      </c>
      <c r="Y786" s="274"/>
      <c r="AR786" t="str">
        <f t="shared" si="129"/>
        <v/>
      </c>
      <c r="AS786" t="str">
        <f t="shared" si="130"/>
        <v/>
      </c>
    </row>
    <row r="787" spans="1:45">
      <c r="A787" s="291"/>
      <c r="B787" s="292"/>
      <c r="C787" s="293"/>
      <c r="D787" s="293"/>
      <c r="E787" s="293"/>
      <c r="F787" s="293"/>
      <c r="G787" s="294"/>
      <c r="H787" s="300"/>
      <c r="I787" s="295"/>
      <c r="J787" s="295"/>
      <c r="K787" s="296"/>
      <c r="L787" s="301"/>
      <c r="M787" s="297"/>
      <c r="N787" s="298"/>
      <c r="P787" s="190" t="str">
        <f>IF(R787 = "", "", COUNT(R$4:$R787))</f>
        <v/>
      </c>
      <c r="Q787" s="190" t="str">
        <f t="shared" si="121"/>
        <v/>
      </c>
      <c r="R787" s="191" t="str">
        <f t="shared" si="122"/>
        <v/>
      </c>
      <c r="S787" s="192" t="str">
        <f t="shared" si="124"/>
        <v/>
      </c>
      <c r="T787" s="193" t="str">
        <f t="shared" si="125"/>
        <v/>
      </c>
      <c r="U787" s="194" t="str">
        <f t="shared" si="126"/>
        <v/>
      </c>
      <c r="V787" s="195" t="str">
        <f t="shared" si="123"/>
        <v/>
      </c>
      <c r="W787" s="336" t="str">
        <f t="shared" si="127"/>
        <v/>
      </c>
      <c r="X787" s="338" t="str">
        <f t="shared" si="128"/>
        <v/>
      </c>
      <c r="Y787" s="274"/>
      <c r="AR787" t="str">
        <f t="shared" si="129"/>
        <v/>
      </c>
      <c r="AS787" t="str">
        <f t="shared" si="130"/>
        <v/>
      </c>
    </row>
    <row r="788" spans="1:45">
      <c r="A788" s="291"/>
      <c r="B788" s="292"/>
      <c r="C788" s="293"/>
      <c r="D788" s="293"/>
      <c r="E788" s="293"/>
      <c r="F788" s="293"/>
      <c r="G788" s="294"/>
      <c r="H788" s="300"/>
      <c r="I788" s="295"/>
      <c r="J788" s="295"/>
      <c r="K788" s="296"/>
      <c r="L788" s="301"/>
      <c r="M788" s="297"/>
      <c r="N788" s="298"/>
      <c r="P788" s="190" t="str">
        <f>IF(R788 = "", "", COUNT(R$4:$R788))</f>
        <v/>
      </c>
      <c r="Q788" s="190" t="str">
        <f t="shared" si="121"/>
        <v/>
      </c>
      <c r="R788" s="191" t="str">
        <f t="shared" si="122"/>
        <v/>
      </c>
      <c r="S788" s="192" t="str">
        <f t="shared" si="124"/>
        <v/>
      </c>
      <c r="T788" s="193" t="str">
        <f t="shared" si="125"/>
        <v/>
      </c>
      <c r="U788" s="194" t="str">
        <f t="shared" si="126"/>
        <v/>
      </c>
      <c r="V788" s="195" t="str">
        <f t="shared" si="123"/>
        <v/>
      </c>
      <c r="W788" s="336" t="str">
        <f t="shared" si="127"/>
        <v/>
      </c>
      <c r="X788" s="338" t="str">
        <f t="shared" si="128"/>
        <v/>
      </c>
      <c r="Y788" s="274"/>
      <c r="AR788" t="str">
        <f t="shared" si="129"/>
        <v/>
      </c>
      <c r="AS788" t="str">
        <f t="shared" si="130"/>
        <v/>
      </c>
    </row>
    <row r="789" spans="1:45">
      <c r="A789" s="291"/>
      <c r="B789" s="292"/>
      <c r="C789" s="293"/>
      <c r="D789" s="293"/>
      <c r="E789" s="293"/>
      <c r="F789" s="293"/>
      <c r="G789" s="294"/>
      <c r="H789" s="300"/>
      <c r="I789" s="295"/>
      <c r="J789" s="295"/>
      <c r="K789" s="296"/>
      <c r="L789" s="301"/>
      <c r="M789" s="297"/>
      <c r="N789" s="298"/>
      <c r="P789" s="190" t="str">
        <f>IF(R789 = "", "", COUNT(R$4:$R789))</f>
        <v/>
      </c>
      <c r="Q789" s="190" t="str">
        <f t="shared" si="121"/>
        <v/>
      </c>
      <c r="R789" s="191" t="str">
        <f t="shared" si="122"/>
        <v/>
      </c>
      <c r="S789" s="192" t="str">
        <f t="shared" si="124"/>
        <v/>
      </c>
      <c r="T789" s="193" t="str">
        <f t="shared" si="125"/>
        <v/>
      </c>
      <c r="U789" s="194" t="str">
        <f t="shared" si="126"/>
        <v/>
      </c>
      <c r="V789" s="195" t="str">
        <f t="shared" si="123"/>
        <v/>
      </c>
      <c r="W789" s="336" t="str">
        <f t="shared" si="127"/>
        <v/>
      </c>
      <c r="X789" s="338" t="str">
        <f t="shared" si="128"/>
        <v/>
      </c>
      <c r="Y789" s="274"/>
      <c r="AR789" t="str">
        <f t="shared" si="129"/>
        <v/>
      </c>
      <c r="AS789" t="str">
        <f t="shared" si="130"/>
        <v/>
      </c>
    </row>
    <row r="790" spans="1:45">
      <c r="A790" s="291"/>
      <c r="B790" s="292"/>
      <c r="C790" s="293"/>
      <c r="D790" s="293"/>
      <c r="E790" s="293"/>
      <c r="F790" s="293"/>
      <c r="G790" s="294"/>
      <c r="H790" s="300"/>
      <c r="I790" s="295"/>
      <c r="J790" s="295"/>
      <c r="K790" s="296"/>
      <c r="L790" s="301"/>
      <c r="M790" s="297"/>
      <c r="N790" s="298"/>
      <c r="P790" s="190" t="str">
        <f>IF(R790 = "", "", COUNT(R$4:$R790))</f>
        <v/>
      </c>
      <c r="Q790" s="190" t="str">
        <f t="shared" si="121"/>
        <v/>
      </c>
      <c r="R790" s="191" t="str">
        <f t="shared" si="122"/>
        <v/>
      </c>
      <c r="S790" s="192" t="str">
        <f t="shared" si="124"/>
        <v/>
      </c>
      <c r="T790" s="193" t="str">
        <f t="shared" si="125"/>
        <v/>
      </c>
      <c r="U790" s="194" t="str">
        <f t="shared" si="126"/>
        <v/>
      </c>
      <c r="V790" s="195" t="str">
        <f t="shared" si="123"/>
        <v/>
      </c>
      <c r="W790" s="336" t="str">
        <f t="shared" si="127"/>
        <v/>
      </c>
      <c r="X790" s="338" t="str">
        <f t="shared" si="128"/>
        <v/>
      </c>
      <c r="Y790" s="274"/>
      <c r="AR790" t="str">
        <f t="shared" si="129"/>
        <v/>
      </c>
      <c r="AS790" t="str">
        <f t="shared" si="130"/>
        <v/>
      </c>
    </row>
    <row r="791" spans="1:45">
      <c r="A791" s="291"/>
      <c r="B791" s="292"/>
      <c r="C791" s="293"/>
      <c r="D791" s="293"/>
      <c r="E791" s="293"/>
      <c r="F791" s="293"/>
      <c r="G791" s="294"/>
      <c r="H791" s="300"/>
      <c r="I791" s="295"/>
      <c r="J791" s="295"/>
      <c r="K791" s="296"/>
      <c r="L791" s="301"/>
      <c r="M791" s="297"/>
      <c r="N791" s="298"/>
      <c r="P791" s="190" t="str">
        <f>IF(R791 = "", "", COUNT(R$4:$R791))</f>
        <v/>
      </c>
      <c r="Q791" s="190" t="str">
        <f t="shared" si="121"/>
        <v/>
      </c>
      <c r="R791" s="191" t="str">
        <f t="shared" si="122"/>
        <v/>
      </c>
      <c r="S791" s="192" t="str">
        <f t="shared" si="124"/>
        <v/>
      </c>
      <c r="T791" s="193" t="str">
        <f t="shared" si="125"/>
        <v/>
      </c>
      <c r="U791" s="194" t="str">
        <f t="shared" si="126"/>
        <v/>
      </c>
      <c r="V791" s="195" t="str">
        <f t="shared" si="123"/>
        <v/>
      </c>
      <c r="W791" s="336" t="str">
        <f t="shared" si="127"/>
        <v/>
      </c>
      <c r="X791" s="338" t="str">
        <f t="shared" si="128"/>
        <v/>
      </c>
      <c r="Y791" s="274"/>
      <c r="AR791" t="str">
        <f t="shared" si="129"/>
        <v/>
      </c>
      <c r="AS791" t="str">
        <f t="shared" si="130"/>
        <v/>
      </c>
    </row>
    <row r="792" spans="1:45">
      <c r="A792" s="291"/>
      <c r="B792" s="292"/>
      <c r="C792" s="293"/>
      <c r="D792" s="293"/>
      <c r="E792" s="293"/>
      <c r="F792" s="293"/>
      <c r="G792" s="294"/>
      <c r="H792" s="300"/>
      <c r="I792" s="295"/>
      <c r="J792" s="295"/>
      <c r="K792" s="296"/>
      <c r="L792" s="301"/>
      <c r="M792" s="297"/>
      <c r="N792" s="298"/>
      <c r="P792" s="190" t="str">
        <f>IF(R792 = "", "", COUNT(R$4:$R792))</f>
        <v/>
      </c>
      <c r="Q792" s="190" t="str">
        <f t="shared" si="121"/>
        <v/>
      </c>
      <c r="R792" s="191" t="str">
        <f t="shared" si="122"/>
        <v/>
      </c>
      <c r="S792" s="192" t="str">
        <f t="shared" si="124"/>
        <v/>
      </c>
      <c r="T792" s="193" t="str">
        <f t="shared" si="125"/>
        <v/>
      </c>
      <c r="U792" s="194" t="str">
        <f t="shared" si="126"/>
        <v/>
      </c>
      <c r="V792" s="195" t="str">
        <f t="shared" si="123"/>
        <v/>
      </c>
      <c r="W792" s="336" t="str">
        <f t="shared" si="127"/>
        <v/>
      </c>
      <c r="X792" s="338" t="str">
        <f t="shared" si="128"/>
        <v/>
      </c>
      <c r="Y792" s="274"/>
      <c r="AR792" t="str">
        <f t="shared" si="129"/>
        <v/>
      </c>
      <c r="AS792" t="str">
        <f t="shared" si="130"/>
        <v/>
      </c>
    </row>
    <row r="793" spans="1:45">
      <c r="A793" s="291"/>
      <c r="B793" s="292"/>
      <c r="C793" s="293"/>
      <c r="D793" s="293"/>
      <c r="E793" s="293"/>
      <c r="F793" s="293"/>
      <c r="G793" s="294"/>
      <c r="H793" s="300"/>
      <c r="I793" s="295"/>
      <c r="J793" s="295"/>
      <c r="K793" s="296"/>
      <c r="L793" s="301"/>
      <c r="M793" s="297"/>
      <c r="N793" s="298"/>
      <c r="P793" s="190" t="str">
        <f>IF(R793 = "", "", COUNT(R$4:$R793))</f>
        <v/>
      </c>
      <c r="Q793" s="190" t="str">
        <f t="shared" si="121"/>
        <v/>
      </c>
      <c r="R793" s="191" t="str">
        <f t="shared" si="122"/>
        <v/>
      </c>
      <c r="S793" s="192" t="str">
        <f t="shared" si="124"/>
        <v/>
      </c>
      <c r="T793" s="193" t="str">
        <f t="shared" si="125"/>
        <v/>
      </c>
      <c r="U793" s="194" t="str">
        <f t="shared" si="126"/>
        <v/>
      </c>
      <c r="V793" s="195" t="str">
        <f t="shared" si="123"/>
        <v/>
      </c>
      <c r="W793" s="336" t="str">
        <f t="shared" si="127"/>
        <v/>
      </c>
      <c r="X793" s="338" t="str">
        <f t="shared" si="128"/>
        <v/>
      </c>
      <c r="Y793" s="274"/>
      <c r="AR793" t="str">
        <f t="shared" si="129"/>
        <v/>
      </c>
      <c r="AS793" t="str">
        <f t="shared" si="130"/>
        <v/>
      </c>
    </row>
    <row r="794" spans="1:45">
      <c r="A794" s="291"/>
      <c r="B794" s="292"/>
      <c r="C794" s="293"/>
      <c r="D794" s="293"/>
      <c r="E794" s="293"/>
      <c r="F794" s="293"/>
      <c r="G794" s="294"/>
      <c r="H794" s="300"/>
      <c r="I794" s="295"/>
      <c r="J794" s="295"/>
      <c r="K794" s="296"/>
      <c r="L794" s="301"/>
      <c r="M794" s="297"/>
      <c r="N794" s="298"/>
      <c r="P794" s="190" t="str">
        <f>IF(R794 = "", "", COUNT(R$4:$R794))</f>
        <v/>
      </c>
      <c r="Q794" s="190" t="str">
        <f t="shared" si="121"/>
        <v/>
      </c>
      <c r="R794" s="191" t="str">
        <f t="shared" si="122"/>
        <v/>
      </c>
      <c r="S794" s="192" t="str">
        <f t="shared" si="124"/>
        <v/>
      </c>
      <c r="T794" s="193" t="str">
        <f t="shared" si="125"/>
        <v/>
      </c>
      <c r="U794" s="194" t="str">
        <f t="shared" si="126"/>
        <v/>
      </c>
      <c r="V794" s="195" t="str">
        <f t="shared" si="123"/>
        <v/>
      </c>
      <c r="W794" s="336" t="str">
        <f t="shared" si="127"/>
        <v/>
      </c>
      <c r="X794" s="338" t="str">
        <f t="shared" si="128"/>
        <v/>
      </c>
      <c r="Y794" s="274"/>
      <c r="AR794" t="str">
        <f t="shared" si="129"/>
        <v/>
      </c>
      <c r="AS794" t="str">
        <f t="shared" si="130"/>
        <v/>
      </c>
    </row>
    <row r="795" spans="1:45">
      <c r="A795" s="291"/>
      <c r="B795" s="292"/>
      <c r="C795" s="293"/>
      <c r="D795" s="293"/>
      <c r="E795" s="293"/>
      <c r="F795" s="293"/>
      <c r="G795" s="294"/>
      <c r="H795" s="300"/>
      <c r="I795" s="295"/>
      <c r="J795" s="295"/>
      <c r="K795" s="296"/>
      <c r="L795" s="301"/>
      <c r="M795" s="297"/>
      <c r="N795" s="298"/>
      <c r="P795" s="190" t="str">
        <f>IF(R795 = "", "", COUNT(R$4:$R795))</f>
        <v/>
      </c>
      <c r="Q795" s="190" t="str">
        <f t="shared" si="121"/>
        <v/>
      </c>
      <c r="R795" s="191" t="str">
        <f t="shared" si="122"/>
        <v/>
      </c>
      <c r="S795" s="192" t="str">
        <f t="shared" si="124"/>
        <v/>
      </c>
      <c r="T795" s="193" t="str">
        <f t="shared" si="125"/>
        <v/>
      </c>
      <c r="U795" s="194" t="str">
        <f t="shared" si="126"/>
        <v/>
      </c>
      <c r="V795" s="195" t="str">
        <f t="shared" si="123"/>
        <v/>
      </c>
      <c r="W795" s="336" t="str">
        <f t="shared" si="127"/>
        <v/>
      </c>
      <c r="X795" s="338" t="str">
        <f t="shared" si="128"/>
        <v/>
      </c>
      <c r="Y795" s="274"/>
      <c r="AR795" t="str">
        <f t="shared" si="129"/>
        <v/>
      </c>
      <c r="AS795" t="str">
        <f t="shared" si="130"/>
        <v/>
      </c>
    </row>
    <row r="796" spans="1:45">
      <c r="A796" s="291"/>
      <c r="B796" s="292"/>
      <c r="C796" s="293"/>
      <c r="D796" s="293"/>
      <c r="E796" s="293"/>
      <c r="F796" s="293"/>
      <c r="G796" s="294"/>
      <c r="H796" s="300"/>
      <c r="I796" s="295"/>
      <c r="J796" s="295"/>
      <c r="K796" s="296"/>
      <c r="L796" s="301"/>
      <c r="M796" s="297"/>
      <c r="N796" s="298"/>
      <c r="P796" s="190" t="str">
        <f>IF(R796 = "", "", COUNT(R$4:$R796))</f>
        <v/>
      </c>
      <c r="Q796" s="190" t="str">
        <f t="shared" si="121"/>
        <v/>
      </c>
      <c r="R796" s="191" t="str">
        <f t="shared" si="122"/>
        <v/>
      </c>
      <c r="S796" s="192" t="str">
        <f t="shared" si="124"/>
        <v/>
      </c>
      <c r="T796" s="193" t="str">
        <f t="shared" si="125"/>
        <v/>
      </c>
      <c r="U796" s="194" t="str">
        <f t="shared" si="126"/>
        <v/>
      </c>
      <c r="V796" s="195" t="str">
        <f t="shared" si="123"/>
        <v/>
      </c>
      <c r="W796" s="336" t="str">
        <f t="shared" si="127"/>
        <v/>
      </c>
      <c r="X796" s="338" t="str">
        <f t="shared" si="128"/>
        <v/>
      </c>
      <c r="Y796" s="274"/>
      <c r="AR796" t="str">
        <f t="shared" si="129"/>
        <v/>
      </c>
      <c r="AS796" t="str">
        <f t="shared" si="130"/>
        <v/>
      </c>
    </row>
    <row r="797" spans="1:45">
      <c r="A797" s="291"/>
      <c r="B797" s="292"/>
      <c r="C797" s="293"/>
      <c r="D797" s="293"/>
      <c r="E797" s="293"/>
      <c r="F797" s="293"/>
      <c r="G797" s="294"/>
      <c r="H797" s="300"/>
      <c r="I797" s="295"/>
      <c r="J797" s="295"/>
      <c r="K797" s="296"/>
      <c r="L797" s="301"/>
      <c r="M797" s="297"/>
      <c r="N797" s="298"/>
      <c r="P797" s="190" t="str">
        <f>IF(R797 = "", "", COUNT(R$4:$R797))</f>
        <v/>
      </c>
      <c r="Q797" s="190" t="str">
        <f t="shared" si="121"/>
        <v/>
      </c>
      <c r="R797" s="191" t="str">
        <f t="shared" si="122"/>
        <v/>
      </c>
      <c r="S797" s="192" t="str">
        <f t="shared" si="124"/>
        <v/>
      </c>
      <c r="T797" s="193" t="str">
        <f t="shared" si="125"/>
        <v/>
      </c>
      <c r="U797" s="194" t="str">
        <f t="shared" si="126"/>
        <v/>
      </c>
      <c r="V797" s="195" t="str">
        <f t="shared" si="123"/>
        <v/>
      </c>
      <c r="W797" s="336" t="str">
        <f t="shared" si="127"/>
        <v/>
      </c>
      <c r="X797" s="338" t="str">
        <f t="shared" si="128"/>
        <v/>
      </c>
      <c r="Y797" s="274"/>
      <c r="AR797" t="str">
        <f t="shared" si="129"/>
        <v/>
      </c>
      <c r="AS797" t="str">
        <f t="shared" si="130"/>
        <v/>
      </c>
    </row>
    <row r="798" spans="1:45">
      <c r="A798" s="291"/>
      <c r="B798" s="292"/>
      <c r="C798" s="293"/>
      <c r="D798" s="293"/>
      <c r="E798" s="293"/>
      <c r="F798" s="293"/>
      <c r="G798" s="294"/>
      <c r="H798" s="300"/>
      <c r="I798" s="295"/>
      <c r="J798" s="295"/>
      <c r="K798" s="296"/>
      <c r="L798" s="301"/>
      <c r="M798" s="297"/>
      <c r="N798" s="298"/>
      <c r="P798" s="190" t="str">
        <f>IF(R798 = "", "", COUNT(R$4:$R798))</f>
        <v/>
      </c>
      <c r="Q798" s="190" t="str">
        <f t="shared" si="121"/>
        <v/>
      </c>
      <c r="R798" s="191" t="str">
        <f t="shared" si="122"/>
        <v/>
      </c>
      <c r="S798" s="192" t="str">
        <f t="shared" si="124"/>
        <v/>
      </c>
      <c r="T798" s="193" t="str">
        <f t="shared" si="125"/>
        <v/>
      </c>
      <c r="U798" s="194" t="str">
        <f t="shared" si="126"/>
        <v/>
      </c>
      <c r="V798" s="195" t="str">
        <f t="shared" si="123"/>
        <v/>
      </c>
      <c r="W798" s="336" t="str">
        <f t="shared" si="127"/>
        <v/>
      </c>
      <c r="X798" s="338" t="str">
        <f t="shared" si="128"/>
        <v/>
      </c>
      <c r="Y798" s="274"/>
      <c r="AR798" t="str">
        <f t="shared" si="129"/>
        <v/>
      </c>
      <c r="AS798" t="str">
        <f t="shared" si="130"/>
        <v/>
      </c>
    </row>
    <row r="799" spans="1:45">
      <c r="A799" s="291"/>
      <c r="B799" s="292"/>
      <c r="C799" s="293"/>
      <c r="D799" s="293"/>
      <c r="E799" s="293"/>
      <c r="F799" s="293"/>
      <c r="G799" s="294"/>
      <c r="H799" s="300"/>
      <c r="I799" s="295"/>
      <c r="J799" s="295"/>
      <c r="K799" s="296"/>
      <c r="L799" s="301"/>
      <c r="M799" s="297"/>
      <c r="N799" s="298"/>
      <c r="P799" s="190" t="str">
        <f>IF(R799 = "", "", COUNT(R$4:$R799))</f>
        <v/>
      </c>
      <c r="Q799" s="190" t="str">
        <f t="shared" si="121"/>
        <v/>
      </c>
      <c r="R799" s="191" t="str">
        <f t="shared" si="122"/>
        <v/>
      </c>
      <c r="S799" s="192" t="str">
        <f t="shared" si="124"/>
        <v/>
      </c>
      <c r="T799" s="193" t="str">
        <f t="shared" si="125"/>
        <v/>
      </c>
      <c r="U799" s="194" t="str">
        <f t="shared" si="126"/>
        <v/>
      </c>
      <c r="V799" s="195" t="str">
        <f t="shared" si="123"/>
        <v/>
      </c>
      <c r="W799" s="336" t="str">
        <f t="shared" si="127"/>
        <v/>
      </c>
      <c r="X799" s="338" t="str">
        <f t="shared" si="128"/>
        <v/>
      </c>
      <c r="Y799" s="274"/>
      <c r="AR799" t="str">
        <f t="shared" si="129"/>
        <v/>
      </c>
      <c r="AS799" t="str">
        <f t="shared" si="130"/>
        <v/>
      </c>
    </row>
    <row r="800" spans="1:45">
      <c r="A800" s="291"/>
      <c r="B800" s="292"/>
      <c r="C800" s="293"/>
      <c r="D800" s="293"/>
      <c r="E800" s="293"/>
      <c r="F800" s="293"/>
      <c r="G800" s="294"/>
      <c r="H800" s="300"/>
      <c r="I800" s="295"/>
      <c r="J800" s="295"/>
      <c r="K800" s="296"/>
      <c r="L800" s="301"/>
      <c r="M800" s="297"/>
      <c r="N800" s="298"/>
      <c r="P800" s="190" t="str">
        <f>IF(R800 = "", "", COUNT(R$4:$R800))</f>
        <v/>
      </c>
      <c r="Q800" s="190" t="str">
        <f t="shared" si="121"/>
        <v/>
      </c>
      <c r="R800" s="191" t="str">
        <f t="shared" si="122"/>
        <v/>
      </c>
      <c r="S800" s="192" t="str">
        <f t="shared" si="124"/>
        <v/>
      </c>
      <c r="T800" s="193" t="str">
        <f t="shared" si="125"/>
        <v/>
      </c>
      <c r="U800" s="194" t="str">
        <f t="shared" si="126"/>
        <v/>
      </c>
      <c r="V800" s="195" t="str">
        <f t="shared" si="123"/>
        <v/>
      </c>
      <c r="W800" s="336" t="str">
        <f t="shared" si="127"/>
        <v/>
      </c>
      <c r="X800" s="338" t="str">
        <f t="shared" si="128"/>
        <v/>
      </c>
      <c r="Y800" s="274"/>
      <c r="AR800" t="str">
        <f t="shared" si="129"/>
        <v/>
      </c>
      <c r="AS800" t="str">
        <f t="shared" si="130"/>
        <v/>
      </c>
    </row>
    <row r="801" spans="1:45">
      <c r="A801" s="291"/>
      <c r="B801" s="292"/>
      <c r="C801" s="293"/>
      <c r="D801" s="293"/>
      <c r="E801" s="293"/>
      <c r="F801" s="293"/>
      <c r="G801" s="294"/>
      <c r="H801" s="300"/>
      <c r="I801" s="295"/>
      <c r="J801" s="295"/>
      <c r="K801" s="296"/>
      <c r="L801" s="301"/>
      <c r="M801" s="297"/>
      <c r="N801" s="298"/>
      <c r="P801" s="190" t="str">
        <f>IF(R801 = "", "", COUNT(R$4:$R801))</f>
        <v/>
      </c>
      <c r="Q801" s="190" t="str">
        <f t="shared" si="121"/>
        <v/>
      </c>
      <c r="R801" s="191" t="str">
        <f t="shared" si="122"/>
        <v/>
      </c>
      <c r="S801" s="192" t="str">
        <f t="shared" si="124"/>
        <v/>
      </c>
      <c r="T801" s="193" t="str">
        <f t="shared" si="125"/>
        <v/>
      </c>
      <c r="U801" s="194" t="str">
        <f t="shared" si="126"/>
        <v/>
      </c>
      <c r="V801" s="195" t="str">
        <f t="shared" si="123"/>
        <v/>
      </c>
      <c r="W801" s="336" t="str">
        <f t="shared" si="127"/>
        <v/>
      </c>
      <c r="X801" s="338" t="str">
        <f t="shared" si="128"/>
        <v/>
      </c>
      <c r="Y801" s="274"/>
      <c r="AR801" t="str">
        <f t="shared" si="129"/>
        <v/>
      </c>
      <c r="AS801" t="str">
        <f t="shared" si="130"/>
        <v/>
      </c>
    </row>
    <row r="802" spans="1:45">
      <c r="A802" s="291"/>
      <c r="B802" s="292"/>
      <c r="C802" s="293"/>
      <c r="D802" s="293"/>
      <c r="E802" s="293"/>
      <c r="F802" s="293"/>
      <c r="G802" s="294"/>
      <c r="H802" s="300"/>
      <c r="I802" s="295"/>
      <c r="J802" s="295"/>
      <c r="K802" s="296"/>
      <c r="L802" s="301"/>
      <c r="M802" s="297"/>
      <c r="N802" s="298"/>
      <c r="P802" s="190" t="str">
        <f>IF(R802 = "", "", COUNT(R$4:$R802))</f>
        <v/>
      </c>
      <c r="Q802" s="190" t="str">
        <f t="shared" si="121"/>
        <v/>
      </c>
      <c r="R802" s="191" t="str">
        <f t="shared" si="122"/>
        <v/>
      </c>
      <c r="S802" s="192" t="str">
        <f t="shared" si="124"/>
        <v/>
      </c>
      <c r="T802" s="193" t="str">
        <f t="shared" si="125"/>
        <v/>
      </c>
      <c r="U802" s="194" t="str">
        <f t="shared" si="126"/>
        <v/>
      </c>
      <c r="V802" s="195" t="str">
        <f t="shared" si="123"/>
        <v/>
      </c>
      <c r="W802" s="336" t="str">
        <f t="shared" si="127"/>
        <v/>
      </c>
      <c r="X802" s="338" t="str">
        <f t="shared" si="128"/>
        <v/>
      </c>
      <c r="Y802" s="274"/>
      <c r="AR802" t="str">
        <f t="shared" si="129"/>
        <v/>
      </c>
      <c r="AS802" t="str">
        <f t="shared" si="130"/>
        <v/>
      </c>
    </row>
    <row r="803" spans="1:45">
      <c r="A803" s="291"/>
      <c r="B803" s="292"/>
      <c r="C803" s="293"/>
      <c r="D803" s="293"/>
      <c r="E803" s="293"/>
      <c r="F803" s="293"/>
      <c r="G803" s="294"/>
      <c r="H803" s="300"/>
      <c r="I803" s="295"/>
      <c r="J803" s="295"/>
      <c r="K803" s="296"/>
      <c r="L803" s="301"/>
      <c r="M803" s="297"/>
      <c r="N803" s="298"/>
      <c r="P803" s="190" t="str">
        <f>IF(R803 = "", "", COUNT(R$4:$R803))</f>
        <v/>
      </c>
      <c r="Q803" s="190" t="str">
        <f t="shared" si="121"/>
        <v/>
      </c>
      <c r="R803" s="191" t="str">
        <f t="shared" si="122"/>
        <v/>
      </c>
      <c r="S803" s="192" t="str">
        <f t="shared" si="124"/>
        <v/>
      </c>
      <c r="T803" s="193" t="str">
        <f t="shared" si="125"/>
        <v/>
      </c>
      <c r="U803" s="194" t="str">
        <f t="shared" si="126"/>
        <v/>
      </c>
      <c r="V803" s="195" t="str">
        <f t="shared" si="123"/>
        <v/>
      </c>
      <c r="W803" s="336" t="str">
        <f t="shared" si="127"/>
        <v/>
      </c>
      <c r="X803" s="338" t="str">
        <f t="shared" si="128"/>
        <v/>
      </c>
      <c r="Y803" s="274"/>
      <c r="AR803" t="str">
        <f t="shared" si="129"/>
        <v/>
      </c>
      <c r="AS803" t="str">
        <f t="shared" si="130"/>
        <v/>
      </c>
    </row>
    <row r="804" spans="1:45">
      <c r="A804" s="291"/>
      <c r="B804" s="292"/>
      <c r="C804" s="293"/>
      <c r="D804" s="293"/>
      <c r="E804" s="293"/>
      <c r="F804" s="293"/>
      <c r="G804" s="294"/>
      <c r="H804" s="300"/>
      <c r="I804" s="295"/>
      <c r="J804" s="295"/>
      <c r="K804" s="296"/>
      <c r="L804" s="301"/>
      <c r="M804" s="297"/>
      <c r="N804" s="298"/>
      <c r="P804" s="190" t="str">
        <f>IF(R804 = "", "", COUNT(R$4:$R804))</f>
        <v/>
      </c>
      <c r="Q804" s="190" t="str">
        <f t="shared" si="121"/>
        <v/>
      </c>
      <c r="R804" s="191" t="str">
        <f t="shared" si="122"/>
        <v/>
      </c>
      <c r="S804" s="192" t="str">
        <f t="shared" si="124"/>
        <v/>
      </c>
      <c r="T804" s="193" t="str">
        <f t="shared" si="125"/>
        <v/>
      </c>
      <c r="U804" s="194" t="str">
        <f t="shared" si="126"/>
        <v/>
      </c>
      <c r="V804" s="195" t="str">
        <f t="shared" si="123"/>
        <v/>
      </c>
      <c r="W804" s="336" t="str">
        <f t="shared" si="127"/>
        <v/>
      </c>
      <c r="X804" s="338" t="str">
        <f t="shared" si="128"/>
        <v/>
      </c>
      <c r="Y804" s="274"/>
      <c r="AR804" t="str">
        <f t="shared" si="129"/>
        <v/>
      </c>
      <c r="AS804" t="str">
        <f t="shared" si="130"/>
        <v/>
      </c>
    </row>
    <row r="805" spans="1:45">
      <c r="A805" s="291"/>
      <c r="B805" s="292"/>
      <c r="C805" s="293"/>
      <c r="D805" s="293"/>
      <c r="E805" s="293"/>
      <c r="F805" s="293"/>
      <c r="G805" s="294"/>
      <c r="H805" s="300"/>
      <c r="I805" s="295"/>
      <c r="J805" s="295"/>
      <c r="K805" s="296"/>
      <c r="L805" s="301"/>
      <c r="M805" s="297"/>
      <c r="N805" s="298"/>
      <c r="P805" s="190" t="str">
        <f>IF(R805 = "", "", COUNT(R$4:$R805))</f>
        <v/>
      </c>
      <c r="Q805" s="190" t="str">
        <f t="shared" si="121"/>
        <v/>
      </c>
      <c r="R805" s="191" t="str">
        <f t="shared" si="122"/>
        <v/>
      </c>
      <c r="S805" s="192" t="str">
        <f t="shared" si="124"/>
        <v/>
      </c>
      <c r="T805" s="193" t="str">
        <f t="shared" si="125"/>
        <v/>
      </c>
      <c r="U805" s="194" t="str">
        <f t="shared" si="126"/>
        <v/>
      </c>
      <c r="V805" s="195" t="str">
        <f t="shared" si="123"/>
        <v/>
      </c>
      <c r="W805" s="336" t="str">
        <f t="shared" si="127"/>
        <v/>
      </c>
      <c r="X805" s="338" t="str">
        <f t="shared" si="128"/>
        <v/>
      </c>
      <c r="Y805" s="274"/>
      <c r="AR805" t="str">
        <f t="shared" si="129"/>
        <v/>
      </c>
      <c r="AS805" t="str">
        <f t="shared" si="130"/>
        <v/>
      </c>
    </row>
    <row r="806" spans="1:45">
      <c r="A806" s="291"/>
      <c r="B806" s="292"/>
      <c r="C806" s="293"/>
      <c r="D806" s="293"/>
      <c r="E806" s="293"/>
      <c r="F806" s="293"/>
      <c r="G806" s="294"/>
      <c r="H806" s="300"/>
      <c r="I806" s="295"/>
      <c r="J806" s="295"/>
      <c r="K806" s="296"/>
      <c r="L806" s="301"/>
      <c r="M806" s="297"/>
      <c r="N806" s="298"/>
      <c r="P806" s="190" t="str">
        <f>IF(R806 = "", "", COUNT(R$4:$R806))</f>
        <v/>
      </c>
      <c r="Q806" s="190" t="str">
        <f t="shared" si="121"/>
        <v/>
      </c>
      <c r="R806" s="191" t="str">
        <f t="shared" si="122"/>
        <v/>
      </c>
      <c r="S806" s="192" t="str">
        <f t="shared" si="124"/>
        <v/>
      </c>
      <c r="T806" s="193" t="str">
        <f t="shared" si="125"/>
        <v/>
      </c>
      <c r="U806" s="194" t="str">
        <f t="shared" si="126"/>
        <v/>
      </c>
      <c r="V806" s="195" t="str">
        <f t="shared" si="123"/>
        <v/>
      </c>
      <c r="W806" s="336" t="str">
        <f t="shared" si="127"/>
        <v/>
      </c>
      <c r="X806" s="338" t="str">
        <f t="shared" si="128"/>
        <v/>
      </c>
      <c r="Y806" s="274"/>
      <c r="AR806" t="str">
        <f t="shared" si="129"/>
        <v/>
      </c>
      <c r="AS806" t="str">
        <f t="shared" si="130"/>
        <v/>
      </c>
    </row>
    <row r="807" spans="1:45">
      <c r="A807" s="291"/>
      <c r="B807" s="292"/>
      <c r="C807" s="293"/>
      <c r="D807" s="293"/>
      <c r="E807" s="293"/>
      <c r="F807" s="293"/>
      <c r="G807" s="294"/>
      <c r="H807" s="300"/>
      <c r="I807" s="295"/>
      <c r="J807" s="295"/>
      <c r="K807" s="296"/>
      <c r="L807" s="301"/>
      <c r="M807" s="297"/>
      <c r="N807" s="298"/>
      <c r="P807" s="190" t="str">
        <f>IF(R807 = "", "", COUNT(R$4:$R807))</f>
        <v/>
      </c>
      <c r="Q807" s="190" t="str">
        <f t="shared" si="121"/>
        <v/>
      </c>
      <c r="R807" s="191" t="str">
        <f t="shared" si="122"/>
        <v/>
      </c>
      <c r="S807" s="192" t="str">
        <f t="shared" si="124"/>
        <v/>
      </c>
      <c r="T807" s="193" t="str">
        <f t="shared" si="125"/>
        <v/>
      </c>
      <c r="U807" s="194" t="str">
        <f t="shared" si="126"/>
        <v/>
      </c>
      <c r="V807" s="195" t="str">
        <f t="shared" si="123"/>
        <v/>
      </c>
      <c r="W807" s="336" t="str">
        <f t="shared" si="127"/>
        <v/>
      </c>
      <c r="X807" s="338" t="str">
        <f t="shared" si="128"/>
        <v/>
      </c>
      <c r="Y807" s="274"/>
      <c r="AR807" t="str">
        <f t="shared" si="129"/>
        <v/>
      </c>
      <c r="AS807" t="str">
        <f t="shared" si="130"/>
        <v/>
      </c>
    </row>
    <row r="808" spans="1:45">
      <c r="A808" s="291"/>
      <c r="B808" s="292"/>
      <c r="C808" s="293"/>
      <c r="D808" s="293"/>
      <c r="E808" s="293"/>
      <c r="F808" s="293"/>
      <c r="G808" s="294"/>
      <c r="H808" s="300"/>
      <c r="I808" s="295"/>
      <c r="J808" s="295"/>
      <c r="K808" s="296"/>
      <c r="L808" s="301"/>
      <c r="M808" s="297"/>
      <c r="N808" s="298"/>
      <c r="P808" s="190" t="str">
        <f>IF(R808 = "", "", COUNT(R$4:$R808))</f>
        <v/>
      </c>
      <c r="Q808" s="190" t="str">
        <f t="shared" si="121"/>
        <v/>
      </c>
      <c r="R808" s="191" t="str">
        <f t="shared" si="122"/>
        <v/>
      </c>
      <c r="S808" s="192" t="str">
        <f t="shared" si="124"/>
        <v/>
      </c>
      <c r="T808" s="193" t="str">
        <f t="shared" si="125"/>
        <v/>
      </c>
      <c r="U808" s="194" t="str">
        <f t="shared" si="126"/>
        <v/>
      </c>
      <c r="V808" s="195" t="str">
        <f t="shared" si="123"/>
        <v/>
      </c>
      <c r="W808" s="336" t="str">
        <f t="shared" si="127"/>
        <v/>
      </c>
      <c r="X808" s="338" t="str">
        <f t="shared" si="128"/>
        <v/>
      </c>
      <c r="Y808" s="274"/>
      <c r="AR808" t="str">
        <f t="shared" si="129"/>
        <v/>
      </c>
      <c r="AS808" t="str">
        <f t="shared" si="130"/>
        <v/>
      </c>
    </row>
    <row r="809" spans="1:45">
      <c r="A809" s="291"/>
      <c r="B809" s="292"/>
      <c r="C809" s="293"/>
      <c r="D809" s="293"/>
      <c r="E809" s="293"/>
      <c r="F809" s="293"/>
      <c r="G809" s="294"/>
      <c r="H809" s="300"/>
      <c r="I809" s="295"/>
      <c r="J809" s="295"/>
      <c r="K809" s="296"/>
      <c r="L809" s="301"/>
      <c r="M809" s="297"/>
      <c r="N809" s="298"/>
      <c r="P809" s="190" t="str">
        <f>IF(R809 = "", "", COUNT(R$4:$R809))</f>
        <v/>
      </c>
      <c r="Q809" s="190" t="str">
        <f t="shared" si="121"/>
        <v/>
      </c>
      <c r="R809" s="191" t="str">
        <f t="shared" si="122"/>
        <v/>
      </c>
      <c r="S809" s="192" t="str">
        <f t="shared" si="124"/>
        <v/>
      </c>
      <c r="T809" s="193" t="str">
        <f t="shared" si="125"/>
        <v/>
      </c>
      <c r="U809" s="194" t="str">
        <f t="shared" si="126"/>
        <v/>
      </c>
      <c r="V809" s="195" t="str">
        <f t="shared" si="123"/>
        <v/>
      </c>
      <c r="W809" s="336" t="str">
        <f t="shared" si="127"/>
        <v/>
      </c>
      <c r="X809" s="338" t="str">
        <f t="shared" si="128"/>
        <v/>
      </c>
      <c r="Y809" s="274"/>
      <c r="AR809" t="str">
        <f t="shared" si="129"/>
        <v/>
      </c>
      <c r="AS809" t="str">
        <f t="shared" si="130"/>
        <v/>
      </c>
    </row>
    <row r="810" spans="1:45">
      <c r="A810" s="291"/>
      <c r="B810" s="292"/>
      <c r="C810" s="293"/>
      <c r="D810" s="293"/>
      <c r="E810" s="293"/>
      <c r="F810" s="293"/>
      <c r="G810" s="294"/>
      <c r="H810" s="300"/>
      <c r="I810" s="295"/>
      <c r="J810" s="295"/>
      <c r="K810" s="296"/>
      <c r="L810" s="301"/>
      <c r="M810" s="297"/>
      <c r="N810" s="298"/>
      <c r="P810" s="190" t="str">
        <f>IF(R810 = "", "", COUNT(R$4:$R810))</f>
        <v/>
      </c>
      <c r="Q810" s="190" t="str">
        <f t="shared" si="121"/>
        <v/>
      </c>
      <c r="R810" s="191" t="str">
        <f t="shared" si="122"/>
        <v/>
      </c>
      <c r="S810" s="192" t="str">
        <f t="shared" si="124"/>
        <v/>
      </c>
      <c r="T810" s="193" t="str">
        <f t="shared" si="125"/>
        <v/>
      </c>
      <c r="U810" s="194" t="str">
        <f t="shared" si="126"/>
        <v/>
      </c>
      <c r="V810" s="195" t="str">
        <f t="shared" si="123"/>
        <v/>
      </c>
      <c r="W810" s="336" t="str">
        <f t="shared" si="127"/>
        <v/>
      </c>
      <c r="X810" s="338" t="str">
        <f t="shared" si="128"/>
        <v/>
      </c>
      <c r="Y810" s="274"/>
      <c r="AR810" t="str">
        <f t="shared" si="129"/>
        <v/>
      </c>
      <c r="AS810" t="str">
        <f t="shared" si="130"/>
        <v/>
      </c>
    </row>
    <row r="811" spans="1:45">
      <c r="A811" s="291"/>
      <c r="B811" s="292"/>
      <c r="C811" s="293"/>
      <c r="D811" s="293"/>
      <c r="E811" s="293"/>
      <c r="F811" s="293"/>
      <c r="G811" s="294"/>
      <c r="H811" s="300"/>
      <c r="I811" s="295"/>
      <c r="J811" s="295"/>
      <c r="K811" s="296"/>
      <c r="L811" s="301"/>
      <c r="M811" s="297"/>
      <c r="N811" s="298"/>
      <c r="P811" s="190" t="str">
        <f>IF(R811 = "", "", COUNT(R$4:$R811))</f>
        <v/>
      </c>
      <c r="Q811" s="190" t="str">
        <f t="shared" si="121"/>
        <v/>
      </c>
      <c r="R811" s="191" t="str">
        <f t="shared" si="122"/>
        <v/>
      </c>
      <c r="S811" s="192" t="str">
        <f t="shared" si="124"/>
        <v/>
      </c>
      <c r="T811" s="193" t="str">
        <f t="shared" si="125"/>
        <v/>
      </c>
      <c r="U811" s="194" t="str">
        <f t="shared" si="126"/>
        <v/>
      </c>
      <c r="V811" s="195" t="str">
        <f t="shared" si="123"/>
        <v/>
      </c>
      <c r="W811" s="336" t="str">
        <f t="shared" si="127"/>
        <v/>
      </c>
      <c r="X811" s="338" t="str">
        <f t="shared" si="128"/>
        <v/>
      </c>
      <c r="Y811" s="274"/>
      <c r="AR811" t="str">
        <f t="shared" si="129"/>
        <v/>
      </c>
      <c r="AS811" t="str">
        <f t="shared" si="130"/>
        <v/>
      </c>
    </row>
    <row r="812" spans="1:45">
      <c r="A812" s="291"/>
      <c r="B812" s="292"/>
      <c r="C812" s="293"/>
      <c r="D812" s="293"/>
      <c r="E812" s="293"/>
      <c r="F812" s="293"/>
      <c r="G812" s="294"/>
      <c r="H812" s="300"/>
      <c r="I812" s="295"/>
      <c r="J812" s="295"/>
      <c r="K812" s="296"/>
      <c r="L812" s="301"/>
      <c r="M812" s="297"/>
      <c r="N812" s="298"/>
      <c r="P812" s="190" t="str">
        <f>IF(R812 = "", "", COUNT(R$4:$R812))</f>
        <v/>
      </c>
      <c r="Q812" s="190" t="str">
        <f t="shared" si="121"/>
        <v/>
      </c>
      <c r="R812" s="191" t="str">
        <f t="shared" si="122"/>
        <v/>
      </c>
      <c r="S812" s="192" t="str">
        <f t="shared" si="124"/>
        <v/>
      </c>
      <c r="T812" s="193" t="str">
        <f t="shared" si="125"/>
        <v/>
      </c>
      <c r="U812" s="194" t="str">
        <f t="shared" si="126"/>
        <v/>
      </c>
      <c r="V812" s="195" t="str">
        <f t="shared" si="123"/>
        <v/>
      </c>
      <c r="W812" s="336" t="str">
        <f t="shared" si="127"/>
        <v/>
      </c>
      <c r="X812" s="338" t="str">
        <f t="shared" si="128"/>
        <v/>
      </c>
      <c r="Y812" s="274"/>
      <c r="AR812" t="str">
        <f t="shared" si="129"/>
        <v/>
      </c>
      <c r="AS812" t="str">
        <f t="shared" si="130"/>
        <v/>
      </c>
    </row>
    <row r="813" spans="1:45">
      <c r="A813" s="291"/>
      <c r="B813" s="292"/>
      <c r="C813" s="293"/>
      <c r="D813" s="293"/>
      <c r="E813" s="293"/>
      <c r="F813" s="293"/>
      <c r="G813" s="294"/>
      <c r="H813" s="300"/>
      <c r="I813" s="295"/>
      <c r="J813" s="295"/>
      <c r="K813" s="296"/>
      <c r="L813" s="301"/>
      <c r="M813" s="297"/>
      <c r="N813" s="298"/>
      <c r="P813" s="190" t="str">
        <f>IF(R813 = "", "", COUNT(R$4:$R813))</f>
        <v/>
      </c>
      <c r="Q813" s="190" t="str">
        <f t="shared" si="121"/>
        <v/>
      </c>
      <c r="R813" s="191" t="str">
        <f t="shared" si="122"/>
        <v/>
      </c>
      <c r="S813" s="192" t="str">
        <f t="shared" si="124"/>
        <v/>
      </c>
      <c r="T813" s="193" t="str">
        <f t="shared" si="125"/>
        <v/>
      </c>
      <c r="U813" s="194" t="str">
        <f t="shared" si="126"/>
        <v/>
      </c>
      <c r="V813" s="195" t="str">
        <f t="shared" si="123"/>
        <v/>
      </c>
      <c r="W813" s="336" t="str">
        <f t="shared" si="127"/>
        <v/>
      </c>
      <c r="X813" s="338" t="str">
        <f t="shared" si="128"/>
        <v/>
      </c>
      <c r="Y813" s="274"/>
      <c r="AR813" t="str">
        <f t="shared" si="129"/>
        <v/>
      </c>
      <c r="AS813" t="str">
        <f t="shared" si="130"/>
        <v/>
      </c>
    </row>
    <row r="814" spans="1:45">
      <c r="A814" s="291"/>
      <c r="B814" s="292"/>
      <c r="C814" s="293"/>
      <c r="D814" s="293"/>
      <c r="E814" s="293"/>
      <c r="F814" s="293"/>
      <c r="G814" s="294"/>
      <c r="H814" s="300"/>
      <c r="I814" s="295"/>
      <c r="J814" s="295"/>
      <c r="K814" s="296"/>
      <c r="L814" s="301"/>
      <c r="M814" s="297"/>
      <c r="N814" s="298"/>
      <c r="P814" s="190" t="str">
        <f>IF(R814 = "", "", COUNT(R$4:$R814))</f>
        <v/>
      </c>
      <c r="Q814" s="190" t="str">
        <f t="shared" si="121"/>
        <v/>
      </c>
      <c r="R814" s="191" t="str">
        <f t="shared" si="122"/>
        <v/>
      </c>
      <c r="S814" s="192" t="str">
        <f t="shared" si="124"/>
        <v/>
      </c>
      <c r="T814" s="193" t="str">
        <f t="shared" si="125"/>
        <v/>
      </c>
      <c r="U814" s="194" t="str">
        <f t="shared" si="126"/>
        <v/>
      </c>
      <c r="V814" s="195" t="str">
        <f t="shared" si="123"/>
        <v/>
      </c>
      <c r="W814" s="336" t="str">
        <f t="shared" si="127"/>
        <v/>
      </c>
      <c r="X814" s="338" t="str">
        <f t="shared" si="128"/>
        <v/>
      </c>
      <c r="Y814" s="274"/>
      <c r="AR814" t="str">
        <f t="shared" si="129"/>
        <v/>
      </c>
      <c r="AS814" t="str">
        <f t="shared" si="130"/>
        <v/>
      </c>
    </row>
    <row r="815" spans="1:45">
      <c r="A815" s="291"/>
      <c r="B815" s="292"/>
      <c r="C815" s="293"/>
      <c r="D815" s="293"/>
      <c r="E815" s="293"/>
      <c r="F815" s="293"/>
      <c r="G815" s="294"/>
      <c r="H815" s="300"/>
      <c r="I815" s="295"/>
      <c r="J815" s="295"/>
      <c r="K815" s="296"/>
      <c r="L815" s="301"/>
      <c r="M815" s="297"/>
      <c r="N815" s="298"/>
      <c r="P815" s="190" t="str">
        <f>IF(R815 = "", "", COUNT(R$4:$R815))</f>
        <v/>
      </c>
      <c r="Q815" s="190" t="str">
        <f t="shared" si="121"/>
        <v/>
      </c>
      <c r="R815" s="191" t="str">
        <f t="shared" si="122"/>
        <v/>
      </c>
      <c r="S815" s="192" t="str">
        <f t="shared" si="124"/>
        <v/>
      </c>
      <c r="T815" s="193" t="str">
        <f t="shared" si="125"/>
        <v/>
      </c>
      <c r="U815" s="194" t="str">
        <f t="shared" si="126"/>
        <v/>
      </c>
      <c r="V815" s="195" t="str">
        <f t="shared" si="123"/>
        <v/>
      </c>
      <c r="W815" s="336" t="str">
        <f t="shared" si="127"/>
        <v/>
      </c>
      <c r="X815" s="338" t="str">
        <f t="shared" si="128"/>
        <v/>
      </c>
      <c r="Y815" s="274"/>
      <c r="AR815" t="str">
        <f t="shared" si="129"/>
        <v/>
      </c>
      <c r="AS815" t="str">
        <f t="shared" si="130"/>
        <v/>
      </c>
    </row>
    <row r="816" spans="1:45">
      <c r="A816" s="291"/>
      <c r="B816" s="292"/>
      <c r="C816" s="293"/>
      <c r="D816" s="293"/>
      <c r="E816" s="293"/>
      <c r="F816" s="293"/>
      <c r="G816" s="294"/>
      <c r="H816" s="300"/>
      <c r="I816" s="295"/>
      <c r="J816" s="295"/>
      <c r="K816" s="296"/>
      <c r="L816" s="301"/>
      <c r="M816" s="297"/>
      <c r="N816" s="298"/>
      <c r="P816" s="190" t="str">
        <f>IF(R816 = "", "", COUNT(R$4:$R816))</f>
        <v/>
      </c>
      <c r="Q816" s="190" t="str">
        <f t="shared" si="121"/>
        <v/>
      </c>
      <c r="R816" s="191" t="str">
        <f t="shared" si="122"/>
        <v/>
      </c>
      <c r="S816" s="192" t="str">
        <f t="shared" si="124"/>
        <v/>
      </c>
      <c r="T816" s="193" t="str">
        <f t="shared" si="125"/>
        <v/>
      </c>
      <c r="U816" s="194" t="str">
        <f t="shared" si="126"/>
        <v/>
      </c>
      <c r="V816" s="195" t="str">
        <f t="shared" si="123"/>
        <v/>
      </c>
      <c r="W816" s="336" t="str">
        <f t="shared" si="127"/>
        <v/>
      </c>
      <c r="X816" s="338" t="str">
        <f t="shared" si="128"/>
        <v/>
      </c>
      <c r="Y816" s="274"/>
      <c r="AR816" t="str">
        <f t="shared" si="129"/>
        <v/>
      </c>
      <c r="AS816" t="str">
        <f t="shared" si="130"/>
        <v/>
      </c>
    </row>
    <row r="817" spans="1:45">
      <c r="A817" s="291"/>
      <c r="B817" s="292"/>
      <c r="C817" s="293"/>
      <c r="D817" s="293"/>
      <c r="E817" s="293"/>
      <c r="F817" s="293"/>
      <c r="G817" s="294"/>
      <c r="H817" s="300"/>
      <c r="I817" s="295"/>
      <c r="J817" s="295"/>
      <c r="K817" s="296"/>
      <c r="L817" s="301"/>
      <c r="M817" s="297"/>
      <c r="N817" s="298"/>
      <c r="P817" s="190" t="str">
        <f>IF(R817 = "", "", COUNT(R$4:$R817))</f>
        <v/>
      </c>
      <c r="Q817" s="190" t="str">
        <f t="shared" si="121"/>
        <v/>
      </c>
      <c r="R817" s="191" t="str">
        <f t="shared" si="122"/>
        <v/>
      </c>
      <c r="S817" s="192" t="str">
        <f t="shared" si="124"/>
        <v/>
      </c>
      <c r="T817" s="193" t="str">
        <f t="shared" si="125"/>
        <v/>
      </c>
      <c r="U817" s="194" t="str">
        <f t="shared" si="126"/>
        <v/>
      </c>
      <c r="V817" s="195" t="str">
        <f t="shared" si="123"/>
        <v/>
      </c>
      <c r="W817" s="336" t="str">
        <f t="shared" si="127"/>
        <v/>
      </c>
      <c r="X817" s="338" t="str">
        <f t="shared" si="128"/>
        <v/>
      </c>
      <c r="Y817" s="274"/>
      <c r="AR817" t="str">
        <f t="shared" si="129"/>
        <v/>
      </c>
      <c r="AS817" t="str">
        <f t="shared" si="130"/>
        <v/>
      </c>
    </row>
    <row r="818" spans="1:45">
      <c r="A818" s="291"/>
      <c r="B818" s="292"/>
      <c r="C818" s="293"/>
      <c r="D818" s="293"/>
      <c r="E818" s="293"/>
      <c r="F818" s="293"/>
      <c r="G818" s="294"/>
      <c r="H818" s="300"/>
      <c r="I818" s="295"/>
      <c r="J818" s="295"/>
      <c r="K818" s="296"/>
      <c r="L818" s="301"/>
      <c r="M818" s="297"/>
      <c r="N818" s="298"/>
      <c r="P818" s="190" t="str">
        <f>IF(R818 = "", "", COUNT(R$4:$R818))</f>
        <v/>
      </c>
      <c r="Q818" s="190" t="str">
        <f t="shared" si="121"/>
        <v/>
      </c>
      <c r="R818" s="191" t="str">
        <f t="shared" si="122"/>
        <v/>
      </c>
      <c r="S818" s="192" t="str">
        <f t="shared" si="124"/>
        <v/>
      </c>
      <c r="T818" s="193" t="str">
        <f t="shared" si="125"/>
        <v/>
      </c>
      <c r="U818" s="194" t="str">
        <f t="shared" si="126"/>
        <v/>
      </c>
      <c r="V818" s="195" t="str">
        <f t="shared" si="123"/>
        <v/>
      </c>
      <c r="W818" s="336" t="str">
        <f t="shared" si="127"/>
        <v/>
      </c>
      <c r="X818" s="338" t="str">
        <f t="shared" si="128"/>
        <v/>
      </c>
      <c r="Y818" s="274"/>
      <c r="AR818" t="str">
        <f t="shared" si="129"/>
        <v/>
      </c>
      <c r="AS818" t="str">
        <f t="shared" si="130"/>
        <v/>
      </c>
    </row>
    <row r="819" spans="1:45">
      <c r="A819" s="291"/>
      <c r="B819" s="292"/>
      <c r="C819" s="293"/>
      <c r="D819" s="293"/>
      <c r="E819" s="293"/>
      <c r="F819" s="293"/>
      <c r="G819" s="294"/>
      <c r="H819" s="300"/>
      <c r="I819" s="295"/>
      <c r="J819" s="295"/>
      <c r="K819" s="296"/>
      <c r="L819" s="301"/>
      <c r="M819" s="297"/>
      <c r="N819" s="298"/>
      <c r="P819" s="190" t="str">
        <f>IF(R819 = "", "", COUNT(R$4:$R819))</f>
        <v/>
      </c>
      <c r="Q819" s="190" t="str">
        <f t="shared" si="121"/>
        <v/>
      </c>
      <c r="R819" s="191" t="str">
        <f t="shared" si="122"/>
        <v/>
      </c>
      <c r="S819" s="192" t="str">
        <f t="shared" si="124"/>
        <v/>
      </c>
      <c r="T819" s="193" t="str">
        <f t="shared" si="125"/>
        <v/>
      </c>
      <c r="U819" s="194" t="str">
        <f t="shared" si="126"/>
        <v/>
      </c>
      <c r="V819" s="195" t="str">
        <f t="shared" si="123"/>
        <v/>
      </c>
      <c r="W819" s="336" t="str">
        <f t="shared" si="127"/>
        <v/>
      </c>
      <c r="X819" s="338" t="str">
        <f t="shared" si="128"/>
        <v/>
      </c>
      <c r="Y819" s="274"/>
      <c r="AR819" t="str">
        <f t="shared" si="129"/>
        <v/>
      </c>
      <c r="AS819" t="str">
        <f t="shared" si="130"/>
        <v/>
      </c>
    </row>
    <row r="820" spans="1:45">
      <c r="A820" s="291"/>
      <c r="B820" s="292"/>
      <c r="C820" s="293"/>
      <c r="D820" s="293"/>
      <c r="E820" s="293"/>
      <c r="F820" s="293"/>
      <c r="G820" s="294"/>
      <c r="H820" s="300"/>
      <c r="I820" s="295"/>
      <c r="J820" s="295"/>
      <c r="K820" s="296"/>
      <c r="L820" s="301"/>
      <c r="M820" s="297"/>
      <c r="N820" s="298"/>
      <c r="P820" s="190" t="str">
        <f>IF(R820 = "", "", COUNT(R$4:$R820))</f>
        <v/>
      </c>
      <c r="Q820" s="190" t="str">
        <f t="shared" si="121"/>
        <v/>
      </c>
      <c r="R820" s="191" t="str">
        <f t="shared" si="122"/>
        <v/>
      </c>
      <c r="S820" s="192" t="str">
        <f t="shared" si="124"/>
        <v/>
      </c>
      <c r="T820" s="193" t="str">
        <f t="shared" si="125"/>
        <v/>
      </c>
      <c r="U820" s="194" t="str">
        <f t="shared" si="126"/>
        <v/>
      </c>
      <c r="V820" s="195" t="str">
        <f t="shared" si="123"/>
        <v/>
      </c>
      <c r="W820" s="336" t="str">
        <f t="shared" si="127"/>
        <v/>
      </c>
      <c r="X820" s="338" t="str">
        <f t="shared" si="128"/>
        <v/>
      </c>
      <c r="Y820" s="274"/>
      <c r="AR820" t="str">
        <f t="shared" si="129"/>
        <v/>
      </c>
      <c r="AS820" t="str">
        <f t="shared" si="130"/>
        <v/>
      </c>
    </row>
    <row r="821" spans="1:45">
      <c r="A821" s="291"/>
      <c r="B821" s="292"/>
      <c r="C821" s="293"/>
      <c r="D821" s="293"/>
      <c r="E821" s="293"/>
      <c r="F821" s="293"/>
      <c r="G821" s="294"/>
      <c r="H821" s="300"/>
      <c r="I821" s="295"/>
      <c r="J821" s="295"/>
      <c r="K821" s="296"/>
      <c r="L821" s="301"/>
      <c r="M821" s="297"/>
      <c r="N821" s="298"/>
      <c r="P821" s="190" t="str">
        <f>IF(R821 = "", "", COUNT(R$4:$R821))</f>
        <v/>
      </c>
      <c r="Q821" s="190" t="str">
        <f t="shared" si="121"/>
        <v/>
      </c>
      <c r="R821" s="191" t="str">
        <f t="shared" si="122"/>
        <v/>
      </c>
      <c r="S821" s="192" t="str">
        <f t="shared" si="124"/>
        <v/>
      </c>
      <c r="T821" s="193" t="str">
        <f t="shared" si="125"/>
        <v/>
      </c>
      <c r="U821" s="194" t="str">
        <f t="shared" si="126"/>
        <v/>
      </c>
      <c r="V821" s="195" t="str">
        <f t="shared" si="123"/>
        <v/>
      </c>
      <c r="W821" s="336" t="str">
        <f t="shared" si="127"/>
        <v/>
      </c>
      <c r="X821" s="338" t="str">
        <f t="shared" si="128"/>
        <v/>
      </c>
      <c r="Y821" s="274"/>
      <c r="AR821" t="str">
        <f t="shared" si="129"/>
        <v/>
      </c>
      <c r="AS821" t="str">
        <f t="shared" si="130"/>
        <v/>
      </c>
    </row>
    <row r="822" spans="1:45">
      <c r="A822" s="291"/>
      <c r="B822" s="292"/>
      <c r="C822" s="293"/>
      <c r="D822" s="293"/>
      <c r="E822" s="293"/>
      <c r="F822" s="293"/>
      <c r="G822" s="294"/>
      <c r="H822" s="300"/>
      <c r="I822" s="295"/>
      <c r="J822" s="295"/>
      <c r="K822" s="296"/>
      <c r="L822" s="301"/>
      <c r="M822" s="297"/>
      <c r="N822" s="298"/>
      <c r="P822" s="190" t="str">
        <f>IF(R822 = "", "", COUNT(R$4:$R822))</f>
        <v/>
      </c>
      <c r="Q822" s="190" t="str">
        <f t="shared" si="121"/>
        <v/>
      </c>
      <c r="R822" s="191" t="str">
        <f t="shared" si="122"/>
        <v/>
      </c>
      <c r="S822" s="192" t="str">
        <f t="shared" si="124"/>
        <v/>
      </c>
      <c r="T822" s="193" t="str">
        <f t="shared" si="125"/>
        <v/>
      </c>
      <c r="U822" s="194" t="str">
        <f t="shared" si="126"/>
        <v/>
      </c>
      <c r="V822" s="195" t="str">
        <f t="shared" si="123"/>
        <v/>
      </c>
      <c r="W822" s="336" t="str">
        <f t="shared" si="127"/>
        <v/>
      </c>
      <c r="X822" s="338" t="str">
        <f t="shared" si="128"/>
        <v/>
      </c>
      <c r="Y822" s="274"/>
      <c r="AR822" t="str">
        <f t="shared" si="129"/>
        <v/>
      </c>
      <c r="AS822" t="str">
        <f t="shared" si="130"/>
        <v/>
      </c>
    </row>
    <row r="823" spans="1:45">
      <c r="A823" s="291"/>
      <c r="B823" s="292"/>
      <c r="C823" s="293"/>
      <c r="D823" s="293"/>
      <c r="E823" s="293"/>
      <c r="F823" s="293"/>
      <c r="G823" s="294"/>
      <c r="H823" s="300"/>
      <c r="I823" s="295"/>
      <c r="J823" s="295"/>
      <c r="K823" s="296"/>
      <c r="L823" s="301"/>
      <c r="M823" s="297"/>
      <c r="N823" s="298"/>
      <c r="P823" s="190" t="str">
        <f>IF(R823 = "", "", COUNT(R$4:$R823))</f>
        <v/>
      </c>
      <c r="Q823" s="190" t="str">
        <f t="shared" si="121"/>
        <v/>
      </c>
      <c r="R823" s="191" t="str">
        <f t="shared" si="122"/>
        <v/>
      </c>
      <c r="S823" s="192" t="str">
        <f t="shared" si="124"/>
        <v/>
      </c>
      <c r="T823" s="193" t="str">
        <f t="shared" si="125"/>
        <v/>
      </c>
      <c r="U823" s="194" t="str">
        <f t="shared" si="126"/>
        <v/>
      </c>
      <c r="V823" s="195" t="str">
        <f t="shared" si="123"/>
        <v/>
      </c>
      <c r="W823" s="336" t="str">
        <f t="shared" si="127"/>
        <v/>
      </c>
      <c r="X823" s="338" t="str">
        <f t="shared" si="128"/>
        <v/>
      </c>
      <c r="Y823" s="274"/>
      <c r="AR823" t="str">
        <f t="shared" si="129"/>
        <v/>
      </c>
      <c r="AS823" t="str">
        <f t="shared" si="130"/>
        <v/>
      </c>
    </row>
    <row r="824" spans="1:45">
      <c r="A824" s="291"/>
      <c r="B824" s="292"/>
      <c r="C824" s="293"/>
      <c r="D824" s="293"/>
      <c r="E824" s="293"/>
      <c r="F824" s="293"/>
      <c r="G824" s="294"/>
      <c r="H824" s="300"/>
      <c r="I824" s="295"/>
      <c r="J824" s="295"/>
      <c r="K824" s="296"/>
      <c r="L824" s="301"/>
      <c r="M824" s="297"/>
      <c r="N824" s="298"/>
      <c r="P824" s="190" t="str">
        <f>IF(R824 = "", "", COUNT(R$4:$R824))</f>
        <v/>
      </c>
      <c r="Q824" s="190" t="str">
        <f t="shared" si="121"/>
        <v/>
      </c>
      <c r="R824" s="191" t="str">
        <f t="shared" si="122"/>
        <v/>
      </c>
      <c r="S824" s="192" t="str">
        <f t="shared" si="124"/>
        <v/>
      </c>
      <c r="T824" s="193" t="str">
        <f t="shared" si="125"/>
        <v/>
      </c>
      <c r="U824" s="194" t="str">
        <f t="shared" si="126"/>
        <v/>
      </c>
      <c r="V824" s="195" t="str">
        <f t="shared" si="123"/>
        <v/>
      </c>
      <c r="W824" s="336" t="str">
        <f t="shared" si="127"/>
        <v/>
      </c>
      <c r="X824" s="338" t="str">
        <f t="shared" si="128"/>
        <v/>
      </c>
      <c r="Y824" s="274"/>
      <c r="AR824" t="str">
        <f t="shared" si="129"/>
        <v/>
      </c>
      <c r="AS824" t="str">
        <f t="shared" si="130"/>
        <v/>
      </c>
    </row>
    <row r="825" spans="1:45">
      <c r="A825" s="291"/>
      <c r="B825" s="292"/>
      <c r="C825" s="293"/>
      <c r="D825" s="293"/>
      <c r="E825" s="293"/>
      <c r="F825" s="293"/>
      <c r="G825" s="294"/>
      <c r="H825" s="300"/>
      <c r="I825" s="295"/>
      <c r="J825" s="295"/>
      <c r="K825" s="296"/>
      <c r="L825" s="301"/>
      <c r="M825" s="297"/>
      <c r="N825" s="298"/>
      <c r="P825" s="190" t="str">
        <f>IF(R825 = "", "", COUNT(R$4:$R825))</f>
        <v/>
      </c>
      <c r="Q825" s="190" t="str">
        <f t="shared" si="121"/>
        <v/>
      </c>
      <c r="R825" s="191" t="str">
        <f t="shared" si="122"/>
        <v/>
      </c>
      <c r="S825" s="192" t="str">
        <f t="shared" si="124"/>
        <v/>
      </c>
      <c r="T825" s="193" t="str">
        <f t="shared" si="125"/>
        <v/>
      </c>
      <c r="U825" s="194" t="str">
        <f t="shared" si="126"/>
        <v/>
      </c>
      <c r="V825" s="195" t="str">
        <f t="shared" si="123"/>
        <v/>
      </c>
      <c r="W825" s="336" t="str">
        <f t="shared" si="127"/>
        <v/>
      </c>
      <c r="X825" s="338" t="str">
        <f t="shared" si="128"/>
        <v/>
      </c>
      <c r="Y825" s="274"/>
      <c r="AR825" t="str">
        <f t="shared" si="129"/>
        <v/>
      </c>
      <c r="AS825" t="str">
        <f t="shared" si="130"/>
        <v/>
      </c>
    </row>
    <row r="826" spans="1:45">
      <c r="A826" s="291"/>
      <c r="B826" s="292"/>
      <c r="C826" s="293"/>
      <c r="D826" s="293"/>
      <c r="E826" s="293"/>
      <c r="F826" s="293"/>
      <c r="G826" s="294"/>
      <c r="H826" s="300"/>
      <c r="I826" s="295"/>
      <c r="J826" s="295"/>
      <c r="K826" s="296"/>
      <c r="L826" s="301"/>
      <c r="M826" s="297"/>
      <c r="N826" s="298"/>
      <c r="P826" s="190" t="str">
        <f>IF(R826 = "", "", COUNT(R$4:$R826))</f>
        <v/>
      </c>
      <c r="Q826" s="190" t="str">
        <f t="shared" si="121"/>
        <v/>
      </c>
      <c r="R826" s="191" t="str">
        <f t="shared" si="122"/>
        <v/>
      </c>
      <c r="S826" s="192" t="str">
        <f t="shared" si="124"/>
        <v/>
      </c>
      <c r="T826" s="193" t="str">
        <f t="shared" si="125"/>
        <v/>
      </c>
      <c r="U826" s="194" t="str">
        <f t="shared" si="126"/>
        <v/>
      </c>
      <c r="V826" s="195" t="str">
        <f t="shared" si="123"/>
        <v/>
      </c>
      <c r="W826" s="336" t="str">
        <f t="shared" si="127"/>
        <v/>
      </c>
      <c r="X826" s="338" t="str">
        <f t="shared" si="128"/>
        <v/>
      </c>
      <c r="Y826" s="274"/>
      <c r="AR826" t="str">
        <f t="shared" si="129"/>
        <v/>
      </c>
      <c r="AS826" t="str">
        <f t="shared" si="130"/>
        <v/>
      </c>
    </row>
    <row r="827" spans="1:45">
      <c r="A827" s="291"/>
      <c r="B827" s="292"/>
      <c r="C827" s="293"/>
      <c r="D827" s="293"/>
      <c r="E827" s="293"/>
      <c r="F827" s="293"/>
      <c r="G827" s="294"/>
      <c r="H827" s="300"/>
      <c r="I827" s="295"/>
      <c r="J827" s="295"/>
      <c r="K827" s="296"/>
      <c r="L827" s="301"/>
      <c r="M827" s="297"/>
      <c r="N827" s="298"/>
      <c r="P827" s="190" t="str">
        <f>IF(R827 = "", "", COUNT(R$4:$R827))</f>
        <v/>
      </c>
      <c r="Q827" s="190" t="str">
        <f t="shared" si="121"/>
        <v/>
      </c>
      <c r="R827" s="191" t="str">
        <f t="shared" si="122"/>
        <v/>
      </c>
      <c r="S827" s="192" t="str">
        <f t="shared" si="124"/>
        <v/>
      </c>
      <c r="T827" s="193" t="str">
        <f t="shared" si="125"/>
        <v/>
      </c>
      <c r="U827" s="194" t="str">
        <f t="shared" si="126"/>
        <v/>
      </c>
      <c r="V827" s="195" t="str">
        <f t="shared" si="123"/>
        <v/>
      </c>
      <c r="W827" s="336" t="str">
        <f t="shared" si="127"/>
        <v/>
      </c>
      <c r="X827" s="338" t="str">
        <f t="shared" si="128"/>
        <v/>
      </c>
      <c r="Y827" s="274"/>
      <c r="AR827" t="str">
        <f t="shared" si="129"/>
        <v/>
      </c>
      <c r="AS827" t="str">
        <f t="shared" si="130"/>
        <v/>
      </c>
    </row>
    <row r="828" spans="1:45">
      <c r="A828" s="291"/>
      <c r="B828" s="292"/>
      <c r="C828" s="293"/>
      <c r="D828" s="293"/>
      <c r="E828" s="293"/>
      <c r="F828" s="293"/>
      <c r="G828" s="294"/>
      <c r="H828" s="300"/>
      <c r="I828" s="295"/>
      <c r="J828" s="295"/>
      <c r="K828" s="296"/>
      <c r="L828" s="301"/>
      <c r="M828" s="297"/>
      <c r="N828" s="298"/>
      <c r="P828" s="190" t="str">
        <f>IF(R828 = "", "", COUNT(R$4:$R828))</f>
        <v/>
      </c>
      <c r="Q828" s="190" t="str">
        <f t="shared" si="121"/>
        <v/>
      </c>
      <c r="R828" s="191" t="str">
        <f t="shared" si="122"/>
        <v/>
      </c>
      <c r="S828" s="192" t="str">
        <f t="shared" si="124"/>
        <v/>
      </c>
      <c r="T828" s="193" t="str">
        <f t="shared" si="125"/>
        <v/>
      </c>
      <c r="U828" s="194" t="str">
        <f t="shared" si="126"/>
        <v/>
      </c>
      <c r="V828" s="195" t="str">
        <f t="shared" si="123"/>
        <v/>
      </c>
      <c r="W828" s="336" t="str">
        <f t="shared" si="127"/>
        <v/>
      </c>
      <c r="X828" s="338" t="str">
        <f t="shared" si="128"/>
        <v/>
      </c>
      <c r="Y828" s="274"/>
      <c r="AR828" t="str">
        <f t="shared" si="129"/>
        <v/>
      </c>
      <c r="AS828" t="str">
        <f t="shared" si="130"/>
        <v/>
      </c>
    </row>
    <row r="829" spans="1:45">
      <c r="A829" s="291"/>
      <c r="B829" s="292"/>
      <c r="C829" s="293"/>
      <c r="D829" s="293"/>
      <c r="E829" s="293"/>
      <c r="F829" s="293"/>
      <c r="G829" s="294"/>
      <c r="H829" s="300"/>
      <c r="I829" s="295"/>
      <c r="J829" s="295"/>
      <c r="K829" s="296"/>
      <c r="L829" s="301"/>
      <c r="M829" s="297"/>
      <c r="N829" s="298"/>
      <c r="P829" s="190" t="str">
        <f>IF(R829 = "", "", COUNT(R$4:$R829))</f>
        <v/>
      </c>
      <c r="Q829" s="190" t="str">
        <f t="shared" si="121"/>
        <v/>
      </c>
      <c r="R829" s="191" t="str">
        <f t="shared" si="122"/>
        <v/>
      </c>
      <c r="S829" s="192" t="str">
        <f t="shared" si="124"/>
        <v/>
      </c>
      <c r="T829" s="193" t="str">
        <f t="shared" si="125"/>
        <v/>
      </c>
      <c r="U829" s="194" t="str">
        <f t="shared" si="126"/>
        <v/>
      </c>
      <c r="V829" s="195" t="str">
        <f t="shared" si="123"/>
        <v/>
      </c>
      <c r="W829" s="336" t="str">
        <f t="shared" si="127"/>
        <v/>
      </c>
      <c r="X829" s="338" t="str">
        <f t="shared" si="128"/>
        <v/>
      </c>
      <c r="Y829" s="274"/>
      <c r="AR829" t="str">
        <f t="shared" si="129"/>
        <v/>
      </c>
      <c r="AS829" t="str">
        <f t="shared" si="130"/>
        <v/>
      </c>
    </row>
    <row r="830" spans="1:45">
      <c r="A830" s="291"/>
      <c r="B830" s="292"/>
      <c r="C830" s="293"/>
      <c r="D830" s="293"/>
      <c r="E830" s="293"/>
      <c r="F830" s="293"/>
      <c r="G830" s="294"/>
      <c r="H830" s="300"/>
      <c r="I830" s="295"/>
      <c r="J830" s="295"/>
      <c r="K830" s="296"/>
      <c r="L830" s="301"/>
      <c r="M830" s="297"/>
      <c r="N830" s="298"/>
      <c r="P830" s="190" t="str">
        <f>IF(R830 = "", "", COUNT(R$4:$R830))</f>
        <v/>
      </c>
      <c r="Q830" s="190" t="str">
        <f t="shared" si="121"/>
        <v/>
      </c>
      <c r="R830" s="191" t="str">
        <f t="shared" si="122"/>
        <v/>
      </c>
      <c r="S830" s="192" t="str">
        <f t="shared" si="124"/>
        <v/>
      </c>
      <c r="T830" s="193" t="str">
        <f t="shared" si="125"/>
        <v/>
      </c>
      <c r="U830" s="194" t="str">
        <f t="shared" si="126"/>
        <v/>
      </c>
      <c r="V830" s="195" t="str">
        <f t="shared" si="123"/>
        <v/>
      </c>
      <c r="W830" s="336" t="str">
        <f t="shared" si="127"/>
        <v/>
      </c>
      <c r="X830" s="338" t="str">
        <f t="shared" si="128"/>
        <v/>
      </c>
      <c r="Y830" s="274"/>
      <c r="AR830" t="str">
        <f t="shared" si="129"/>
        <v/>
      </c>
      <c r="AS830" t="str">
        <f t="shared" si="130"/>
        <v/>
      </c>
    </row>
    <row r="831" spans="1:45">
      <c r="A831" s="291"/>
      <c r="B831" s="292"/>
      <c r="C831" s="293"/>
      <c r="D831" s="293"/>
      <c r="E831" s="293"/>
      <c r="F831" s="293"/>
      <c r="G831" s="294"/>
      <c r="H831" s="300"/>
      <c r="I831" s="295"/>
      <c r="J831" s="295"/>
      <c r="K831" s="296"/>
      <c r="L831" s="301"/>
      <c r="M831" s="297"/>
      <c r="N831" s="298"/>
      <c r="P831" s="190" t="str">
        <f>IF(R831 = "", "", COUNT(R$4:$R831))</f>
        <v/>
      </c>
      <c r="Q831" s="190" t="str">
        <f t="shared" si="121"/>
        <v/>
      </c>
      <c r="R831" s="191" t="str">
        <f t="shared" si="122"/>
        <v/>
      </c>
      <c r="S831" s="192" t="str">
        <f t="shared" si="124"/>
        <v/>
      </c>
      <c r="T831" s="193" t="str">
        <f t="shared" si="125"/>
        <v/>
      </c>
      <c r="U831" s="194" t="str">
        <f t="shared" si="126"/>
        <v/>
      </c>
      <c r="V831" s="195" t="str">
        <f t="shared" si="123"/>
        <v/>
      </c>
      <c r="W831" s="336" t="str">
        <f t="shared" si="127"/>
        <v/>
      </c>
      <c r="X831" s="338" t="str">
        <f t="shared" si="128"/>
        <v/>
      </c>
      <c r="Y831" s="274"/>
      <c r="AR831" t="str">
        <f t="shared" si="129"/>
        <v/>
      </c>
      <c r="AS831" t="str">
        <f t="shared" si="130"/>
        <v/>
      </c>
    </row>
    <row r="832" spans="1:45">
      <c r="A832" s="291"/>
      <c r="B832" s="292"/>
      <c r="C832" s="293"/>
      <c r="D832" s="293"/>
      <c r="E832" s="293"/>
      <c r="F832" s="293"/>
      <c r="G832" s="294"/>
      <c r="H832" s="300"/>
      <c r="I832" s="295"/>
      <c r="J832" s="295"/>
      <c r="K832" s="296"/>
      <c r="L832" s="301"/>
      <c r="M832" s="297"/>
      <c r="N832" s="298"/>
      <c r="P832" s="190" t="str">
        <f>IF(R832 = "", "", COUNT(R$4:$R832))</f>
        <v/>
      </c>
      <c r="Q832" s="190" t="str">
        <f t="shared" si="121"/>
        <v/>
      </c>
      <c r="R832" s="191" t="str">
        <f t="shared" si="122"/>
        <v/>
      </c>
      <c r="S832" s="192" t="str">
        <f t="shared" si="124"/>
        <v/>
      </c>
      <c r="T832" s="193" t="str">
        <f t="shared" si="125"/>
        <v/>
      </c>
      <c r="U832" s="194" t="str">
        <f t="shared" si="126"/>
        <v/>
      </c>
      <c r="V832" s="195" t="str">
        <f t="shared" si="123"/>
        <v/>
      </c>
      <c r="W832" s="336" t="str">
        <f t="shared" si="127"/>
        <v/>
      </c>
      <c r="X832" s="338" t="str">
        <f t="shared" si="128"/>
        <v/>
      </c>
      <c r="Y832" s="274"/>
      <c r="AR832" t="str">
        <f t="shared" si="129"/>
        <v/>
      </c>
      <c r="AS832" t="str">
        <f t="shared" si="130"/>
        <v/>
      </c>
    </row>
    <row r="833" spans="1:45">
      <c r="A833" s="291"/>
      <c r="B833" s="292"/>
      <c r="C833" s="293"/>
      <c r="D833" s="293"/>
      <c r="E833" s="293"/>
      <c r="F833" s="293"/>
      <c r="G833" s="294"/>
      <c r="H833" s="300"/>
      <c r="I833" s="295"/>
      <c r="J833" s="295"/>
      <c r="K833" s="296"/>
      <c r="L833" s="301"/>
      <c r="M833" s="297"/>
      <c r="N833" s="298"/>
      <c r="P833" s="190" t="str">
        <f>IF(R833 = "", "", COUNT(R$4:$R833))</f>
        <v/>
      </c>
      <c r="Q833" s="190" t="str">
        <f t="shared" si="121"/>
        <v/>
      </c>
      <c r="R833" s="191" t="str">
        <f t="shared" si="122"/>
        <v/>
      </c>
      <c r="S833" s="192" t="str">
        <f t="shared" si="124"/>
        <v/>
      </c>
      <c r="T833" s="193" t="str">
        <f t="shared" si="125"/>
        <v/>
      </c>
      <c r="U833" s="194" t="str">
        <f t="shared" si="126"/>
        <v/>
      </c>
      <c r="V833" s="195" t="str">
        <f t="shared" si="123"/>
        <v/>
      </c>
      <c r="W833" s="336" t="str">
        <f t="shared" si="127"/>
        <v/>
      </c>
      <c r="X833" s="338" t="str">
        <f t="shared" si="128"/>
        <v/>
      </c>
      <c r="Y833" s="274"/>
      <c r="AR833" t="str">
        <f t="shared" si="129"/>
        <v/>
      </c>
      <c r="AS833" t="str">
        <f t="shared" si="130"/>
        <v/>
      </c>
    </row>
    <row r="834" spans="1:45">
      <c r="A834" s="291"/>
      <c r="B834" s="292"/>
      <c r="C834" s="293"/>
      <c r="D834" s="293"/>
      <c r="E834" s="293"/>
      <c r="F834" s="293"/>
      <c r="G834" s="294"/>
      <c r="H834" s="300"/>
      <c r="I834" s="295"/>
      <c r="J834" s="295"/>
      <c r="K834" s="296"/>
      <c r="L834" s="301"/>
      <c r="M834" s="297"/>
      <c r="N834" s="298"/>
      <c r="P834" s="190" t="str">
        <f>IF(R834 = "", "", COUNT(R$4:$R834))</f>
        <v/>
      </c>
      <c r="Q834" s="190" t="str">
        <f t="shared" si="121"/>
        <v/>
      </c>
      <c r="R834" s="191" t="str">
        <f t="shared" si="122"/>
        <v/>
      </c>
      <c r="S834" s="192" t="str">
        <f t="shared" si="124"/>
        <v/>
      </c>
      <c r="T834" s="193" t="str">
        <f t="shared" si="125"/>
        <v/>
      </c>
      <c r="U834" s="194" t="str">
        <f t="shared" si="126"/>
        <v/>
      </c>
      <c r="V834" s="195" t="str">
        <f t="shared" si="123"/>
        <v/>
      </c>
      <c r="W834" s="336" t="str">
        <f t="shared" si="127"/>
        <v/>
      </c>
      <c r="X834" s="338" t="str">
        <f t="shared" si="128"/>
        <v/>
      </c>
      <c r="Y834" s="274"/>
      <c r="AR834" t="str">
        <f t="shared" si="129"/>
        <v/>
      </c>
      <c r="AS834" t="str">
        <f t="shared" si="130"/>
        <v/>
      </c>
    </row>
    <row r="835" spans="1:45">
      <c r="A835" s="291"/>
      <c r="B835" s="292"/>
      <c r="C835" s="293"/>
      <c r="D835" s="293"/>
      <c r="E835" s="293"/>
      <c r="F835" s="293"/>
      <c r="G835" s="294"/>
      <c r="H835" s="300"/>
      <c r="I835" s="295"/>
      <c r="J835" s="295"/>
      <c r="K835" s="296"/>
      <c r="L835" s="301"/>
      <c r="M835" s="297"/>
      <c r="N835" s="298"/>
      <c r="P835" s="190" t="str">
        <f>IF(R835 = "", "", COUNT(R$4:$R835))</f>
        <v/>
      </c>
      <c r="Q835" s="190" t="str">
        <f t="shared" si="121"/>
        <v/>
      </c>
      <c r="R835" s="191" t="str">
        <f t="shared" si="122"/>
        <v/>
      </c>
      <c r="S835" s="192" t="str">
        <f t="shared" si="124"/>
        <v/>
      </c>
      <c r="T835" s="193" t="str">
        <f t="shared" si="125"/>
        <v/>
      </c>
      <c r="U835" s="194" t="str">
        <f t="shared" si="126"/>
        <v/>
      </c>
      <c r="V835" s="195" t="str">
        <f t="shared" si="123"/>
        <v/>
      </c>
      <c r="W835" s="336" t="str">
        <f t="shared" si="127"/>
        <v/>
      </c>
      <c r="X835" s="338" t="str">
        <f t="shared" si="128"/>
        <v/>
      </c>
      <c r="Y835" s="274"/>
      <c r="AR835" t="str">
        <f t="shared" si="129"/>
        <v/>
      </c>
      <c r="AS835" t="str">
        <f t="shared" si="130"/>
        <v/>
      </c>
    </row>
    <row r="836" spans="1:45">
      <c r="A836" s="291"/>
      <c r="B836" s="292"/>
      <c r="C836" s="293"/>
      <c r="D836" s="293"/>
      <c r="E836" s="293"/>
      <c r="F836" s="293"/>
      <c r="G836" s="294"/>
      <c r="H836" s="300"/>
      <c r="I836" s="295"/>
      <c r="J836" s="295"/>
      <c r="K836" s="296"/>
      <c r="L836" s="301"/>
      <c r="M836" s="297"/>
      <c r="N836" s="298"/>
      <c r="P836" s="190" t="str">
        <f>IF(R836 = "", "", COUNT(R$4:$R836))</f>
        <v/>
      </c>
      <c r="Q836" s="190" t="str">
        <f t="shared" ref="Q836:Q899" si="131">IF(C836 &gt; 0, YEAR(B836), "")</f>
        <v/>
      </c>
      <c r="R836" s="191" t="str">
        <f t="shared" ref="R836:R899" si="132">IF(A836="", "", IF(G836="",1,IF(G836="O",1,IF(G836="C",8.4,IF(G836="B",8.4,IF(G836="A",76.8,IF(G836="K",76.8,"ERR")))))))</f>
        <v/>
      </c>
      <c r="S836" s="192" t="str">
        <f t="shared" si="124"/>
        <v/>
      </c>
      <c r="T836" s="193" t="str">
        <f t="shared" si="125"/>
        <v/>
      </c>
      <c r="U836" s="194" t="str">
        <f t="shared" si="126"/>
        <v/>
      </c>
      <c r="V836" s="195" t="str">
        <f t="shared" ref="V836:V899" si="133">IF(IF(M836&lt;&gt;"",G836,"")=0, "O", IF(M836&lt;&gt;"",G836,""))</f>
        <v/>
      </c>
      <c r="W836" s="336" t="str">
        <f t="shared" si="127"/>
        <v/>
      </c>
      <c r="X836" s="338" t="str">
        <f t="shared" si="128"/>
        <v/>
      </c>
      <c r="Y836" s="274"/>
      <c r="AR836" t="str">
        <f t="shared" si="129"/>
        <v/>
      </c>
      <c r="AS836" t="str">
        <f t="shared" si="130"/>
        <v/>
      </c>
    </row>
    <row r="837" spans="1:45">
      <c r="A837" s="291"/>
      <c r="B837" s="292"/>
      <c r="C837" s="293"/>
      <c r="D837" s="293"/>
      <c r="E837" s="293"/>
      <c r="F837" s="293"/>
      <c r="G837" s="294"/>
      <c r="H837" s="300"/>
      <c r="I837" s="295"/>
      <c r="J837" s="295"/>
      <c r="K837" s="296"/>
      <c r="L837" s="301"/>
      <c r="M837" s="297"/>
      <c r="N837" s="298"/>
      <c r="P837" s="190" t="str">
        <f>IF(R837 = "", "", COUNT(R$4:$R837))</f>
        <v/>
      </c>
      <c r="Q837" s="190" t="str">
        <f t="shared" si="131"/>
        <v/>
      </c>
      <c r="R837" s="191" t="str">
        <f t="shared" si="132"/>
        <v/>
      </c>
      <c r="S837" s="192" t="str">
        <f t="shared" ref="S837:S900" si="134">IF(L837&lt;&gt;"",R837,"")</f>
        <v/>
      </c>
      <c r="T837" s="193" t="str">
        <f t="shared" ref="T837:T900" si="135">IF(IF(L837&lt;&gt;"",G837,"")=0, "O", IF(L837&lt;&gt;"",G837,""))</f>
        <v/>
      </c>
      <c r="U837" s="194" t="str">
        <f t="shared" ref="U837:U900" si="136">IF(M837&lt;&gt;"",R837,"")</f>
        <v/>
      </c>
      <c r="V837" s="195" t="str">
        <f t="shared" si="133"/>
        <v/>
      </c>
      <c r="W837" s="336" t="str">
        <f t="shared" ref="W837:W900" si="137">IF(N837&lt;&gt;"",R837,"")</f>
        <v/>
      </c>
      <c r="X837" s="338" t="str">
        <f t="shared" ref="X837:X900" si="138">IF(IF(N837&lt;&gt;"",G837,"")=0, "O", IF(N837&lt;&gt;"",G837,""))</f>
        <v/>
      </c>
      <c r="Y837" s="274"/>
      <c r="AR837" t="str">
        <f t="shared" ref="AR837:AR900" si="139">IF(P837&gt;0, P837, "")</f>
        <v/>
      </c>
      <c r="AS837" t="str">
        <f t="shared" ref="AS837:AS900" si="140">IF(OR(L837="Y",M837="Y",N837="Y"),"Y","")</f>
        <v/>
      </c>
    </row>
    <row r="838" spans="1:45">
      <c r="A838" s="291"/>
      <c r="B838" s="292"/>
      <c r="C838" s="293"/>
      <c r="D838" s="293"/>
      <c r="E838" s="293"/>
      <c r="F838" s="293"/>
      <c r="G838" s="294"/>
      <c r="H838" s="300"/>
      <c r="I838" s="295"/>
      <c r="J838" s="295"/>
      <c r="K838" s="296"/>
      <c r="L838" s="301"/>
      <c r="M838" s="297"/>
      <c r="N838" s="298"/>
      <c r="P838" s="190" t="str">
        <f>IF(R838 = "", "", COUNT(R$4:$R838))</f>
        <v/>
      </c>
      <c r="Q838" s="190" t="str">
        <f t="shared" si="131"/>
        <v/>
      </c>
      <c r="R838" s="191" t="str">
        <f t="shared" si="132"/>
        <v/>
      </c>
      <c r="S838" s="192" t="str">
        <f t="shared" si="134"/>
        <v/>
      </c>
      <c r="T838" s="193" t="str">
        <f t="shared" si="135"/>
        <v/>
      </c>
      <c r="U838" s="194" t="str">
        <f t="shared" si="136"/>
        <v/>
      </c>
      <c r="V838" s="195" t="str">
        <f t="shared" si="133"/>
        <v/>
      </c>
      <c r="W838" s="336" t="str">
        <f t="shared" si="137"/>
        <v/>
      </c>
      <c r="X838" s="338" t="str">
        <f t="shared" si="138"/>
        <v/>
      </c>
      <c r="Y838" s="274"/>
      <c r="AR838" t="str">
        <f t="shared" si="139"/>
        <v/>
      </c>
      <c r="AS838" t="str">
        <f t="shared" si="140"/>
        <v/>
      </c>
    </row>
    <row r="839" spans="1:45">
      <c r="A839" s="291"/>
      <c r="B839" s="292"/>
      <c r="C839" s="293"/>
      <c r="D839" s="293"/>
      <c r="E839" s="293"/>
      <c r="F839" s="293"/>
      <c r="G839" s="294"/>
      <c r="H839" s="300"/>
      <c r="I839" s="295"/>
      <c r="J839" s="295"/>
      <c r="K839" s="296"/>
      <c r="L839" s="301"/>
      <c r="M839" s="297"/>
      <c r="N839" s="298"/>
      <c r="P839" s="190" t="str">
        <f>IF(R839 = "", "", COUNT(R$4:$R839))</f>
        <v/>
      </c>
      <c r="Q839" s="190" t="str">
        <f t="shared" si="131"/>
        <v/>
      </c>
      <c r="R839" s="191" t="str">
        <f t="shared" si="132"/>
        <v/>
      </c>
      <c r="S839" s="192" t="str">
        <f t="shared" si="134"/>
        <v/>
      </c>
      <c r="T839" s="193" t="str">
        <f t="shared" si="135"/>
        <v/>
      </c>
      <c r="U839" s="194" t="str">
        <f t="shared" si="136"/>
        <v/>
      </c>
      <c r="V839" s="195" t="str">
        <f t="shared" si="133"/>
        <v/>
      </c>
      <c r="W839" s="336" t="str">
        <f t="shared" si="137"/>
        <v/>
      </c>
      <c r="X839" s="338" t="str">
        <f t="shared" si="138"/>
        <v/>
      </c>
      <c r="Y839" s="274"/>
      <c r="AR839" t="str">
        <f t="shared" si="139"/>
        <v/>
      </c>
      <c r="AS839" t="str">
        <f t="shared" si="140"/>
        <v/>
      </c>
    </row>
    <row r="840" spans="1:45">
      <c r="A840" s="291"/>
      <c r="B840" s="292"/>
      <c r="C840" s="293"/>
      <c r="D840" s="293"/>
      <c r="E840" s="293"/>
      <c r="F840" s="293"/>
      <c r="G840" s="294"/>
      <c r="H840" s="300"/>
      <c r="I840" s="295"/>
      <c r="J840" s="295"/>
      <c r="K840" s="296"/>
      <c r="L840" s="301"/>
      <c r="M840" s="297"/>
      <c r="N840" s="298"/>
      <c r="P840" s="190" t="str">
        <f>IF(R840 = "", "", COUNT(R$4:$R840))</f>
        <v/>
      </c>
      <c r="Q840" s="190" t="str">
        <f t="shared" si="131"/>
        <v/>
      </c>
      <c r="R840" s="191" t="str">
        <f t="shared" si="132"/>
        <v/>
      </c>
      <c r="S840" s="192" t="str">
        <f t="shared" si="134"/>
        <v/>
      </c>
      <c r="T840" s="193" t="str">
        <f t="shared" si="135"/>
        <v/>
      </c>
      <c r="U840" s="194" t="str">
        <f t="shared" si="136"/>
        <v/>
      </c>
      <c r="V840" s="195" t="str">
        <f t="shared" si="133"/>
        <v/>
      </c>
      <c r="W840" s="336" t="str">
        <f t="shared" si="137"/>
        <v/>
      </c>
      <c r="X840" s="338" t="str">
        <f t="shared" si="138"/>
        <v/>
      </c>
      <c r="Y840" s="274"/>
      <c r="AR840" t="str">
        <f t="shared" si="139"/>
        <v/>
      </c>
      <c r="AS840" t="str">
        <f t="shared" si="140"/>
        <v/>
      </c>
    </row>
    <row r="841" spans="1:45">
      <c r="A841" s="291"/>
      <c r="B841" s="292"/>
      <c r="C841" s="293"/>
      <c r="D841" s="293"/>
      <c r="E841" s="293"/>
      <c r="F841" s="293"/>
      <c r="G841" s="294"/>
      <c r="H841" s="300"/>
      <c r="I841" s="295"/>
      <c r="J841" s="295"/>
      <c r="K841" s="296"/>
      <c r="L841" s="301"/>
      <c r="M841" s="297"/>
      <c r="N841" s="298"/>
      <c r="P841" s="190" t="str">
        <f>IF(R841 = "", "", COUNT(R$4:$R841))</f>
        <v/>
      </c>
      <c r="Q841" s="190" t="str">
        <f t="shared" si="131"/>
        <v/>
      </c>
      <c r="R841" s="191" t="str">
        <f t="shared" si="132"/>
        <v/>
      </c>
      <c r="S841" s="192" t="str">
        <f t="shared" si="134"/>
        <v/>
      </c>
      <c r="T841" s="193" t="str">
        <f t="shared" si="135"/>
        <v/>
      </c>
      <c r="U841" s="194" t="str">
        <f t="shared" si="136"/>
        <v/>
      </c>
      <c r="V841" s="195" t="str">
        <f t="shared" si="133"/>
        <v/>
      </c>
      <c r="W841" s="336" t="str">
        <f t="shared" si="137"/>
        <v/>
      </c>
      <c r="X841" s="338" t="str">
        <f t="shared" si="138"/>
        <v/>
      </c>
      <c r="Y841" s="274"/>
      <c r="AR841" t="str">
        <f t="shared" si="139"/>
        <v/>
      </c>
      <c r="AS841" t="str">
        <f t="shared" si="140"/>
        <v/>
      </c>
    </row>
    <row r="842" spans="1:45">
      <c r="A842" s="291"/>
      <c r="B842" s="292"/>
      <c r="C842" s="293"/>
      <c r="D842" s="293"/>
      <c r="E842" s="293"/>
      <c r="F842" s="293"/>
      <c r="G842" s="294"/>
      <c r="H842" s="300"/>
      <c r="I842" s="295"/>
      <c r="J842" s="295"/>
      <c r="K842" s="296"/>
      <c r="L842" s="301"/>
      <c r="M842" s="297"/>
      <c r="N842" s="298"/>
      <c r="P842" s="190" t="str">
        <f>IF(R842 = "", "", COUNT(R$4:$R842))</f>
        <v/>
      </c>
      <c r="Q842" s="190" t="str">
        <f t="shared" si="131"/>
        <v/>
      </c>
      <c r="R842" s="191" t="str">
        <f t="shared" si="132"/>
        <v/>
      </c>
      <c r="S842" s="192" t="str">
        <f t="shared" si="134"/>
        <v/>
      </c>
      <c r="T842" s="193" t="str">
        <f t="shared" si="135"/>
        <v/>
      </c>
      <c r="U842" s="194" t="str">
        <f t="shared" si="136"/>
        <v/>
      </c>
      <c r="V842" s="195" t="str">
        <f t="shared" si="133"/>
        <v/>
      </c>
      <c r="W842" s="336" t="str">
        <f t="shared" si="137"/>
        <v/>
      </c>
      <c r="X842" s="338" t="str">
        <f t="shared" si="138"/>
        <v/>
      </c>
      <c r="Y842" s="274"/>
      <c r="AR842" t="str">
        <f t="shared" si="139"/>
        <v/>
      </c>
      <c r="AS842" t="str">
        <f t="shared" si="140"/>
        <v/>
      </c>
    </row>
    <row r="843" spans="1:45">
      <c r="A843" s="291"/>
      <c r="B843" s="292"/>
      <c r="C843" s="293"/>
      <c r="D843" s="293"/>
      <c r="E843" s="293"/>
      <c r="F843" s="293"/>
      <c r="G843" s="294"/>
      <c r="H843" s="300"/>
      <c r="I843" s="295"/>
      <c r="J843" s="295"/>
      <c r="K843" s="296"/>
      <c r="L843" s="301"/>
      <c r="M843" s="297"/>
      <c r="N843" s="298"/>
      <c r="P843" s="190" t="str">
        <f>IF(R843 = "", "", COUNT(R$4:$R843))</f>
        <v/>
      </c>
      <c r="Q843" s="190" t="str">
        <f t="shared" si="131"/>
        <v/>
      </c>
      <c r="R843" s="191" t="str">
        <f t="shared" si="132"/>
        <v/>
      </c>
      <c r="S843" s="192" t="str">
        <f t="shared" si="134"/>
        <v/>
      </c>
      <c r="T843" s="193" t="str">
        <f t="shared" si="135"/>
        <v/>
      </c>
      <c r="U843" s="194" t="str">
        <f t="shared" si="136"/>
        <v/>
      </c>
      <c r="V843" s="195" t="str">
        <f t="shared" si="133"/>
        <v/>
      </c>
      <c r="W843" s="336" t="str">
        <f t="shared" si="137"/>
        <v/>
      </c>
      <c r="X843" s="338" t="str">
        <f t="shared" si="138"/>
        <v/>
      </c>
      <c r="Y843" s="274"/>
      <c r="AR843" t="str">
        <f t="shared" si="139"/>
        <v/>
      </c>
      <c r="AS843" t="str">
        <f t="shared" si="140"/>
        <v/>
      </c>
    </row>
    <row r="844" spans="1:45">
      <c r="A844" s="291"/>
      <c r="B844" s="292"/>
      <c r="C844" s="293"/>
      <c r="D844" s="293"/>
      <c r="E844" s="293"/>
      <c r="F844" s="293"/>
      <c r="G844" s="294"/>
      <c r="H844" s="300"/>
      <c r="I844" s="295"/>
      <c r="J844" s="295"/>
      <c r="K844" s="296"/>
      <c r="L844" s="301"/>
      <c r="M844" s="297"/>
      <c r="N844" s="298"/>
      <c r="P844" s="190" t="str">
        <f>IF(R844 = "", "", COUNT(R$4:$R844))</f>
        <v/>
      </c>
      <c r="Q844" s="190" t="str">
        <f t="shared" si="131"/>
        <v/>
      </c>
      <c r="R844" s="191" t="str">
        <f t="shared" si="132"/>
        <v/>
      </c>
      <c r="S844" s="192" t="str">
        <f t="shared" si="134"/>
        <v/>
      </c>
      <c r="T844" s="193" t="str">
        <f t="shared" si="135"/>
        <v/>
      </c>
      <c r="U844" s="194" t="str">
        <f t="shared" si="136"/>
        <v/>
      </c>
      <c r="V844" s="195" t="str">
        <f t="shared" si="133"/>
        <v/>
      </c>
      <c r="W844" s="336" t="str">
        <f t="shared" si="137"/>
        <v/>
      </c>
      <c r="X844" s="338" t="str">
        <f t="shared" si="138"/>
        <v/>
      </c>
      <c r="Y844" s="274"/>
      <c r="AR844" t="str">
        <f t="shared" si="139"/>
        <v/>
      </c>
      <c r="AS844" t="str">
        <f t="shared" si="140"/>
        <v/>
      </c>
    </row>
    <row r="845" spans="1:45">
      <c r="A845" s="291"/>
      <c r="B845" s="292"/>
      <c r="C845" s="293"/>
      <c r="D845" s="293"/>
      <c r="E845" s="293"/>
      <c r="F845" s="293"/>
      <c r="G845" s="294"/>
      <c r="H845" s="300"/>
      <c r="I845" s="295"/>
      <c r="J845" s="295"/>
      <c r="K845" s="296"/>
      <c r="L845" s="301"/>
      <c r="M845" s="297"/>
      <c r="N845" s="298"/>
      <c r="P845" s="190" t="str">
        <f>IF(R845 = "", "", COUNT(R$4:$R845))</f>
        <v/>
      </c>
      <c r="Q845" s="190" t="str">
        <f t="shared" si="131"/>
        <v/>
      </c>
      <c r="R845" s="191" t="str">
        <f t="shared" si="132"/>
        <v/>
      </c>
      <c r="S845" s="192" t="str">
        <f t="shared" si="134"/>
        <v/>
      </c>
      <c r="T845" s="193" t="str">
        <f t="shared" si="135"/>
        <v/>
      </c>
      <c r="U845" s="194" t="str">
        <f t="shared" si="136"/>
        <v/>
      </c>
      <c r="V845" s="195" t="str">
        <f t="shared" si="133"/>
        <v/>
      </c>
      <c r="W845" s="336" t="str">
        <f t="shared" si="137"/>
        <v/>
      </c>
      <c r="X845" s="338" t="str">
        <f t="shared" si="138"/>
        <v/>
      </c>
      <c r="Y845" s="274"/>
      <c r="AR845" t="str">
        <f t="shared" si="139"/>
        <v/>
      </c>
      <c r="AS845" t="str">
        <f t="shared" si="140"/>
        <v/>
      </c>
    </row>
    <row r="846" spans="1:45">
      <c r="A846" s="291"/>
      <c r="B846" s="292"/>
      <c r="C846" s="293"/>
      <c r="D846" s="293"/>
      <c r="E846" s="293"/>
      <c r="F846" s="293"/>
      <c r="G846" s="294"/>
      <c r="H846" s="300"/>
      <c r="I846" s="295"/>
      <c r="J846" s="295"/>
      <c r="K846" s="296"/>
      <c r="L846" s="301"/>
      <c r="M846" s="297"/>
      <c r="N846" s="298"/>
      <c r="P846" s="190" t="str">
        <f>IF(R846 = "", "", COUNT(R$4:$R846))</f>
        <v/>
      </c>
      <c r="Q846" s="190" t="str">
        <f t="shared" si="131"/>
        <v/>
      </c>
      <c r="R846" s="191" t="str">
        <f t="shared" si="132"/>
        <v/>
      </c>
      <c r="S846" s="192" t="str">
        <f t="shared" si="134"/>
        <v/>
      </c>
      <c r="T846" s="193" t="str">
        <f t="shared" si="135"/>
        <v/>
      </c>
      <c r="U846" s="194" t="str">
        <f t="shared" si="136"/>
        <v/>
      </c>
      <c r="V846" s="195" t="str">
        <f t="shared" si="133"/>
        <v/>
      </c>
      <c r="W846" s="336" t="str">
        <f t="shared" si="137"/>
        <v/>
      </c>
      <c r="X846" s="338" t="str">
        <f t="shared" si="138"/>
        <v/>
      </c>
      <c r="Y846" s="274"/>
      <c r="AR846" t="str">
        <f t="shared" si="139"/>
        <v/>
      </c>
      <c r="AS846" t="str">
        <f t="shared" si="140"/>
        <v/>
      </c>
    </row>
    <row r="847" spans="1:45">
      <c r="A847" s="291"/>
      <c r="B847" s="292"/>
      <c r="C847" s="293"/>
      <c r="D847" s="293"/>
      <c r="E847" s="293"/>
      <c r="F847" s="293"/>
      <c r="G847" s="294"/>
      <c r="H847" s="300"/>
      <c r="I847" s="295"/>
      <c r="J847" s="295"/>
      <c r="K847" s="296"/>
      <c r="L847" s="301"/>
      <c r="M847" s="297"/>
      <c r="N847" s="298"/>
      <c r="P847" s="190" t="str">
        <f>IF(R847 = "", "", COUNT(R$4:$R847))</f>
        <v/>
      </c>
      <c r="Q847" s="190" t="str">
        <f t="shared" si="131"/>
        <v/>
      </c>
      <c r="R847" s="191" t="str">
        <f t="shared" si="132"/>
        <v/>
      </c>
      <c r="S847" s="192" t="str">
        <f t="shared" si="134"/>
        <v/>
      </c>
      <c r="T847" s="193" t="str">
        <f t="shared" si="135"/>
        <v/>
      </c>
      <c r="U847" s="194" t="str">
        <f t="shared" si="136"/>
        <v/>
      </c>
      <c r="V847" s="195" t="str">
        <f t="shared" si="133"/>
        <v/>
      </c>
      <c r="W847" s="336" t="str">
        <f t="shared" si="137"/>
        <v/>
      </c>
      <c r="X847" s="338" t="str">
        <f t="shared" si="138"/>
        <v/>
      </c>
      <c r="Y847" s="274"/>
      <c r="AR847" t="str">
        <f t="shared" si="139"/>
        <v/>
      </c>
      <c r="AS847" t="str">
        <f t="shared" si="140"/>
        <v/>
      </c>
    </row>
    <row r="848" spans="1:45">
      <c r="A848" s="291"/>
      <c r="B848" s="292"/>
      <c r="C848" s="293"/>
      <c r="D848" s="293"/>
      <c r="E848" s="293"/>
      <c r="F848" s="293"/>
      <c r="G848" s="294"/>
      <c r="H848" s="300"/>
      <c r="I848" s="295"/>
      <c r="J848" s="295"/>
      <c r="K848" s="296"/>
      <c r="L848" s="301"/>
      <c r="M848" s="297"/>
      <c r="N848" s="298"/>
      <c r="P848" s="190" t="str">
        <f>IF(R848 = "", "", COUNT(R$4:$R848))</f>
        <v/>
      </c>
      <c r="Q848" s="190" t="str">
        <f t="shared" si="131"/>
        <v/>
      </c>
      <c r="R848" s="191" t="str">
        <f t="shared" si="132"/>
        <v/>
      </c>
      <c r="S848" s="192" t="str">
        <f t="shared" si="134"/>
        <v/>
      </c>
      <c r="T848" s="193" t="str">
        <f t="shared" si="135"/>
        <v/>
      </c>
      <c r="U848" s="194" t="str">
        <f t="shared" si="136"/>
        <v/>
      </c>
      <c r="V848" s="195" t="str">
        <f t="shared" si="133"/>
        <v/>
      </c>
      <c r="W848" s="336" t="str">
        <f t="shared" si="137"/>
        <v/>
      </c>
      <c r="X848" s="338" t="str">
        <f t="shared" si="138"/>
        <v/>
      </c>
      <c r="Y848" s="274"/>
      <c r="AR848" t="str">
        <f t="shared" si="139"/>
        <v/>
      </c>
      <c r="AS848" t="str">
        <f t="shared" si="140"/>
        <v/>
      </c>
    </row>
    <row r="849" spans="1:45">
      <c r="A849" s="291"/>
      <c r="B849" s="292"/>
      <c r="C849" s="293"/>
      <c r="D849" s="293"/>
      <c r="E849" s="293"/>
      <c r="F849" s="293"/>
      <c r="G849" s="294"/>
      <c r="H849" s="300"/>
      <c r="I849" s="295"/>
      <c r="J849" s="295"/>
      <c r="K849" s="296"/>
      <c r="L849" s="301"/>
      <c r="M849" s="297"/>
      <c r="N849" s="298"/>
      <c r="P849" s="190" t="str">
        <f>IF(R849 = "", "", COUNT(R$4:$R849))</f>
        <v/>
      </c>
      <c r="Q849" s="190" t="str">
        <f t="shared" si="131"/>
        <v/>
      </c>
      <c r="R849" s="191" t="str">
        <f t="shared" si="132"/>
        <v/>
      </c>
      <c r="S849" s="192" t="str">
        <f t="shared" si="134"/>
        <v/>
      </c>
      <c r="T849" s="193" t="str">
        <f t="shared" si="135"/>
        <v/>
      </c>
      <c r="U849" s="194" t="str">
        <f t="shared" si="136"/>
        <v/>
      </c>
      <c r="V849" s="195" t="str">
        <f t="shared" si="133"/>
        <v/>
      </c>
      <c r="W849" s="336" t="str">
        <f t="shared" si="137"/>
        <v/>
      </c>
      <c r="X849" s="338" t="str">
        <f t="shared" si="138"/>
        <v/>
      </c>
      <c r="Y849" s="274"/>
      <c r="AR849" t="str">
        <f t="shared" si="139"/>
        <v/>
      </c>
      <c r="AS849" t="str">
        <f t="shared" si="140"/>
        <v/>
      </c>
    </row>
    <row r="850" spans="1:45">
      <c r="A850" s="291"/>
      <c r="B850" s="292"/>
      <c r="C850" s="293"/>
      <c r="D850" s="293"/>
      <c r="E850" s="293"/>
      <c r="F850" s="293"/>
      <c r="G850" s="294"/>
      <c r="H850" s="300"/>
      <c r="I850" s="295"/>
      <c r="J850" s="295"/>
      <c r="K850" s="296"/>
      <c r="L850" s="301"/>
      <c r="M850" s="297"/>
      <c r="N850" s="298"/>
      <c r="P850" s="190" t="str">
        <f>IF(R850 = "", "", COUNT(R$4:$R850))</f>
        <v/>
      </c>
      <c r="Q850" s="190" t="str">
        <f t="shared" si="131"/>
        <v/>
      </c>
      <c r="R850" s="191" t="str">
        <f t="shared" si="132"/>
        <v/>
      </c>
      <c r="S850" s="192" t="str">
        <f t="shared" si="134"/>
        <v/>
      </c>
      <c r="T850" s="193" t="str">
        <f t="shared" si="135"/>
        <v/>
      </c>
      <c r="U850" s="194" t="str">
        <f t="shared" si="136"/>
        <v/>
      </c>
      <c r="V850" s="195" t="str">
        <f t="shared" si="133"/>
        <v/>
      </c>
      <c r="W850" s="336" t="str">
        <f t="shared" si="137"/>
        <v/>
      </c>
      <c r="X850" s="338" t="str">
        <f t="shared" si="138"/>
        <v/>
      </c>
      <c r="Y850" s="274"/>
      <c r="AR850" t="str">
        <f t="shared" si="139"/>
        <v/>
      </c>
      <c r="AS850" t="str">
        <f t="shared" si="140"/>
        <v/>
      </c>
    </row>
    <row r="851" spans="1:45">
      <c r="A851" s="291"/>
      <c r="B851" s="292"/>
      <c r="C851" s="293"/>
      <c r="D851" s="293"/>
      <c r="E851" s="293"/>
      <c r="F851" s="293"/>
      <c r="G851" s="294"/>
      <c r="H851" s="300"/>
      <c r="I851" s="295"/>
      <c r="J851" s="295"/>
      <c r="K851" s="296"/>
      <c r="L851" s="301"/>
      <c r="M851" s="297"/>
      <c r="N851" s="298"/>
      <c r="P851" s="190" t="str">
        <f>IF(R851 = "", "", COUNT(R$4:$R851))</f>
        <v/>
      </c>
      <c r="Q851" s="190" t="str">
        <f t="shared" si="131"/>
        <v/>
      </c>
      <c r="R851" s="191" t="str">
        <f t="shared" si="132"/>
        <v/>
      </c>
      <c r="S851" s="192" t="str">
        <f t="shared" si="134"/>
        <v/>
      </c>
      <c r="T851" s="193" t="str">
        <f t="shared" si="135"/>
        <v/>
      </c>
      <c r="U851" s="194" t="str">
        <f t="shared" si="136"/>
        <v/>
      </c>
      <c r="V851" s="195" t="str">
        <f t="shared" si="133"/>
        <v/>
      </c>
      <c r="W851" s="336" t="str">
        <f t="shared" si="137"/>
        <v/>
      </c>
      <c r="X851" s="338" t="str">
        <f t="shared" si="138"/>
        <v/>
      </c>
      <c r="Y851" s="274"/>
      <c r="AR851" t="str">
        <f t="shared" si="139"/>
        <v/>
      </c>
      <c r="AS851" t="str">
        <f t="shared" si="140"/>
        <v/>
      </c>
    </row>
    <row r="852" spans="1:45">
      <c r="A852" s="291"/>
      <c r="B852" s="292"/>
      <c r="C852" s="293"/>
      <c r="D852" s="293"/>
      <c r="E852" s="293"/>
      <c r="F852" s="293"/>
      <c r="G852" s="294"/>
      <c r="H852" s="300"/>
      <c r="I852" s="295"/>
      <c r="J852" s="295"/>
      <c r="K852" s="296"/>
      <c r="L852" s="301"/>
      <c r="M852" s="297"/>
      <c r="N852" s="298"/>
      <c r="P852" s="190" t="str">
        <f>IF(R852 = "", "", COUNT(R$4:$R852))</f>
        <v/>
      </c>
      <c r="Q852" s="190" t="str">
        <f t="shared" si="131"/>
        <v/>
      </c>
      <c r="R852" s="191" t="str">
        <f t="shared" si="132"/>
        <v/>
      </c>
      <c r="S852" s="192" t="str">
        <f t="shared" si="134"/>
        <v/>
      </c>
      <c r="T852" s="193" t="str">
        <f t="shared" si="135"/>
        <v/>
      </c>
      <c r="U852" s="194" t="str">
        <f t="shared" si="136"/>
        <v/>
      </c>
      <c r="V852" s="195" t="str">
        <f t="shared" si="133"/>
        <v/>
      </c>
      <c r="W852" s="336" t="str">
        <f t="shared" si="137"/>
        <v/>
      </c>
      <c r="X852" s="338" t="str">
        <f t="shared" si="138"/>
        <v/>
      </c>
      <c r="Y852" s="274"/>
      <c r="AR852" t="str">
        <f t="shared" si="139"/>
        <v/>
      </c>
      <c r="AS852" t="str">
        <f t="shared" si="140"/>
        <v/>
      </c>
    </row>
    <row r="853" spans="1:45">
      <c r="A853" s="291"/>
      <c r="B853" s="292"/>
      <c r="C853" s="293"/>
      <c r="D853" s="293"/>
      <c r="E853" s="293"/>
      <c r="F853" s="293"/>
      <c r="G853" s="294"/>
      <c r="H853" s="300"/>
      <c r="I853" s="295"/>
      <c r="J853" s="295"/>
      <c r="K853" s="296"/>
      <c r="L853" s="301"/>
      <c r="M853" s="297"/>
      <c r="N853" s="298"/>
      <c r="P853" s="190" t="str">
        <f>IF(R853 = "", "", COUNT(R$4:$R853))</f>
        <v/>
      </c>
      <c r="Q853" s="190" t="str">
        <f t="shared" si="131"/>
        <v/>
      </c>
      <c r="R853" s="191" t="str">
        <f t="shared" si="132"/>
        <v/>
      </c>
      <c r="S853" s="192" t="str">
        <f t="shared" si="134"/>
        <v/>
      </c>
      <c r="T853" s="193" t="str">
        <f t="shared" si="135"/>
        <v/>
      </c>
      <c r="U853" s="194" t="str">
        <f t="shared" si="136"/>
        <v/>
      </c>
      <c r="V853" s="195" t="str">
        <f t="shared" si="133"/>
        <v/>
      </c>
      <c r="W853" s="336" t="str">
        <f t="shared" si="137"/>
        <v/>
      </c>
      <c r="X853" s="338" t="str">
        <f t="shared" si="138"/>
        <v/>
      </c>
      <c r="Y853" s="274"/>
      <c r="AR853" t="str">
        <f t="shared" si="139"/>
        <v/>
      </c>
      <c r="AS853" t="str">
        <f t="shared" si="140"/>
        <v/>
      </c>
    </row>
    <row r="854" spans="1:45">
      <c r="A854" s="291"/>
      <c r="B854" s="292"/>
      <c r="C854" s="293"/>
      <c r="D854" s="293"/>
      <c r="E854" s="293"/>
      <c r="F854" s="293"/>
      <c r="G854" s="294"/>
      <c r="H854" s="300"/>
      <c r="I854" s="295"/>
      <c r="J854" s="295"/>
      <c r="K854" s="296"/>
      <c r="L854" s="301"/>
      <c r="M854" s="297"/>
      <c r="N854" s="298"/>
      <c r="P854" s="190" t="str">
        <f>IF(R854 = "", "", COUNT(R$4:$R854))</f>
        <v/>
      </c>
      <c r="Q854" s="190" t="str">
        <f t="shared" si="131"/>
        <v/>
      </c>
      <c r="R854" s="191" t="str">
        <f t="shared" si="132"/>
        <v/>
      </c>
      <c r="S854" s="192" t="str">
        <f t="shared" si="134"/>
        <v/>
      </c>
      <c r="T854" s="193" t="str">
        <f t="shared" si="135"/>
        <v/>
      </c>
      <c r="U854" s="194" t="str">
        <f t="shared" si="136"/>
        <v/>
      </c>
      <c r="V854" s="195" t="str">
        <f t="shared" si="133"/>
        <v/>
      </c>
      <c r="W854" s="336" t="str">
        <f t="shared" si="137"/>
        <v/>
      </c>
      <c r="X854" s="338" t="str">
        <f t="shared" si="138"/>
        <v/>
      </c>
      <c r="Y854" s="274"/>
      <c r="AR854" t="str">
        <f t="shared" si="139"/>
        <v/>
      </c>
      <c r="AS854" t="str">
        <f t="shared" si="140"/>
        <v/>
      </c>
    </row>
    <row r="855" spans="1:45">
      <c r="A855" s="291"/>
      <c r="B855" s="292"/>
      <c r="C855" s="293"/>
      <c r="D855" s="293"/>
      <c r="E855" s="293"/>
      <c r="F855" s="293"/>
      <c r="G855" s="294"/>
      <c r="H855" s="300"/>
      <c r="I855" s="295"/>
      <c r="J855" s="295"/>
      <c r="K855" s="296"/>
      <c r="L855" s="301"/>
      <c r="M855" s="297"/>
      <c r="N855" s="298"/>
      <c r="P855" s="190" t="str">
        <f>IF(R855 = "", "", COUNT(R$4:$R855))</f>
        <v/>
      </c>
      <c r="Q855" s="190" t="str">
        <f t="shared" si="131"/>
        <v/>
      </c>
      <c r="R855" s="191" t="str">
        <f t="shared" si="132"/>
        <v/>
      </c>
      <c r="S855" s="192" t="str">
        <f t="shared" si="134"/>
        <v/>
      </c>
      <c r="T855" s="193" t="str">
        <f t="shared" si="135"/>
        <v/>
      </c>
      <c r="U855" s="194" t="str">
        <f t="shared" si="136"/>
        <v/>
      </c>
      <c r="V855" s="195" t="str">
        <f t="shared" si="133"/>
        <v/>
      </c>
      <c r="W855" s="336" t="str">
        <f t="shared" si="137"/>
        <v/>
      </c>
      <c r="X855" s="338" t="str">
        <f t="shared" si="138"/>
        <v/>
      </c>
      <c r="Y855" s="274"/>
      <c r="AR855" t="str">
        <f t="shared" si="139"/>
        <v/>
      </c>
      <c r="AS855" t="str">
        <f t="shared" si="140"/>
        <v/>
      </c>
    </row>
    <row r="856" spans="1:45">
      <c r="A856" s="291"/>
      <c r="B856" s="292"/>
      <c r="C856" s="293"/>
      <c r="D856" s="293"/>
      <c r="E856" s="293"/>
      <c r="F856" s="293"/>
      <c r="G856" s="294"/>
      <c r="H856" s="300"/>
      <c r="I856" s="295"/>
      <c r="J856" s="295"/>
      <c r="K856" s="296"/>
      <c r="L856" s="301"/>
      <c r="M856" s="297"/>
      <c r="N856" s="298"/>
      <c r="P856" s="190" t="str">
        <f>IF(R856 = "", "", COUNT(R$4:$R856))</f>
        <v/>
      </c>
      <c r="Q856" s="190" t="str">
        <f t="shared" si="131"/>
        <v/>
      </c>
      <c r="R856" s="191" t="str">
        <f t="shared" si="132"/>
        <v/>
      </c>
      <c r="S856" s="192" t="str">
        <f t="shared" si="134"/>
        <v/>
      </c>
      <c r="T856" s="193" t="str">
        <f t="shared" si="135"/>
        <v/>
      </c>
      <c r="U856" s="194" t="str">
        <f t="shared" si="136"/>
        <v/>
      </c>
      <c r="V856" s="195" t="str">
        <f t="shared" si="133"/>
        <v/>
      </c>
      <c r="W856" s="336" t="str">
        <f t="shared" si="137"/>
        <v/>
      </c>
      <c r="X856" s="338" t="str">
        <f t="shared" si="138"/>
        <v/>
      </c>
      <c r="Y856" s="274"/>
      <c r="AR856" t="str">
        <f t="shared" si="139"/>
        <v/>
      </c>
      <c r="AS856" t="str">
        <f t="shared" si="140"/>
        <v/>
      </c>
    </row>
    <row r="857" spans="1:45">
      <c r="A857" s="291"/>
      <c r="B857" s="292"/>
      <c r="C857" s="293"/>
      <c r="D857" s="293"/>
      <c r="E857" s="293"/>
      <c r="F857" s="293"/>
      <c r="G857" s="294"/>
      <c r="H857" s="300"/>
      <c r="I857" s="295"/>
      <c r="J857" s="295"/>
      <c r="K857" s="296"/>
      <c r="L857" s="301"/>
      <c r="M857" s="297"/>
      <c r="N857" s="298"/>
      <c r="P857" s="190" t="str">
        <f>IF(R857 = "", "", COUNT(R$4:$R857))</f>
        <v/>
      </c>
      <c r="Q857" s="190" t="str">
        <f t="shared" si="131"/>
        <v/>
      </c>
      <c r="R857" s="191" t="str">
        <f t="shared" si="132"/>
        <v/>
      </c>
      <c r="S857" s="192" t="str">
        <f t="shared" si="134"/>
        <v/>
      </c>
      <c r="T857" s="193" t="str">
        <f t="shared" si="135"/>
        <v/>
      </c>
      <c r="U857" s="194" t="str">
        <f t="shared" si="136"/>
        <v/>
      </c>
      <c r="V857" s="195" t="str">
        <f t="shared" si="133"/>
        <v/>
      </c>
      <c r="W857" s="336" t="str">
        <f t="shared" si="137"/>
        <v/>
      </c>
      <c r="X857" s="338" t="str">
        <f t="shared" si="138"/>
        <v/>
      </c>
      <c r="Y857" s="274"/>
      <c r="AR857" t="str">
        <f t="shared" si="139"/>
        <v/>
      </c>
      <c r="AS857" t="str">
        <f t="shared" si="140"/>
        <v/>
      </c>
    </row>
    <row r="858" spans="1:45">
      <c r="A858" s="291"/>
      <c r="B858" s="292"/>
      <c r="C858" s="293"/>
      <c r="D858" s="293"/>
      <c r="E858" s="293"/>
      <c r="F858" s="293"/>
      <c r="G858" s="294"/>
      <c r="H858" s="300"/>
      <c r="I858" s="295"/>
      <c r="J858" s="295"/>
      <c r="K858" s="296"/>
      <c r="L858" s="301"/>
      <c r="M858" s="297"/>
      <c r="N858" s="298"/>
      <c r="P858" s="190" t="str">
        <f>IF(R858 = "", "", COUNT(R$4:$R858))</f>
        <v/>
      </c>
      <c r="Q858" s="190" t="str">
        <f t="shared" si="131"/>
        <v/>
      </c>
      <c r="R858" s="191" t="str">
        <f t="shared" si="132"/>
        <v/>
      </c>
      <c r="S858" s="192" t="str">
        <f t="shared" si="134"/>
        <v/>
      </c>
      <c r="T858" s="193" t="str">
        <f t="shared" si="135"/>
        <v/>
      </c>
      <c r="U858" s="194" t="str">
        <f t="shared" si="136"/>
        <v/>
      </c>
      <c r="V858" s="195" t="str">
        <f t="shared" si="133"/>
        <v/>
      </c>
      <c r="W858" s="336" t="str">
        <f t="shared" si="137"/>
        <v/>
      </c>
      <c r="X858" s="338" t="str">
        <f t="shared" si="138"/>
        <v/>
      </c>
      <c r="Y858" s="274"/>
      <c r="AR858" t="str">
        <f t="shared" si="139"/>
        <v/>
      </c>
      <c r="AS858" t="str">
        <f t="shared" si="140"/>
        <v/>
      </c>
    </row>
    <row r="859" spans="1:45">
      <c r="A859" s="291"/>
      <c r="B859" s="292"/>
      <c r="C859" s="293"/>
      <c r="D859" s="293"/>
      <c r="E859" s="293"/>
      <c r="F859" s="293"/>
      <c r="G859" s="294"/>
      <c r="H859" s="300"/>
      <c r="I859" s="295"/>
      <c r="J859" s="295"/>
      <c r="K859" s="296"/>
      <c r="L859" s="301"/>
      <c r="M859" s="297"/>
      <c r="N859" s="298"/>
      <c r="P859" s="190" t="str">
        <f>IF(R859 = "", "", COUNT(R$4:$R859))</f>
        <v/>
      </c>
      <c r="Q859" s="190" t="str">
        <f t="shared" si="131"/>
        <v/>
      </c>
      <c r="R859" s="191" t="str">
        <f t="shared" si="132"/>
        <v/>
      </c>
      <c r="S859" s="192" t="str">
        <f t="shared" si="134"/>
        <v/>
      </c>
      <c r="T859" s="193" t="str">
        <f t="shared" si="135"/>
        <v/>
      </c>
      <c r="U859" s="194" t="str">
        <f t="shared" si="136"/>
        <v/>
      </c>
      <c r="V859" s="195" t="str">
        <f t="shared" si="133"/>
        <v/>
      </c>
      <c r="W859" s="336" t="str">
        <f t="shared" si="137"/>
        <v/>
      </c>
      <c r="X859" s="338" t="str">
        <f t="shared" si="138"/>
        <v/>
      </c>
      <c r="Y859" s="274"/>
      <c r="AR859" t="str">
        <f t="shared" si="139"/>
        <v/>
      </c>
      <c r="AS859" t="str">
        <f t="shared" si="140"/>
        <v/>
      </c>
    </row>
    <row r="860" spans="1:45">
      <c r="A860" s="291"/>
      <c r="B860" s="292"/>
      <c r="C860" s="293"/>
      <c r="D860" s="293"/>
      <c r="E860" s="293"/>
      <c r="F860" s="293"/>
      <c r="G860" s="294"/>
      <c r="H860" s="300"/>
      <c r="I860" s="295"/>
      <c r="J860" s="295"/>
      <c r="K860" s="296"/>
      <c r="L860" s="301"/>
      <c r="M860" s="297"/>
      <c r="N860" s="298"/>
      <c r="P860" s="190" t="str">
        <f>IF(R860 = "", "", COUNT(R$4:$R860))</f>
        <v/>
      </c>
      <c r="Q860" s="190" t="str">
        <f t="shared" si="131"/>
        <v/>
      </c>
      <c r="R860" s="191" t="str">
        <f t="shared" si="132"/>
        <v/>
      </c>
      <c r="S860" s="192" t="str">
        <f t="shared" si="134"/>
        <v/>
      </c>
      <c r="T860" s="193" t="str">
        <f t="shared" si="135"/>
        <v/>
      </c>
      <c r="U860" s="194" t="str">
        <f t="shared" si="136"/>
        <v/>
      </c>
      <c r="V860" s="195" t="str">
        <f t="shared" si="133"/>
        <v/>
      </c>
      <c r="W860" s="336" t="str">
        <f t="shared" si="137"/>
        <v/>
      </c>
      <c r="X860" s="338" t="str">
        <f t="shared" si="138"/>
        <v/>
      </c>
      <c r="Y860" s="274"/>
      <c r="AR860" t="str">
        <f t="shared" si="139"/>
        <v/>
      </c>
      <c r="AS860" t="str">
        <f t="shared" si="140"/>
        <v/>
      </c>
    </row>
    <row r="861" spans="1:45">
      <c r="A861" s="291"/>
      <c r="B861" s="292"/>
      <c r="C861" s="293"/>
      <c r="D861" s="293"/>
      <c r="E861" s="293"/>
      <c r="F861" s="293"/>
      <c r="G861" s="294"/>
      <c r="H861" s="300"/>
      <c r="I861" s="295"/>
      <c r="J861" s="295"/>
      <c r="K861" s="296"/>
      <c r="L861" s="301"/>
      <c r="M861" s="297"/>
      <c r="N861" s="298"/>
      <c r="P861" s="190" t="str">
        <f>IF(R861 = "", "", COUNT(R$4:$R861))</f>
        <v/>
      </c>
      <c r="Q861" s="190" t="str">
        <f t="shared" si="131"/>
        <v/>
      </c>
      <c r="R861" s="191" t="str">
        <f t="shared" si="132"/>
        <v/>
      </c>
      <c r="S861" s="192" t="str">
        <f t="shared" si="134"/>
        <v/>
      </c>
      <c r="T861" s="193" t="str">
        <f t="shared" si="135"/>
        <v/>
      </c>
      <c r="U861" s="194" t="str">
        <f t="shared" si="136"/>
        <v/>
      </c>
      <c r="V861" s="195" t="str">
        <f t="shared" si="133"/>
        <v/>
      </c>
      <c r="W861" s="336" t="str">
        <f t="shared" si="137"/>
        <v/>
      </c>
      <c r="X861" s="338" t="str">
        <f t="shared" si="138"/>
        <v/>
      </c>
      <c r="Y861" s="274"/>
      <c r="AR861" t="str">
        <f t="shared" si="139"/>
        <v/>
      </c>
      <c r="AS861" t="str">
        <f t="shared" si="140"/>
        <v/>
      </c>
    </row>
    <row r="862" spans="1:45">
      <c r="A862" s="291"/>
      <c r="B862" s="292"/>
      <c r="C862" s="293"/>
      <c r="D862" s="293"/>
      <c r="E862" s="293"/>
      <c r="F862" s="293"/>
      <c r="G862" s="294"/>
      <c r="H862" s="300"/>
      <c r="I862" s="295"/>
      <c r="J862" s="295"/>
      <c r="K862" s="296"/>
      <c r="L862" s="301"/>
      <c r="M862" s="297"/>
      <c r="N862" s="298"/>
      <c r="P862" s="190" t="str">
        <f>IF(R862 = "", "", COUNT(R$4:$R862))</f>
        <v/>
      </c>
      <c r="Q862" s="190" t="str">
        <f t="shared" si="131"/>
        <v/>
      </c>
      <c r="R862" s="191" t="str">
        <f t="shared" si="132"/>
        <v/>
      </c>
      <c r="S862" s="192" t="str">
        <f t="shared" si="134"/>
        <v/>
      </c>
      <c r="T862" s="193" t="str">
        <f t="shared" si="135"/>
        <v/>
      </c>
      <c r="U862" s="194" t="str">
        <f t="shared" si="136"/>
        <v/>
      </c>
      <c r="V862" s="195" t="str">
        <f t="shared" si="133"/>
        <v/>
      </c>
      <c r="W862" s="336" t="str">
        <f t="shared" si="137"/>
        <v/>
      </c>
      <c r="X862" s="338" t="str">
        <f t="shared" si="138"/>
        <v/>
      </c>
      <c r="Y862" s="274"/>
      <c r="AR862" t="str">
        <f t="shared" si="139"/>
        <v/>
      </c>
      <c r="AS862" t="str">
        <f t="shared" si="140"/>
        <v/>
      </c>
    </row>
    <row r="863" spans="1:45">
      <c r="A863" s="291"/>
      <c r="B863" s="292"/>
      <c r="C863" s="293"/>
      <c r="D863" s="293"/>
      <c r="E863" s="293"/>
      <c r="F863" s="293"/>
      <c r="G863" s="294"/>
      <c r="H863" s="300"/>
      <c r="I863" s="295"/>
      <c r="J863" s="295"/>
      <c r="K863" s="296"/>
      <c r="L863" s="301"/>
      <c r="M863" s="297"/>
      <c r="N863" s="298"/>
      <c r="P863" s="190" t="str">
        <f>IF(R863 = "", "", COUNT(R$4:$R863))</f>
        <v/>
      </c>
      <c r="Q863" s="190" t="str">
        <f t="shared" si="131"/>
        <v/>
      </c>
      <c r="R863" s="191" t="str">
        <f t="shared" si="132"/>
        <v/>
      </c>
      <c r="S863" s="192" t="str">
        <f t="shared" si="134"/>
        <v/>
      </c>
      <c r="T863" s="193" t="str">
        <f t="shared" si="135"/>
        <v/>
      </c>
      <c r="U863" s="194" t="str">
        <f t="shared" si="136"/>
        <v/>
      </c>
      <c r="V863" s="195" t="str">
        <f t="shared" si="133"/>
        <v/>
      </c>
      <c r="W863" s="336" t="str">
        <f t="shared" si="137"/>
        <v/>
      </c>
      <c r="X863" s="338" t="str">
        <f t="shared" si="138"/>
        <v/>
      </c>
      <c r="Y863" s="274"/>
      <c r="AR863" t="str">
        <f t="shared" si="139"/>
        <v/>
      </c>
      <c r="AS863" t="str">
        <f t="shared" si="140"/>
        <v/>
      </c>
    </row>
    <row r="864" spans="1:45">
      <c r="A864" s="291"/>
      <c r="B864" s="292"/>
      <c r="C864" s="293"/>
      <c r="D864" s="293"/>
      <c r="E864" s="293"/>
      <c r="F864" s="293"/>
      <c r="G864" s="294"/>
      <c r="H864" s="300"/>
      <c r="I864" s="295"/>
      <c r="J864" s="295"/>
      <c r="K864" s="296"/>
      <c r="L864" s="301"/>
      <c r="M864" s="297"/>
      <c r="N864" s="298"/>
      <c r="P864" s="190" t="str">
        <f>IF(R864 = "", "", COUNT(R$4:$R864))</f>
        <v/>
      </c>
      <c r="Q864" s="190" t="str">
        <f t="shared" si="131"/>
        <v/>
      </c>
      <c r="R864" s="191" t="str">
        <f t="shared" si="132"/>
        <v/>
      </c>
      <c r="S864" s="192" t="str">
        <f t="shared" si="134"/>
        <v/>
      </c>
      <c r="T864" s="193" t="str">
        <f t="shared" si="135"/>
        <v/>
      </c>
      <c r="U864" s="194" t="str">
        <f t="shared" si="136"/>
        <v/>
      </c>
      <c r="V864" s="195" t="str">
        <f t="shared" si="133"/>
        <v/>
      </c>
      <c r="W864" s="336" t="str">
        <f t="shared" si="137"/>
        <v/>
      </c>
      <c r="X864" s="338" t="str">
        <f t="shared" si="138"/>
        <v/>
      </c>
      <c r="Y864" s="274"/>
      <c r="AR864" t="str">
        <f t="shared" si="139"/>
        <v/>
      </c>
      <c r="AS864" t="str">
        <f t="shared" si="140"/>
        <v/>
      </c>
    </row>
    <row r="865" spans="1:45">
      <c r="A865" s="291"/>
      <c r="B865" s="292"/>
      <c r="C865" s="293"/>
      <c r="D865" s="293"/>
      <c r="E865" s="293"/>
      <c r="F865" s="293"/>
      <c r="G865" s="294"/>
      <c r="H865" s="300"/>
      <c r="I865" s="295"/>
      <c r="J865" s="295"/>
      <c r="K865" s="296"/>
      <c r="L865" s="301"/>
      <c r="M865" s="297"/>
      <c r="N865" s="298"/>
      <c r="P865" s="190" t="str">
        <f>IF(R865 = "", "", COUNT(R$4:$R865))</f>
        <v/>
      </c>
      <c r="Q865" s="190" t="str">
        <f t="shared" si="131"/>
        <v/>
      </c>
      <c r="R865" s="191" t="str">
        <f t="shared" si="132"/>
        <v/>
      </c>
      <c r="S865" s="192" t="str">
        <f t="shared" si="134"/>
        <v/>
      </c>
      <c r="T865" s="193" t="str">
        <f t="shared" si="135"/>
        <v/>
      </c>
      <c r="U865" s="194" t="str">
        <f t="shared" si="136"/>
        <v/>
      </c>
      <c r="V865" s="195" t="str">
        <f t="shared" si="133"/>
        <v/>
      </c>
      <c r="W865" s="336" t="str">
        <f t="shared" si="137"/>
        <v/>
      </c>
      <c r="X865" s="338" t="str">
        <f t="shared" si="138"/>
        <v/>
      </c>
      <c r="Y865" s="274"/>
      <c r="AR865" t="str">
        <f t="shared" si="139"/>
        <v/>
      </c>
      <c r="AS865" t="str">
        <f t="shared" si="140"/>
        <v/>
      </c>
    </row>
    <row r="866" spans="1:45">
      <c r="A866" s="291"/>
      <c r="B866" s="292"/>
      <c r="C866" s="293"/>
      <c r="D866" s="293"/>
      <c r="E866" s="293"/>
      <c r="F866" s="293"/>
      <c r="G866" s="294"/>
      <c r="H866" s="300"/>
      <c r="I866" s="295"/>
      <c r="J866" s="295"/>
      <c r="K866" s="296"/>
      <c r="L866" s="301"/>
      <c r="M866" s="297"/>
      <c r="N866" s="298"/>
      <c r="P866" s="190" t="str">
        <f>IF(R866 = "", "", COUNT(R$4:$R866))</f>
        <v/>
      </c>
      <c r="Q866" s="190" t="str">
        <f t="shared" si="131"/>
        <v/>
      </c>
      <c r="R866" s="191" t="str">
        <f t="shared" si="132"/>
        <v/>
      </c>
      <c r="S866" s="192" t="str">
        <f t="shared" si="134"/>
        <v/>
      </c>
      <c r="T866" s="193" t="str">
        <f t="shared" si="135"/>
        <v/>
      </c>
      <c r="U866" s="194" t="str">
        <f t="shared" si="136"/>
        <v/>
      </c>
      <c r="V866" s="195" t="str">
        <f t="shared" si="133"/>
        <v/>
      </c>
      <c r="W866" s="336" t="str">
        <f t="shared" si="137"/>
        <v/>
      </c>
      <c r="X866" s="338" t="str">
        <f t="shared" si="138"/>
        <v/>
      </c>
      <c r="Y866" s="274"/>
      <c r="AR866" t="str">
        <f t="shared" si="139"/>
        <v/>
      </c>
      <c r="AS866" t="str">
        <f t="shared" si="140"/>
        <v/>
      </c>
    </row>
    <row r="867" spans="1:45">
      <c r="A867" s="291"/>
      <c r="B867" s="292"/>
      <c r="C867" s="293"/>
      <c r="D867" s="293"/>
      <c r="E867" s="293"/>
      <c r="F867" s="293"/>
      <c r="G867" s="294"/>
      <c r="H867" s="300"/>
      <c r="I867" s="295"/>
      <c r="J867" s="295"/>
      <c r="K867" s="296"/>
      <c r="L867" s="301"/>
      <c r="M867" s="297"/>
      <c r="N867" s="298"/>
      <c r="P867" s="190" t="str">
        <f>IF(R867 = "", "", COUNT(R$4:$R867))</f>
        <v/>
      </c>
      <c r="Q867" s="190" t="str">
        <f t="shared" si="131"/>
        <v/>
      </c>
      <c r="R867" s="191" t="str">
        <f t="shared" si="132"/>
        <v/>
      </c>
      <c r="S867" s="192" t="str">
        <f t="shared" si="134"/>
        <v/>
      </c>
      <c r="T867" s="193" t="str">
        <f t="shared" si="135"/>
        <v/>
      </c>
      <c r="U867" s="194" t="str">
        <f t="shared" si="136"/>
        <v/>
      </c>
      <c r="V867" s="195" t="str">
        <f t="shared" si="133"/>
        <v/>
      </c>
      <c r="W867" s="336" t="str">
        <f t="shared" si="137"/>
        <v/>
      </c>
      <c r="X867" s="338" t="str">
        <f t="shared" si="138"/>
        <v/>
      </c>
      <c r="Y867" s="274"/>
      <c r="AR867" t="str">
        <f t="shared" si="139"/>
        <v/>
      </c>
      <c r="AS867" t="str">
        <f t="shared" si="140"/>
        <v/>
      </c>
    </row>
    <row r="868" spans="1:45">
      <c r="A868" s="291"/>
      <c r="B868" s="292"/>
      <c r="C868" s="293"/>
      <c r="D868" s="293"/>
      <c r="E868" s="293"/>
      <c r="F868" s="293"/>
      <c r="G868" s="294"/>
      <c r="H868" s="300"/>
      <c r="I868" s="295"/>
      <c r="J868" s="295"/>
      <c r="K868" s="296"/>
      <c r="L868" s="301"/>
      <c r="M868" s="297"/>
      <c r="N868" s="298"/>
      <c r="P868" s="190" t="str">
        <f>IF(R868 = "", "", COUNT(R$4:$R868))</f>
        <v/>
      </c>
      <c r="Q868" s="190" t="str">
        <f t="shared" si="131"/>
        <v/>
      </c>
      <c r="R868" s="191" t="str">
        <f t="shared" si="132"/>
        <v/>
      </c>
      <c r="S868" s="192" t="str">
        <f t="shared" si="134"/>
        <v/>
      </c>
      <c r="T868" s="193" t="str">
        <f t="shared" si="135"/>
        <v/>
      </c>
      <c r="U868" s="194" t="str">
        <f t="shared" si="136"/>
        <v/>
      </c>
      <c r="V868" s="195" t="str">
        <f t="shared" si="133"/>
        <v/>
      </c>
      <c r="W868" s="336" t="str">
        <f t="shared" si="137"/>
        <v/>
      </c>
      <c r="X868" s="338" t="str">
        <f t="shared" si="138"/>
        <v/>
      </c>
      <c r="Y868" s="274"/>
      <c r="AR868" t="str">
        <f t="shared" si="139"/>
        <v/>
      </c>
      <c r="AS868" t="str">
        <f t="shared" si="140"/>
        <v/>
      </c>
    </row>
    <row r="869" spans="1:45">
      <c r="A869" s="291"/>
      <c r="B869" s="292"/>
      <c r="C869" s="293"/>
      <c r="D869" s="293"/>
      <c r="E869" s="293"/>
      <c r="F869" s="293"/>
      <c r="G869" s="294"/>
      <c r="H869" s="300"/>
      <c r="I869" s="295"/>
      <c r="J869" s="295"/>
      <c r="K869" s="296"/>
      <c r="L869" s="301"/>
      <c r="M869" s="297"/>
      <c r="N869" s="298"/>
      <c r="P869" s="190" t="str">
        <f>IF(R869 = "", "", COUNT(R$4:$R869))</f>
        <v/>
      </c>
      <c r="Q869" s="190" t="str">
        <f t="shared" si="131"/>
        <v/>
      </c>
      <c r="R869" s="191" t="str">
        <f t="shared" si="132"/>
        <v/>
      </c>
      <c r="S869" s="192" t="str">
        <f t="shared" si="134"/>
        <v/>
      </c>
      <c r="T869" s="193" t="str">
        <f t="shared" si="135"/>
        <v/>
      </c>
      <c r="U869" s="194" t="str">
        <f t="shared" si="136"/>
        <v/>
      </c>
      <c r="V869" s="195" t="str">
        <f t="shared" si="133"/>
        <v/>
      </c>
      <c r="W869" s="336" t="str">
        <f t="shared" si="137"/>
        <v/>
      </c>
      <c r="X869" s="338" t="str">
        <f t="shared" si="138"/>
        <v/>
      </c>
      <c r="Y869" s="274"/>
      <c r="AR869" t="str">
        <f t="shared" si="139"/>
        <v/>
      </c>
      <c r="AS869" t="str">
        <f t="shared" si="140"/>
        <v/>
      </c>
    </row>
    <row r="870" spans="1:45">
      <c r="A870" s="291"/>
      <c r="B870" s="292"/>
      <c r="C870" s="293"/>
      <c r="D870" s="293"/>
      <c r="E870" s="293"/>
      <c r="F870" s="293"/>
      <c r="G870" s="294"/>
      <c r="H870" s="300"/>
      <c r="I870" s="295"/>
      <c r="J870" s="295"/>
      <c r="K870" s="296"/>
      <c r="L870" s="301"/>
      <c r="M870" s="297"/>
      <c r="N870" s="298"/>
      <c r="P870" s="190" t="str">
        <f>IF(R870 = "", "", COUNT(R$4:$R870))</f>
        <v/>
      </c>
      <c r="Q870" s="190" t="str">
        <f t="shared" si="131"/>
        <v/>
      </c>
      <c r="R870" s="191" t="str">
        <f t="shared" si="132"/>
        <v/>
      </c>
      <c r="S870" s="192" t="str">
        <f t="shared" si="134"/>
        <v/>
      </c>
      <c r="T870" s="193" t="str">
        <f t="shared" si="135"/>
        <v/>
      </c>
      <c r="U870" s="194" t="str">
        <f t="shared" si="136"/>
        <v/>
      </c>
      <c r="V870" s="195" t="str">
        <f t="shared" si="133"/>
        <v/>
      </c>
      <c r="W870" s="336" t="str">
        <f t="shared" si="137"/>
        <v/>
      </c>
      <c r="X870" s="338" t="str">
        <f t="shared" si="138"/>
        <v/>
      </c>
      <c r="Y870" s="274"/>
      <c r="AR870" t="str">
        <f t="shared" si="139"/>
        <v/>
      </c>
      <c r="AS870" t="str">
        <f t="shared" si="140"/>
        <v/>
      </c>
    </row>
    <row r="871" spans="1:45">
      <c r="A871" s="291"/>
      <c r="B871" s="292"/>
      <c r="C871" s="293"/>
      <c r="D871" s="293"/>
      <c r="E871" s="293"/>
      <c r="F871" s="293"/>
      <c r="G871" s="294"/>
      <c r="H871" s="300"/>
      <c r="I871" s="295"/>
      <c r="J871" s="295"/>
      <c r="K871" s="296"/>
      <c r="L871" s="301"/>
      <c r="M871" s="297"/>
      <c r="N871" s="298"/>
      <c r="P871" s="190" t="str">
        <f>IF(R871 = "", "", COUNT(R$4:$R871))</f>
        <v/>
      </c>
      <c r="Q871" s="190" t="str">
        <f t="shared" si="131"/>
        <v/>
      </c>
      <c r="R871" s="191" t="str">
        <f t="shared" si="132"/>
        <v/>
      </c>
      <c r="S871" s="192" t="str">
        <f t="shared" si="134"/>
        <v/>
      </c>
      <c r="T871" s="193" t="str">
        <f t="shared" si="135"/>
        <v/>
      </c>
      <c r="U871" s="194" t="str">
        <f t="shared" si="136"/>
        <v/>
      </c>
      <c r="V871" s="195" t="str">
        <f t="shared" si="133"/>
        <v/>
      </c>
      <c r="W871" s="336" t="str">
        <f t="shared" si="137"/>
        <v/>
      </c>
      <c r="X871" s="338" t="str">
        <f t="shared" si="138"/>
        <v/>
      </c>
      <c r="Y871" s="274"/>
      <c r="AR871" t="str">
        <f t="shared" si="139"/>
        <v/>
      </c>
      <c r="AS871" t="str">
        <f t="shared" si="140"/>
        <v/>
      </c>
    </row>
    <row r="872" spans="1:45">
      <c r="A872" s="291"/>
      <c r="B872" s="292"/>
      <c r="C872" s="293"/>
      <c r="D872" s="293"/>
      <c r="E872" s="293"/>
      <c r="F872" s="293"/>
      <c r="G872" s="294"/>
      <c r="H872" s="300"/>
      <c r="I872" s="295"/>
      <c r="J872" s="295"/>
      <c r="K872" s="296"/>
      <c r="L872" s="301"/>
      <c r="M872" s="297"/>
      <c r="N872" s="298"/>
      <c r="P872" s="190" t="str">
        <f>IF(R872 = "", "", COUNT(R$4:$R872))</f>
        <v/>
      </c>
      <c r="Q872" s="190" t="str">
        <f t="shared" si="131"/>
        <v/>
      </c>
      <c r="R872" s="191" t="str">
        <f t="shared" si="132"/>
        <v/>
      </c>
      <c r="S872" s="192" t="str">
        <f t="shared" si="134"/>
        <v/>
      </c>
      <c r="T872" s="193" t="str">
        <f t="shared" si="135"/>
        <v/>
      </c>
      <c r="U872" s="194" t="str">
        <f t="shared" si="136"/>
        <v/>
      </c>
      <c r="V872" s="195" t="str">
        <f t="shared" si="133"/>
        <v/>
      </c>
      <c r="W872" s="336" t="str">
        <f t="shared" si="137"/>
        <v/>
      </c>
      <c r="X872" s="338" t="str">
        <f t="shared" si="138"/>
        <v/>
      </c>
      <c r="Y872" s="274"/>
      <c r="AR872" t="str">
        <f t="shared" si="139"/>
        <v/>
      </c>
      <c r="AS872" t="str">
        <f t="shared" si="140"/>
        <v/>
      </c>
    </row>
    <row r="873" spans="1:45">
      <c r="A873" s="291"/>
      <c r="B873" s="292"/>
      <c r="C873" s="293"/>
      <c r="D873" s="293"/>
      <c r="E873" s="293"/>
      <c r="F873" s="293"/>
      <c r="G873" s="294"/>
      <c r="H873" s="300"/>
      <c r="I873" s="295"/>
      <c r="J873" s="295"/>
      <c r="K873" s="296"/>
      <c r="L873" s="301"/>
      <c r="M873" s="297"/>
      <c r="N873" s="298"/>
      <c r="P873" s="190" t="str">
        <f>IF(R873 = "", "", COUNT(R$4:$R873))</f>
        <v/>
      </c>
      <c r="Q873" s="190" t="str">
        <f t="shared" si="131"/>
        <v/>
      </c>
      <c r="R873" s="191" t="str">
        <f t="shared" si="132"/>
        <v/>
      </c>
      <c r="S873" s="192" t="str">
        <f t="shared" si="134"/>
        <v/>
      </c>
      <c r="T873" s="193" t="str">
        <f t="shared" si="135"/>
        <v/>
      </c>
      <c r="U873" s="194" t="str">
        <f t="shared" si="136"/>
        <v/>
      </c>
      <c r="V873" s="195" t="str">
        <f t="shared" si="133"/>
        <v/>
      </c>
      <c r="W873" s="336" t="str">
        <f t="shared" si="137"/>
        <v/>
      </c>
      <c r="X873" s="338" t="str">
        <f t="shared" si="138"/>
        <v/>
      </c>
      <c r="Y873" s="274"/>
      <c r="AR873" t="str">
        <f t="shared" si="139"/>
        <v/>
      </c>
      <c r="AS873" t="str">
        <f t="shared" si="140"/>
        <v/>
      </c>
    </row>
    <row r="874" spans="1:45">
      <c r="A874" s="291"/>
      <c r="B874" s="292"/>
      <c r="C874" s="293"/>
      <c r="D874" s="293"/>
      <c r="E874" s="293"/>
      <c r="F874" s="293"/>
      <c r="G874" s="294"/>
      <c r="H874" s="300"/>
      <c r="I874" s="295"/>
      <c r="J874" s="295"/>
      <c r="K874" s="296"/>
      <c r="L874" s="301"/>
      <c r="M874" s="297"/>
      <c r="N874" s="298"/>
      <c r="P874" s="190" t="str">
        <f>IF(R874 = "", "", COUNT(R$4:$R874))</f>
        <v/>
      </c>
      <c r="Q874" s="190" t="str">
        <f t="shared" si="131"/>
        <v/>
      </c>
      <c r="R874" s="191" t="str">
        <f t="shared" si="132"/>
        <v/>
      </c>
      <c r="S874" s="192" t="str">
        <f t="shared" si="134"/>
        <v/>
      </c>
      <c r="T874" s="193" t="str">
        <f t="shared" si="135"/>
        <v/>
      </c>
      <c r="U874" s="194" t="str">
        <f t="shared" si="136"/>
        <v/>
      </c>
      <c r="V874" s="195" t="str">
        <f t="shared" si="133"/>
        <v/>
      </c>
      <c r="W874" s="336" t="str">
        <f t="shared" si="137"/>
        <v/>
      </c>
      <c r="X874" s="338" t="str">
        <f t="shared" si="138"/>
        <v/>
      </c>
      <c r="Y874" s="274"/>
      <c r="AR874" t="str">
        <f t="shared" si="139"/>
        <v/>
      </c>
      <c r="AS874" t="str">
        <f t="shared" si="140"/>
        <v/>
      </c>
    </row>
    <row r="875" spans="1:45">
      <c r="A875" s="291"/>
      <c r="B875" s="292"/>
      <c r="C875" s="293"/>
      <c r="D875" s="293"/>
      <c r="E875" s="293"/>
      <c r="F875" s="293"/>
      <c r="G875" s="294"/>
      <c r="H875" s="300"/>
      <c r="I875" s="295"/>
      <c r="J875" s="295"/>
      <c r="K875" s="296"/>
      <c r="L875" s="301"/>
      <c r="M875" s="297"/>
      <c r="N875" s="298"/>
      <c r="P875" s="190" t="str">
        <f>IF(R875 = "", "", COUNT(R$4:$R875))</f>
        <v/>
      </c>
      <c r="Q875" s="190" t="str">
        <f t="shared" si="131"/>
        <v/>
      </c>
      <c r="R875" s="191" t="str">
        <f t="shared" si="132"/>
        <v/>
      </c>
      <c r="S875" s="192" t="str">
        <f t="shared" si="134"/>
        <v/>
      </c>
      <c r="T875" s="193" t="str">
        <f t="shared" si="135"/>
        <v/>
      </c>
      <c r="U875" s="194" t="str">
        <f t="shared" si="136"/>
        <v/>
      </c>
      <c r="V875" s="195" t="str">
        <f t="shared" si="133"/>
        <v/>
      </c>
      <c r="W875" s="336" t="str">
        <f t="shared" si="137"/>
        <v/>
      </c>
      <c r="X875" s="338" t="str">
        <f t="shared" si="138"/>
        <v/>
      </c>
      <c r="Y875" s="274"/>
      <c r="AR875" t="str">
        <f t="shared" si="139"/>
        <v/>
      </c>
      <c r="AS875" t="str">
        <f t="shared" si="140"/>
        <v/>
      </c>
    </row>
    <row r="876" spans="1:45">
      <c r="A876" s="291"/>
      <c r="B876" s="292"/>
      <c r="C876" s="293"/>
      <c r="D876" s="293"/>
      <c r="E876" s="293"/>
      <c r="F876" s="293"/>
      <c r="G876" s="294"/>
      <c r="H876" s="300"/>
      <c r="I876" s="295"/>
      <c r="J876" s="295"/>
      <c r="K876" s="296"/>
      <c r="L876" s="301"/>
      <c r="M876" s="297"/>
      <c r="N876" s="298"/>
      <c r="P876" s="190" t="str">
        <f>IF(R876 = "", "", COUNT(R$4:$R876))</f>
        <v/>
      </c>
      <c r="Q876" s="190" t="str">
        <f t="shared" si="131"/>
        <v/>
      </c>
      <c r="R876" s="191" t="str">
        <f t="shared" si="132"/>
        <v/>
      </c>
      <c r="S876" s="192" t="str">
        <f t="shared" si="134"/>
        <v/>
      </c>
      <c r="T876" s="193" t="str">
        <f t="shared" si="135"/>
        <v/>
      </c>
      <c r="U876" s="194" t="str">
        <f t="shared" si="136"/>
        <v/>
      </c>
      <c r="V876" s="195" t="str">
        <f t="shared" si="133"/>
        <v/>
      </c>
      <c r="W876" s="336" t="str">
        <f t="shared" si="137"/>
        <v/>
      </c>
      <c r="X876" s="338" t="str">
        <f t="shared" si="138"/>
        <v/>
      </c>
      <c r="Y876" s="274"/>
      <c r="AR876" t="str">
        <f t="shared" si="139"/>
        <v/>
      </c>
      <c r="AS876" t="str">
        <f t="shared" si="140"/>
        <v/>
      </c>
    </row>
    <row r="877" spans="1:45">
      <c r="A877" s="291"/>
      <c r="B877" s="292"/>
      <c r="C877" s="293"/>
      <c r="D877" s="293"/>
      <c r="E877" s="293"/>
      <c r="F877" s="293"/>
      <c r="G877" s="294"/>
      <c r="H877" s="300"/>
      <c r="I877" s="295"/>
      <c r="J877" s="295"/>
      <c r="K877" s="296"/>
      <c r="L877" s="301"/>
      <c r="M877" s="297"/>
      <c r="N877" s="298"/>
      <c r="P877" s="190" t="str">
        <f>IF(R877 = "", "", COUNT(R$4:$R877))</f>
        <v/>
      </c>
      <c r="Q877" s="190" t="str">
        <f t="shared" si="131"/>
        <v/>
      </c>
      <c r="R877" s="191" t="str">
        <f t="shared" si="132"/>
        <v/>
      </c>
      <c r="S877" s="192" t="str">
        <f t="shared" si="134"/>
        <v/>
      </c>
      <c r="T877" s="193" t="str">
        <f t="shared" si="135"/>
        <v/>
      </c>
      <c r="U877" s="194" t="str">
        <f t="shared" si="136"/>
        <v/>
      </c>
      <c r="V877" s="195" t="str">
        <f t="shared" si="133"/>
        <v/>
      </c>
      <c r="W877" s="336" t="str">
        <f t="shared" si="137"/>
        <v/>
      </c>
      <c r="X877" s="338" t="str">
        <f t="shared" si="138"/>
        <v/>
      </c>
      <c r="Y877" s="274"/>
      <c r="AR877" t="str">
        <f t="shared" si="139"/>
        <v/>
      </c>
      <c r="AS877" t="str">
        <f t="shared" si="140"/>
        <v/>
      </c>
    </row>
    <row r="878" spans="1:45">
      <c r="A878" s="291"/>
      <c r="B878" s="292"/>
      <c r="C878" s="293"/>
      <c r="D878" s="293"/>
      <c r="E878" s="293"/>
      <c r="F878" s="293"/>
      <c r="G878" s="294"/>
      <c r="H878" s="300"/>
      <c r="I878" s="295"/>
      <c r="J878" s="295"/>
      <c r="K878" s="296"/>
      <c r="L878" s="301"/>
      <c r="M878" s="297"/>
      <c r="N878" s="298"/>
      <c r="P878" s="190" t="str">
        <f>IF(R878 = "", "", COUNT(R$4:$R878))</f>
        <v/>
      </c>
      <c r="Q878" s="190" t="str">
        <f t="shared" si="131"/>
        <v/>
      </c>
      <c r="R878" s="191" t="str">
        <f t="shared" si="132"/>
        <v/>
      </c>
      <c r="S878" s="192" t="str">
        <f t="shared" si="134"/>
        <v/>
      </c>
      <c r="T878" s="193" t="str">
        <f t="shared" si="135"/>
        <v/>
      </c>
      <c r="U878" s="194" t="str">
        <f t="shared" si="136"/>
        <v/>
      </c>
      <c r="V878" s="195" t="str">
        <f t="shared" si="133"/>
        <v/>
      </c>
      <c r="W878" s="336" t="str">
        <f t="shared" si="137"/>
        <v/>
      </c>
      <c r="X878" s="338" t="str">
        <f t="shared" si="138"/>
        <v/>
      </c>
      <c r="Y878" s="274"/>
      <c r="AR878" t="str">
        <f t="shared" si="139"/>
        <v/>
      </c>
      <c r="AS878" t="str">
        <f t="shared" si="140"/>
        <v/>
      </c>
    </row>
    <row r="879" spans="1:45">
      <c r="A879" s="291"/>
      <c r="B879" s="292"/>
      <c r="C879" s="293"/>
      <c r="D879" s="293"/>
      <c r="E879" s="293"/>
      <c r="F879" s="293"/>
      <c r="G879" s="294"/>
      <c r="H879" s="300"/>
      <c r="I879" s="295"/>
      <c r="J879" s="295"/>
      <c r="K879" s="296"/>
      <c r="L879" s="301"/>
      <c r="M879" s="297"/>
      <c r="N879" s="298"/>
      <c r="P879" s="190" t="str">
        <f>IF(R879 = "", "", COUNT(R$4:$R879))</f>
        <v/>
      </c>
      <c r="Q879" s="190" t="str">
        <f t="shared" si="131"/>
        <v/>
      </c>
      <c r="R879" s="191" t="str">
        <f t="shared" si="132"/>
        <v/>
      </c>
      <c r="S879" s="192" t="str">
        <f t="shared" si="134"/>
        <v/>
      </c>
      <c r="T879" s="193" t="str">
        <f t="shared" si="135"/>
        <v/>
      </c>
      <c r="U879" s="194" t="str">
        <f t="shared" si="136"/>
        <v/>
      </c>
      <c r="V879" s="195" t="str">
        <f t="shared" si="133"/>
        <v/>
      </c>
      <c r="W879" s="336" t="str">
        <f t="shared" si="137"/>
        <v/>
      </c>
      <c r="X879" s="338" t="str">
        <f t="shared" si="138"/>
        <v/>
      </c>
      <c r="Y879" s="274"/>
      <c r="AR879" t="str">
        <f t="shared" si="139"/>
        <v/>
      </c>
      <c r="AS879" t="str">
        <f t="shared" si="140"/>
        <v/>
      </c>
    </row>
    <row r="880" spans="1:45">
      <c r="A880" s="291"/>
      <c r="B880" s="292"/>
      <c r="C880" s="293"/>
      <c r="D880" s="293"/>
      <c r="E880" s="293"/>
      <c r="F880" s="293"/>
      <c r="G880" s="294"/>
      <c r="H880" s="300"/>
      <c r="I880" s="295"/>
      <c r="J880" s="295"/>
      <c r="K880" s="296"/>
      <c r="L880" s="301"/>
      <c r="M880" s="297"/>
      <c r="N880" s="298"/>
      <c r="P880" s="190" t="str">
        <f>IF(R880 = "", "", COUNT(R$4:$R880))</f>
        <v/>
      </c>
      <c r="Q880" s="190" t="str">
        <f t="shared" si="131"/>
        <v/>
      </c>
      <c r="R880" s="191" t="str">
        <f t="shared" si="132"/>
        <v/>
      </c>
      <c r="S880" s="192" t="str">
        <f t="shared" si="134"/>
        <v/>
      </c>
      <c r="T880" s="193" t="str">
        <f t="shared" si="135"/>
        <v/>
      </c>
      <c r="U880" s="194" t="str">
        <f t="shared" si="136"/>
        <v/>
      </c>
      <c r="V880" s="195" t="str">
        <f t="shared" si="133"/>
        <v/>
      </c>
      <c r="W880" s="336" t="str">
        <f t="shared" si="137"/>
        <v/>
      </c>
      <c r="X880" s="338" t="str">
        <f t="shared" si="138"/>
        <v/>
      </c>
      <c r="Y880" s="274"/>
      <c r="AR880" t="str">
        <f t="shared" si="139"/>
        <v/>
      </c>
      <c r="AS880" t="str">
        <f t="shared" si="140"/>
        <v/>
      </c>
    </row>
    <row r="881" spans="1:45">
      <c r="A881" s="291"/>
      <c r="B881" s="292"/>
      <c r="C881" s="293"/>
      <c r="D881" s="293"/>
      <c r="E881" s="293"/>
      <c r="F881" s="293"/>
      <c r="G881" s="294"/>
      <c r="H881" s="300"/>
      <c r="I881" s="295"/>
      <c r="J881" s="295"/>
      <c r="K881" s="296"/>
      <c r="L881" s="301"/>
      <c r="M881" s="297"/>
      <c r="N881" s="298"/>
      <c r="P881" s="190" t="str">
        <f>IF(R881 = "", "", COUNT(R$4:$R881))</f>
        <v/>
      </c>
      <c r="Q881" s="190" t="str">
        <f t="shared" si="131"/>
        <v/>
      </c>
      <c r="R881" s="191" t="str">
        <f t="shared" si="132"/>
        <v/>
      </c>
      <c r="S881" s="192" t="str">
        <f t="shared" si="134"/>
        <v/>
      </c>
      <c r="T881" s="193" t="str">
        <f t="shared" si="135"/>
        <v/>
      </c>
      <c r="U881" s="194" t="str">
        <f t="shared" si="136"/>
        <v/>
      </c>
      <c r="V881" s="195" t="str">
        <f t="shared" si="133"/>
        <v/>
      </c>
      <c r="W881" s="336" t="str">
        <f t="shared" si="137"/>
        <v/>
      </c>
      <c r="X881" s="338" t="str">
        <f t="shared" si="138"/>
        <v/>
      </c>
      <c r="Y881" s="274"/>
      <c r="AR881" t="str">
        <f t="shared" si="139"/>
        <v/>
      </c>
      <c r="AS881" t="str">
        <f t="shared" si="140"/>
        <v/>
      </c>
    </row>
    <row r="882" spans="1:45">
      <c r="A882" s="291"/>
      <c r="B882" s="292"/>
      <c r="C882" s="293"/>
      <c r="D882" s="293"/>
      <c r="E882" s="293"/>
      <c r="F882" s="293"/>
      <c r="G882" s="294"/>
      <c r="H882" s="300"/>
      <c r="I882" s="295"/>
      <c r="J882" s="295"/>
      <c r="K882" s="296"/>
      <c r="L882" s="301"/>
      <c r="M882" s="297"/>
      <c r="N882" s="298"/>
      <c r="P882" s="190" t="str">
        <f>IF(R882 = "", "", COUNT(R$4:$R882))</f>
        <v/>
      </c>
      <c r="Q882" s="190" t="str">
        <f t="shared" si="131"/>
        <v/>
      </c>
      <c r="R882" s="191" t="str">
        <f t="shared" si="132"/>
        <v/>
      </c>
      <c r="S882" s="192" t="str">
        <f t="shared" si="134"/>
        <v/>
      </c>
      <c r="T882" s="193" t="str">
        <f t="shared" si="135"/>
        <v/>
      </c>
      <c r="U882" s="194" t="str">
        <f t="shared" si="136"/>
        <v/>
      </c>
      <c r="V882" s="195" t="str">
        <f t="shared" si="133"/>
        <v/>
      </c>
      <c r="W882" s="336" t="str">
        <f t="shared" si="137"/>
        <v/>
      </c>
      <c r="X882" s="338" t="str">
        <f t="shared" si="138"/>
        <v/>
      </c>
      <c r="Y882" s="274"/>
      <c r="AR882" t="str">
        <f t="shared" si="139"/>
        <v/>
      </c>
      <c r="AS882" t="str">
        <f t="shared" si="140"/>
        <v/>
      </c>
    </row>
    <row r="883" spans="1:45">
      <c r="A883" s="291"/>
      <c r="B883" s="292"/>
      <c r="C883" s="293"/>
      <c r="D883" s="293"/>
      <c r="E883" s="293"/>
      <c r="F883" s="293"/>
      <c r="G883" s="294"/>
      <c r="H883" s="300"/>
      <c r="I883" s="295"/>
      <c r="J883" s="295"/>
      <c r="K883" s="296"/>
      <c r="L883" s="301"/>
      <c r="M883" s="297"/>
      <c r="N883" s="298"/>
      <c r="P883" s="190" t="str">
        <f>IF(R883 = "", "", COUNT(R$4:$R883))</f>
        <v/>
      </c>
      <c r="Q883" s="190" t="str">
        <f t="shared" si="131"/>
        <v/>
      </c>
      <c r="R883" s="191" t="str">
        <f t="shared" si="132"/>
        <v/>
      </c>
      <c r="S883" s="192" t="str">
        <f t="shared" si="134"/>
        <v/>
      </c>
      <c r="T883" s="193" t="str">
        <f t="shared" si="135"/>
        <v/>
      </c>
      <c r="U883" s="194" t="str">
        <f t="shared" si="136"/>
        <v/>
      </c>
      <c r="V883" s="195" t="str">
        <f t="shared" si="133"/>
        <v/>
      </c>
      <c r="W883" s="336" t="str">
        <f t="shared" si="137"/>
        <v/>
      </c>
      <c r="X883" s="338" t="str">
        <f t="shared" si="138"/>
        <v/>
      </c>
      <c r="Y883" s="274"/>
      <c r="AR883" t="str">
        <f t="shared" si="139"/>
        <v/>
      </c>
      <c r="AS883" t="str">
        <f t="shared" si="140"/>
        <v/>
      </c>
    </row>
    <row r="884" spans="1:45">
      <c r="A884" s="291"/>
      <c r="B884" s="292"/>
      <c r="C884" s="293"/>
      <c r="D884" s="293"/>
      <c r="E884" s="293"/>
      <c r="F884" s="293"/>
      <c r="G884" s="294"/>
      <c r="H884" s="300"/>
      <c r="I884" s="295"/>
      <c r="J884" s="295"/>
      <c r="K884" s="296"/>
      <c r="L884" s="301"/>
      <c r="M884" s="297"/>
      <c r="N884" s="298"/>
      <c r="P884" s="190" t="str">
        <f>IF(R884 = "", "", COUNT(R$4:$R884))</f>
        <v/>
      </c>
      <c r="Q884" s="190" t="str">
        <f t="shared" si="131"/>
        <v/>
      </c>
      <c r="R884" s="191" t="str">
        <f t="shared" si="132"/>
        <v/>
      </c>
      <c r="S884" s="192" t="str">
        <f t="shared" si="134"/>
        <v/>
      </c>
      <c r="T884" s="193" t="str">
        <f t="shared" si="135"/>
        <v/>
      </c>
      <c r="U884" s="194" t="str">
        <f t="shared" si="136"/>
        <v/>
      </c>
      <c r="V884" s="195" t="str">
        <f t="shared" si="133"/>
        <v/>
      </c>
      <c r="W884" s="336" t="str">
        <f t="shared" si="137"/>
        <v/>
      </c>
      <c r="X884" s="338" t="str">
        <f t="shared" si="138"/>
        <v/>
      </c>
      <c r="Y884" s="274"/>
      <c r="AR884" t="str">
        <f t="shared" si="139"/>
        <v/>
      </c>
      <c r="AS884" t="str">
        <f t="shared" si="140"/>
        <v/>
      </c>
    </row>
    <row r="885" spans="1:45">
      <c r="A885" s="291"/>
      <c r="B885" s="292"/>
      <c r="C885" s="293"/>
      <c r="D885" s="293"/>
      <c r="E885" s="293"/>
      <c r="F885" s="293"/>
      <c r="G885" s="294"/>
      <c r="H885" s="300"/>
      <c r="I885" s="295"/>
      <c r="J885" s="295"/>
      <c r="K885" s="296"/>
      <c r="L885" s="301"/>
      <c r="M885" s="297"/>
      <c r="N885" s="298"/>
      <c r="P885" s="190" t="str">
        <f>IF(R885 = "", "", COUNT(R$4:$R885))</f>
        <v/>
      </c>
      <c r="Q885" s="190" t="str">
        <f t="shared" si="131"/>
        <v/>
      </c>
      <c r="R885" s="191" t="str">
        <f t="shared" si="132"/>
        <v/>
      </c>
      <c r="S885" s="192" t="str">
        <f t="shared" si="134"/>
        <v/>
      </c>
      <c r="T885" s="193" t="str">
        <f t="shared" si="135"/>
        <v/>
      </c>
      <c r="U885" s="194" t="str">
        <f t="shared" si="136"/>
        <v/>
      </c>
      <c r="V885" s="195" t="str">
        <f t="shared" si="133"/>
        <v/>
      </c>
      <c r="W885" s="336" t="str">
        <f t="shared" si="137"/>
        <v/>
      </c>
      <c r="X885" s="338" t="str">
        <f t="shared" si="138"/>
        <v/>
      </c>
      <c r="Y885" s="274"/>
      <c r="AR885" t="str">
        <f t="shared" si="139"/>
        <v/>
      </c>
      <c r="AS885" t="str">
        <f t="shared" si="140"/>
        <v/>
      </c>
    </row>
    <row r="886" spans="1:45">
      <c r="A886" s="291"/>
      <c r="B886" s="292"/>
      <c r="C886" s="293"/>
      <c r="D886" s="293"/>
      <c r="E886" s="293"/>
      <c r="F886" s="293"/>
      <c r="G886" s="294"/>
      <c r="H886" s="300"/>
      <c r="I886" s="295"/>
      <c r="J886" s="295"/>
      <c r="K886" s="296"/>
      <c r="L886" s="301"/>
      <c r="M886" s="297"/>
      <c r="N886" s="298"/>
      <c r="P886" s="190" t="str">
        <f>IF(R886 = "", "", COUNT(R$4:$R886))</f>
        <v/>
      </c>
      <c r="Q886" s="190" t="str">
        <f t="shared" si="131"/>
        <v/>
      </c>
      <c r="R886" s="191" t="str">
        <f t="shared" si="132"/>
        <v/>
      </c>
      <c r="S886" s="192" t="str">
        <f t="shared" si="134"/>
        <v/>
      </c>
      <c r="T886" s="193" t="str">
        <f t="shared" si="135"/>
        <v/>
      </c>
      <c r="U886" s="194" t="str">
        <f t="shared" si="136"/>
        <v/>
      </c>
      <c r="V886" s="195" t="str">
        <f t="shared" si="133"/>
        <v/>
      </c>
      <c r="W886" s="336" t="str">
        <f t="shared" si="137"/>
        <v/>
      </c>
      <c r="X886" s="338" t="str">
        <f t="shared" si="138"/>
        <v/>
      </c>
      <c r="Y886" s="274"/>
      <c r="AR886" t="str">
        <f t="shared" si="139"/>
        <v/>
      </c>
      <c r="AS886" t="str">
        <f t="shared" si="140"/>
        <v/>
      </c>
    </row>
    <row r="887" spans="1:45">
      <c r="A887" s="291"/>
      <c r="B887" s="292"/>
      <c r="C887" s="293"/>
      <c r="D887" s="293"/>
      <c r="E887" s="293"/>
      <c r="F887" s="293"/>
      <c r="G887" s="294"/>
      <c r="H887" s="300"/>
      <c r="I887" s="295"/>
      <c r="J887" s="295"/>
      <c r="K887" s="296"/>
      <c r="L887" s="301"/>
      <c r="M887" s="297"/>
      <c r="N887" s="298"/>
      <c r="P887" s="190" t="str">
        <f>IF(R887 = "", "", COUNT(R$4:$R887))</f>
        <v/>
      </c>
      <c r="Q887" s="190" t="str">
        <f t="shared" si="131"/>
        <v/>
      </c>
      <c r="R887" s="191" t="str">
        <f t="shared" si="132"/>
        <v/>
      </c>
      <c r="S887" s="192" t="str">
        <f t="shared" si="134"/>
        <v/>
      </c>
      <c r="T887" s="193" t="str">
        <f t="shared" si="135"/>
        <v/>
      </c>
      <c r="U887" s="194" t="str">
        <f t="shared" si="136"/>
        <v/>
      </c>
      <c r="V887" s="195" t="str">
        <f t="shared" si="133"/>
        <v/>
      </c>
      <c r="W887" s="336" t="str">
        <f t="shared" si="137"/>
        <v/>
      </c>
      <c r="X887" s="338" t="str">
        <f t="shared" si="138"/>
        <v/>
      </c>
      <c r="Y887" s="274"/>
      <c r="AR887" t="str">
        <f t="shared" si="139"/>
        <v/>
      </c>
      <c r="AS887" t="str">
        <f t="shared" si="140"/>
        <v/>
      </c>
    </row>
    <row r="888" spans="1:45">
      <c r="A888" s="291"/>
      <c r="B888" s="292"/>
      <c r="C888" s="293"/>
      <c r="D888" s="293"/>
      <c r="E888" s="293"/>
      <c r="F888" s="293"/>
      <c r="G888" s="294"/>
      <c r="H888" s="300"/>
      <c r="I888" s="295"/>
      <c r="J888" s="295"/>
      <c r="K888" s="296"/>
      <c r="L888" s="301"/>
      <c r="M888" s="297"/>
      <c r="N888" s="298"/>
      <c r="P888" s="190" t="str">
        <f>IF(R888 = "", "", COUNT(R$4:$R888))</f>
        <v/>
      </c>
      <c r="Q888" s="190" t="str">
        <f t="shared" si="131"/>
        <v/>
      </c>
      <c r="R888" s="191" t="str">
        <f t="shared" si="132"/>
        <v/>
      </c>
      <c r="S888" s="192" t="str">
        <f t="shared" si="134"/>
        <v/>
      </c>
      <c r="T888" s="193" t="str">
        <f t="shared" si="135"/>
        <v/>
      </c>
      <c r="U888" s="194" t="str">
        <f t="shared" si="136"/>
        <v/>
      </c>
      <c r="V888" s="195" t="str">
        <f t="shared" si="133"/>
        <v/>
      </c>
      <c r="W888" s="336" t="str">
        <f t="shared" si="137"/>
        <v/>
      </c>
      <c r="X888" s="338" t="str">
        <f t="shared" si="138"/>
        <v/>
      </c>
      <c r="Y888" s="274"/>
      <c r="AR888" t="str">
        <f t="shared" si="139"/>
        <v/>
      </c>
      <c r="AS888" t="str">
        <f t="shared" si="140"/>
        <v/>
      </c>
    </row>
    <row r="889" spans="1:45">
      <c r="A889" s="291"/>
      <c r="B889" s="292"/>
      <c r="C889" s="293"/>
      <c r="D889" s="293"/>
      <c r="E889" s="293"/>
      <c r="F889" s="293"/>
      <c r="G889" s="294"/>
      <c r="H889" s="300"/>
      <c r="I889" s="295"/>
      <c r="J889" s="295"/>
      <c r="K889" s="296"/>
      <c r="L889" s="301"/>
      <c r="M889" s="297"/>
      <c r="N889" s="298"/>
      <c r="P889" s="190" t="str">
        <f>IF(R889 = "", "", COUNT(R$4:$R889))</f>
        <v/>
      </c>
      <c r="Q889" s="190" t="str">
        <f t="shared" si="131"/>
        <v/>
      </c>
      <c r="R889" s="191" t="str">
        <f t="shared" si="132"/>
        <v/>
      </c>
      <c r="S889" s="192" t="str">
        <f t="shared" si="134"/>
        <v/>
      </c>
      <c r="T889" s="193" t="str">
        <f t="shared" si="135"/>
        <v/>
      </c>
      <c r="U889" s="194" t="str">
        <f t="shared" si="136"/>
        <v/>
      </c>
      <c r="V889" s="195" t="str">
        <f t="shared" si="133"/>
        <v/>
      </c>
      <c r="W889" s="336" t="str">
        <f t="shared" si="137"/>
        <v/>
      </c>
      <c r="X889" s="338" t="str">
        <f t="shared" si="138"/>
        <v/>
      </c>
      <c r="Y889" s="274"/>
      <c r="AR889" t="str">
        <f t="shared" si="139"/>
        <v/>
      </c>
      <c r="AS889" t="str">
        <f t="shared" si="140"/>
        <v/>
      </c>
    </row>
    <row r="890" spans="1:45">
      <c r="A890" s="291"/>
      <c r="B890" s="292"/>
      <c r="C890" s="293"/>
      <c r="D890" s="293"/>
      <c r="E890" s="293"/>
      <c r="F890" s="293"/>
      <c r="G890" s="294"/>
      <c r="H890" s="300"/>
      <c r="I890" s="295"/>
      <c r="J890" s="295"/>
      <c r="K890" s="296"/>
      <c r="L890" s="301"/>
      <c r="M890" s="297"/>
      <c r="N890" s="298"/>
      <c r="P890" s="190" t="str">
        <f>IF(R890 = "", "", COUNT(R$4:$R890))</f>
        <v/>
      </c>
      <c r="Q890" s="190" t="str">
        <f t="shared" si="131"/>
        <v/>
      </c>
      <c r="R890" s="191" t="str">
        <f t="shared" si="132"/>
        <v/>
      </c>
      <c r="S890" s="192" t="str">
        <f t="shared" si="134"/>
        <v/>
      </c>
      <c r="T890" s="193" t="str">
        <f t="shared" si="135"/>
        <v/>
      </c>
      <c r="U890" s="194" t="str">
        <f t="shared" si="136"/>
        <v/>
      </c>
      <c r="V890" s="195" t="str">
        <f t="shared" si="133"/>
        <v/>
      </c>
      <c r="W890" s="336" t="str">
        <f t="shared" si="137"/>
        <v/>
      </c>
      <c r="X890" s="338" t="str">
        <f t="shared" si="138"/>
        <v/>
      </c>
      <c r="Y890" s="274"/>
      <c r="AR890" t="str">
        <f t="shared" si="139"/>
        <v/>
      </c>
      <c r="AS890" t="str">
        <f t="shared" si="140"/>
        <v/>
      </c>
    </row>
    <row r="891" spans="1:45">
      <c r="A891" s="291"/>
      <c r="B891" s="292"/>
      <c r="C891" s="293"/>
      <c r="D891" s="293"/>
      <c r="E891" s="293"/>
      <c r="F891" s="293"/>
      <c r="G891" s="294"/>
      <c r="H891" s="300"/>
      <c r="I891" s="295"/>
      <c r="J891" s="295"/>
      <c r="K891" s="296"/>
      <c r="L891" s="301"/>
      <c r="M891" s="297"/>
      <c r="N891" s="298"/>
      <c r="P891" s="190" t="str">
        <f>IF(R891 = "", "", COUNT(R$4:$R891))</f>
        <v/>
      </c>
      <c r="Q891" s="190" t="str">
        <f t="shared" si="131"/>
        <v/>
      </c>
      <c r="R891" s="191" t="str">
        <f t="shared" si="132"/>
        <v/>
      </c>
      <c r="S891" s="192" t="str">
        <f t="shared" si="134"/>
        <v/>
      </c>
      <c r="T891" s="193" t="str">
        <f t="shared" si="135"/>
        <v/>
      </c>
      <c r="U891" s="194" t="str">
        <f t="shared" si="136"/>
        <v/>
      </c>
      <c r="V891" s="195" t="str">
        <f t="shared" si="133"/>
        <v/>
      </c>
      <c r="W891" s="336" t="str">
        <f t="shared" si="137"/>
        <v/>
      </c>
      <c r="X891" s="338" t="str">
        <f t="shared" si="138"/>
        <v/>
      </c>
      <c r="Y891" s="274"/>
      <c r="AR891" t="str">
        <f t="shared" si="139"/>
        <v/>
      </c>
      <c r="AS891" t="str">
        <f t="shared" si="140"/>
        <v/>
      </c>
    </row>
    <row r="892" spans="1:45">
      <c r="A892" s="291"/>
      <c r="B892" s="292"/>
      <c r="C892" s="293"/>
      <c r="D892" s="293"/>
      <c r="E892" s="293"/>
      <c r="F892" s="293"/>
      <c r="G892" s="294"/>
      <c r="H892" s="300"/>
      <c r="I892" s="295"/>
      <c r="J892" s="295"/>
      <c r="K892" s="296"/>
      <c r="L892" s="301"/>
      <c r="M892" s="297"/>
      <c r="N892" s="298"/>
      <c r="P892" s="190" t="str">
        <f>IF(R892 = "", "", COUNT(R$4:$R892))</f>
        <v/>
      </c>
      <c r="Q892" s="190" t="str">
        <f t="shared" si="131"/>
        <v/>
      </c>
      <c r="R892" s="191" t="str">
        <f t="shared" si="132"/>
        <v/>
      </c>
      <c r="S892" s="192" t="str">
        <f t="shared" si="134"/>
        <v/>
      </c>
      <c r="T892" s="193" t="str">
        <f t="shared" si="135"/>
        <v/>
      </c>
      <c r="U892" s="194" t="str">
        <f t="shared" si="136"/>
        <v/>
      </c>
      <c r="V892" s="195" t="str">
        <f t="shared" si="133"/>
        <v/>
      </c>
      <c r="W892" s="336" t="str">
        <f t="shared" si="137"/>
        <v/>
      </c>
      <c r="X892" s="338" t="str">
        <f t="shared" si="138"/>
        <v/>
      </c>
      <c r="Y892" s="274"/>
      <c r="AR892" t="str">
        <f t="shared" si="139"/>
        <v/>
      </c>
      <c r="AS892" t="str">
        <f t="shared" si="140"/>
        <v/>
      </c>
    </row>
    <row r="893" spans="1:45">
      <c r="A893" s="291"/>
      <c r="B893" s="292"/>
      <c r="C893" s="293"/>
      <c r="D893" s="293"/>
      <c r="E893" s="293"/>
      <c r="F893" s="293"/>
      <c r="G893" s="294"/>
      <c r="H893" s="300"/>
      <c r="I893" s="295"/>
      <c r="J893" s="295"/>
      <c r="K893" s="296"/>
      <c r="L893" s="301"/>
      <c r="M893" s="297"/>
      <c r="N893" s="298"/>
      <c r="P893" s="190" t="str">
        <f>IF(R893 = "", "", COUNT(R$4:$R893))</f>
        <v/>
      </c>
      <c r="Q893" s="190" t="str">
        <f t="shared" si="131"/>
        <v/>
      </c>
      <c r="R893" s="191" t="str">
        <f t="shared" si="132"/>
        <v/>
      </c>
      <c r="S893" s="192" t="str">
        <f t="shared" si="134"/>
        <v/>
      </c>
      <c r="T893" s="193" t="str">
        <f t="shared" si="135"/>
        <v/>
      </c>
      <c r="U893" s="194" t="str">
        <f t="shared" si="136"/>
        <v/>
      </c>
      <c r="V893" s="195" t="str">
        <f t="shared" si="133"/>
        <v/>
      </c>
      <c r="W893" s="336" t="str">
        <f t="shared" si="137"/>
        <v/>
      </c>
      <c r="X893" s="338" t="str">
        <f t="shared" si="138"/>
        <v/>
      </c>
      <c r="Y893" s="274"/>
      <c r="AR893" t="str">
        <f t="shared" si="139"/>
        <v/>
      </c>
      <c r="AS893" t="str">
        <f t="shared" si="140"/>
        <v/>
      </c>
    </row>
    <row r="894" spans="1:45">
      <c r="A894" s="291"/>
      <c r="B894" s="292"/>
      <c r="C894" s="293"/>
      <c r="D894" s="293"/>
      <c r="E894" s="293"/>
      <c r="F894" s="293"/>
      <c r="G894" s="294"/>
      <c r="H894" s="300"/>
      <c r="I894" s="295"/>
      <c r="J894" s="295"/>
      <c r="K894" s="296"/>
      <c r="L894" s="301"/>
      <c r="M894" s="297"/>
      <c r="N894" s="298"/>
      <c r="P894" s="190" t="str">
        <f>IF(R894 = "", "", COUNT(R$4:$R894))</f>
        <v/>
      </c>
      <c r="Q894" s="190" t="str">
        <f t="shared" si="131"/>
        <v/>
      </c>
      <c r="R894" s="191" t="str">
        <f t="shared" si="132"/>
        <v/>
      </c>
      <c r="S894" s="192" t="str">
        <f t="shared" si="134"/>
        <v/>
      </c>
      <c r="T894" s="193" t="str">
        <f t="shared" si="135"/>
        <v/>
      </c>
      <c r="U894" s="194" t="str">
        <f t="shared" si="136"/>
        <v/>
      </c>
      <c r="V894" s="195" t="str">
        <f t="shared" si="133"/>
        <v/>
      </c>
      <c r="W894" s="336" t="str">
        <f t="shared" si="137"/>
        <v/>
      </c>
      <c r="X894" s="338" t="str">
        <f t="shared" si="138"/>
        <v/>
      </c>
      <c r="Y894" s="274"/>
      <c r="AR894" t="str">
        <f t="shared" si="139"/>
        <v/>
      </c>
      <c r="AS894" t="str">
        <f t="shared" si="140"/>
        <v/>
      </c>
    </row>
    <row r="895" spans="1:45">
      <c r="A895" s="291"/>
      <c r="B895" s="292"/>
      <c r="C895" s="293"/>
      <c r="D895" s="293"/>
      <c r="E895" s="293"/>
      <c r="F895" s="293"/>
      <c r="G895" s="294"/>
      <c r="H895" s="300"/>
      <c r="I895" s="295"/>
      <c r="J895" s="295"/>
      <c r="K895" s="296"/>
      <c r="L895" s="301"/>
      <c r="M895" s="297"/>
      <c r="N895" s="298"/>
      <c r="P895" s="190" t="str">
        <f>IF(R895 = "", "", COUNT(R$4:$R895))</f>
        <v/>
      </c>
      <c r="Q895" s="190" t="str">
        <f t="shared" si="131"/>
        <v/>
      </c>
      <c r="R895" s="191" t="str">
        <f t="shared" si="132"/>
        <v/>
      </c>
      <c r="S895" s="192" t="str">
        <f t="shared" si="134"/>
        <v/>
      </c>
      <c r="T895" s="193" t="str">
        <f t="shared" si="135"/>
        <v/>
      </c>
      <c r="U895" s="194" t="str">
        <f t="shared" si="136"/>
        <v/>
      </c>
      <c r="V895" s="195" t="str">
        <f t="shared" si="133"/>
        <v/>
      </c>
      <c r="W895" s="336" t="str">
        <f t="shared" si="137"/>
        <v/>
      </c>
      <c r="X895" s="338" t="str">
        <f t="shared" si="138"/>
        <v/>
      </c>
      <c r="Y895" s="274"/>
      <c r="AR895" t="str">
        <f t="shared" si="139"/>
        <v/>
      </c>
      <c r="AS895" t="str">
        <f t="shared" si="140"/>
        <v/>
      </c>
    </row>
    <row r="896" spans="1:45">
      <c r="A896" s="291"/>
      <c r="B896" s="292"/>
      <c r="C896" s="293"/>
      <c r="D896" s="293"/>
      <c r="E896" s="293"/>
      <c r="F896" s="293"/>
      <c r="G896" s="294"/>
      <c r="H896" s="300"/>
      <c r="I896" s="295"/>
      <c r="J896" s="295"/>
      <c r="K896" s="296"/>
      <c r="L896" s="301"/>
      <c r="M896" s="297"/>
      <c r="N896" s="298"/>
      <c r="P896" s="190" t="str">
        <f>IF(R896 = "", "", COUNT(R$4:$R896))</f>
        <v/>
      </c>
      <c r="Q896" s="190" t="str">
        <f t="shared" si="131"/>
        <v/>
      </c>
      <c r="R896" s="191" t="str">
        <f t="shared" si="132"/>
        <v/>
      </c>
      <c r="S896" s="192" t="str">
        <f t="shared" si="134"/>
        <v/>
      </c>
      <c r="T896" s="193" t="str">
        <f t="shared" si="135"/>
        <v/>
      </c>
      <c r="U896" s="194" t="str">
        <f t="shared" si="136"/>
        <v/>
      </c>
      <c r="V896" s="195" t="str">
        <f t="shared" si="133"/>
        <v/>
      </c>
      <c r="W896" s="336" t="str">
        <f t="shared" si="137"/>
        <v/>
      </c>
      <c r="X896" s="338" t="str">
        <f t="shared" si="138"/>
        <v/>
      </c>
      <c r="Y896" s="274"/>
      <c r="AR896" t="str">
        <f t="shared" si="139"/>
        <v/>
      </c>
      <c r="AS896" t="str">
        <f t="shared" si="140"/>
        <v/>
      </c>
    </row>
    <row r="897" spans="1:45">
      <c r="A897" s="291"/>
      <c r="B897" s="292"/>
      <c r="C897" s="293"/>
      <c r="D897" s="293"/>
      <c r="E897" s="293"/>
      <c r="F897" s="293"/>
      <c r="G897" s="294"/>
      <c r="H897" s="300"/>
      <c r="I897" s="295"/>
      <c r="J897" s="295"/>
      <c r="K897" s="296"/>
      <c r="L897" s="301"/>
      <c r="M897" s="297"/>
      <c r="N897" s="298"/>
      <c r="P897" s="190" t="str">
        <f>IF(R897 = "", "", COUNT(R$4:$R897))</f>
        <v/>
      </c>
      <c r="Q897" s="190" t="str">
        <f t="shared" si="131"/>
        <v/>
      </c>
      <c r="R897" s="191" t="str">
        <f t="shared" si="132"/>
        <v/>
      </c>
      <c r="S897" s="192" t="str">
        <f t="shared" si="134"/>
        <v/>
      </c>
      <c r="T897" s="193" t="str">
        <f t="shared" si="135"/>
        <v/>
      </c>
      <c r="U897" s="194" t="str">
        <f t="shared" si="136"/>
        <v/>
      </c>
      <c r="V897" s="195" t="str">
        <f t="shared" si="133"/>
        <v/>
      </c>
      <c r="W897" s="336" t="str">
        <f t="shared" si="137"/>
        <v/>
      </c>
      <c r="X897" s="338" t="str">
        <f t="shared" si="138"/>
        <v/>
      </c>
      <c r="Y897" s="274"/>
      <c r="AR897" t="str">
        <f t="shared" si="139"/>
        <v/>
      </c>
      <c r="AS897" t="str">
        <f t="shared" si="140"/>
        <v/>
      </c>
    </row>
    <row r="898" spans="1:45">
      <c r="A898" s="291"/>
      <c r="B898" s="292"/>
      <c r="C898" s="293"/>
      <c r="D898" s="293"/>
      <c r="E898" s="293"/>
      <c r="F898" s="293"/>
      <c r="G898" s="294"/>
      <c r="H898" s="300"/>
      <c r="I898" s="295"/>
      <c r="J898" s="295"/>
      <c r="K898" s="296"/>
      <c r="L898" s="301"/>
      <c r="M898" s="297"/>
      <c r="N898" s="298"/>
      <c r="P898" s="190" t="str">
        <f>IF(R898 = "", "", COUNT(R$4:$R898))</f>
        <v/>
      </c>
      <c r="Q898" s="190" t="str">
        <f t="shared" si="131"/>
        <v/>
      </c>
      <c r="R898" s="191" t="str">
        <f t="shared" si="132"/>
        <v/>
      </c>
      <c r="S898" s="192" t="str">
        <f t="shared" si="134"/>
        <v/>
      </c>
      <c r="T898" s="193" t="str">
        <f t="shared" si="135"/>
        <v/>
      </c>
      <c r="U898" s="194" t="str">
        <f t="shared" si="136"/>
        <v/>
      </c>
      <c r="V898" s="195" t="str">
        <f t="shared" si="133"/>
        <v/>
      </c>
      <c r="W898" s="336" t="str">
        <f t="shared" si="137"/>
        <v/>
      </c>
      <c r="X898" s="338" t="str">
        <f t="shared" si="138"/>
        <v/>
      </c>
      <c r="Y898" s="274"/>
      <c r="AR898" t="str">
        <f t="shared" si="139"/>
        <v/>
      </c>
      <c r="AS898" t="str">
        <f t="shared" si="140"/>
        <v/>
      </c>
    </row>
    <row r="899" spans="1:45">
      <c r="A899" s="291"/>
      <c r="B899" s="292"/>
      <c r="C899" s="293"/>
      <c r="D899" s="293"/>
      <c r="E899" s="293"/>
      <c r="F899" s="293"/>
      <c r="G899" s="294"/>
      <c r="H899" s="300"/>
      <c r="I899" s="295"/>
      <c r="J899" s="295"/>
      <c r="K899" s="296"/>
      <c r="L899" s="301"/>
      <c r="M899" s="297"/>
      <c r="N899" s="298"/>
      <c r="P899" s="190" t="str">
        <f>IF(R899 = "", "", COUNT(R$4:$R899))</f>
        <v/>
      </c>
      <c r="Q899" s="190" t="str">
        <f t="shared" si="131"/>
        <v/>
      </c>
      <c r="R899" s="191" t="str">
        <f t="shared" si="132"/>
        <v/>
      </c>
      <c r="S899" s="192" t="str">
        <f t="shared" si="134"/>
        <v/>
      </c>
      <c r="T899" s="193" t="str">
        <f t="shared" si="135"/>
        <v/>
      </c>
      <c r="U899" s="194" t="str">
        <f t="shared" si="136"/>
        <v/>
      </c>
      <c r="V899" s="195" t="str">
        <f t="shared" si="133"/>
        <v/>
      </c>
      <c r="W899" s="336" t="str">
        <f t="shared" si="137"/>
        <v/>
      </c>
      <c r="X899" s="338" t="str">
        <f t="shared" si="138"/>
        <v/>
      </c>
      <c r="Y899" s="274"/>
      <c r="AR899" t="str">
        <f t="shared" si="139"/>
        <v/>
      </c>
      <c r="AS899" t="str">
        <f t="shared" si="140"/>
        <v/>
      </c>
    </row>
    <row r="900" spans="1:45">
      <c r="A900" s="291"/>
      <c r="B900" s="292"/>
      <c r="C900" s="293"/>
      <c r="D900" s="293"/>
      <c r="E900" s="293"/>
      <c r="F900" s="293"/>
      <c r="G900" s="294"/>
      <c r="H900" s="300"/>
      <c r="I900" s="295"/>
      <c r="J900" s="295"/>
      <c r="K900" s="296"/>
      <c r="L900" s="301"/>
      <c r="M900" s="297"/>
      <c r="N900" s="298"/>
      <c r="P900" s="190" t="str">
        <f>IF(R900 = "", "", COUNT(R$4:$R900))</f>
        <v/>
      </c>
      <c r="Q900" s="190" t="str">
        <f t="shared" ref="Q900:Q963" si="141">IF(C900 &gt; 0, YEAR(B900), "")</f>
        <v/>
      </c>
      <c r="R900" s="191" t="str">
        <f t="shared" ref="R900:R963" si="142">IF(A900="", "", IF(G900="",1,IF(G900="O",1,IF(G900="C",8.4,IF(G900="B",8.4,IF(G900="A",76.8,IF(G900="K",76.8,"ERR")))))))</f>
        <v/>
      </c>
      <c r="S900" s="192" t="str">
        <f t="shared" si="134"/>
        <v/>
      </c>
      <c r="T900" s="193" t="str">
        <f t="shared" si="135"/>
        <v/>
      </c>
      <c r="U900" s="194" t="str">
        <f t="shared" si="136"/>
        <v/>
      </c>
      <c r="V900" s="195" t="str">
        <f t="shared" ref="V900:V963" si="143">IF(IF(M900&lt;&gt;"",G900,"")=0, "O", IF(M900&lt;&gt;"",G900,""))</f>
        <v/>
      </c>
      <c r="W900" s="336" t="str">
        <f t="shared" si="137"/>
        <v/>
      </c>
      <c r="X900" s="338" t="str">
        <f t="shared" si="138"/>
        <v/>
      </c>
      <c r="Y900" s="274"/>
      <c r="AR900" t="str">
        <f t="shared" si="139"/>
        <v/>
      </c>
      <c r="AS900" t="str">
        <f t="shared" si="140"/>
        <v/>
      </c>
    </row>
    <row r="901" spans="1:45">
      <c r="A901" s="291"/>
      <c r="B901" s="292"/>
      <c r="C901" s="293"/>
      <c r="D901" s="293"/>
      <c r="E901" s="293"/>
      <c r="F901" s="293"/>
      <c r="G901" s="294"/>
      <c r="H901" s="300"/>
      <c r="I901" s="295"/>
      <c r="J901" s="295"/>
      <c r="K901" s="296"/>
      <c r="L901" s="301"/>
      <c r="M901" s="297"/>
      <c r="N901" s="298"/>
      <c r="P901" s="190" t="str">
        <f>IF(R901 = "", "", COUNT(R$4:$R901))</f>
        <v/>
      </c>
      <c r="Q901" s="190" t="str">
        <f t="shared" si="141"/>
        <v/>
      </c>
      <c r="R901" s="191" t="str">
        <f t="shared" si="142"/>
        <v/>
      </c>
      <c r="S901" s="192" t="str">
        <f t="shared" ref="S901:S964" si="144">IF(L901&lt;&gt;"",R901,"")</f>
        <v/>
      </c>
      <c r="T901" s="193" t="str">
        <f t="shared" ref="T901:T964" si="145">IF(IF(L901&lt;&gt;"",G901,"")=0, "O", IF(L901&lt;&gt;"",G901,""))</f>
        <v/>
      </c>
      <c r="U901" s="194" t="str">
        <f t="shared" ref="U901:U964" si="146">IF(M901&lt;&gt;"",R901,"")</f>
        <v/>
      </c>
      <c r="V901" s="195" t="str">
        <f t="shared" si="143"/>
        <v/>
      </c>
      <c r="W901" s="336" t="str">
        <f t="shared" ref="W901:W964" si="147">IF(N901&lt;&gt;"",R901,"")</f>
        <v/>
      </c>
      <c r="X901" s="338" t="str">
        <f t="shared" ref="X901:X964" si="148">IF(IF(N901&lt;&gt;"",G901,"")=0, "O", IF(N901&lt;&gt;"",G901,""))</f>
        <v/>
      </c>
      <c r="Y901" s="274"/>
      <c r="AR901" t="str">
        <f t="shared" ref="AR901:AR964" si="149">IF(P901&gt;0, P901, "")</f>
        <v/>
      </c>
      <c r="AS901" t="str">
        <f t="shared" ref="AS901:AS964" si="150">IF(OR(L901="Y",M901="Y",N901="Y"),"Y","")</f>
        <v/>
      </c>
    </row>
    <row r="902" spans="1:45">
      <c r="A902" s="291"/>
      <c r="B902" s="292"/>
      <c r="C902" s="293"/>
      <c r="D902" s="293"/>
      <c r="E902" s="293"/>
      <c r="F902" s="293"/>
      <c r="G902" s="294"/>
      <c r="H902" s="300"/>
      <c r="I902" s="295"/>
      <c r="J902" s="295"/>
      <c r="K902" s="296"/>
      <c r="L902" s="301"/>
      <c r="M902" s="297"/>
      <c r="N902" s="298"/>
      <c r="P902" s="190" t="str">
        <f>IF(R902 = "", "", COUNT(R$4:$R902))</f>
        <v/>
      </c>
      <c r="Q902" s="190" t="str">
        <f t="shared" si="141"/>
        <v/>
      </c>
      <c r="R902" s="191" t="str">
        <f t="shared" si="142"/>
        <v/>
      </c>
      <c r="S902" s="192" t="str">
        <f t="shared" si="144"/>
        <v/>
      </c>
      <c r="T902" s="193" t="str">
        <f t="shared" si="145"/>
        <v/>
      </c>
      <c r="U902" s="194" t="str">
        <f t="shared" si="146"/>
        <v/>
      </c>
      <c r="V902" s="195" t="str">
        <f t="shared" si="143"/>
        <v/>
      </c>
      <c r="W902" s="336" t="str">
        <f t="shared" si="147"/>
        <v/>
      </c>
      <c r="X902" s="338" t="str">
        <f t="shared" si="148"/>
        <v/>
      </c>
      <c r="Y902" s="274"/>
      <c r="AR902" t="str">
        <f t="shared" si="149"/>
        <v/>
      </c>
      <c r="AS902" t="str">
        <f t="shared" si="150"/>
        <v/>
      </c>
    </row>
    <row r="903" spans="1:45">
      <c r="A903" s="291"/>
      <c r="B903" s="292"/>
      <c r="C903" s="293"/>
      <c r="D903" s="293"/>
      <c r="E903" s="293"/>
      <c r="F903" s="293"/>
      <c r="G903" s="294"/>
      <c r="H903" s="300"/>
      <c r="I903" s="295"/>
      <c r="J903" s="295"/>
      <c r="K903" s="296"/>
      <c r="L903" s="301"/>
      <c r="M903" s="297"/>
      <c r="N903" s="298"/>
      <c r="P903" s="190" t="str">
        <f>IF(R903 = "", "", COUNT(R$4:$R903))</f>
        <v/>
      </c>
      <c r="Q903" s="190" t="str">
        <f t="shared" si="141"/>
        <v/>
      </c>
      <c r="R903" s="191" t="str">
        <f t="shared" si="142"/>
        <v/>
      </c>
      <c r="S903" s="192" t="str">
        <f t="shared" si="144"/>
        <v/>
      </c>
      <c r="T903" s="193" t="str">
        <f t="shared" si="145"/>
        <v/>
      </c>
      <c r="U903" s="194" t="str">
        <f t="shared" si="146"/>
        <v/>
      </c>
      <c r="V903" s="195" t="str">
        <f t="shared" si="143"/>
        <v/>
      </c>
      <c r="W903" s="336" t="str">
        <f t="shared" si="147"/>
        <v/>
      </c>
      <c r="X903" s="338" t="str">
        <f t="shared" si="148"/>
        <v/>
      </c>
      <c r="Y903" s="274"/>
      <c r="AR903" t="str">
        <f t="shared" si="149"/>
        <v/>
      </c>
      <c r="AS903" t="str">
        <f t="shared" si="150"/>
        <v/>
      </c>
    </row>
    <row r="904" spans="1:45">
      <c r="A904" s="291"/>
      <c r="B904" s="292"/>
      <c r="C904" s="293"/>
      <c r="D904" s="293"/>
      <c r="E904" s="293"/>
      <c r="F904" s="293"/>
      <c r="G904" s="294"/>
      <c r="H904" s="300"/>
      <c r="I904" s="295"/>
      <c r="J904" s="295"/>
      <c r="K904" s="296"/>
      <c r="L904" s="301"/>
      <c r="M904" s="297"/>
      <c r="N904" s="298"/>
      <c r="P904" s="190" t="str">
        <f>IF(R904 = "", "", COUNT(R$4:$R904))</f>
        <v/>
      </c>
      <c r="Q904" s="190" t="str">
        <f t="shared" si="141"/>
        <v/>
      </c>
      <c r="R904" s="191" t="str">
        <f t="shared" si="142"/>
        <v/>
      </c>
      <c r="S904" s="192" t="str">
        <f t="shared" si="144"/>
        <v/>
      </c>
      <c r="T904" s="193" t="str">
        <f t="shared" si="145"/>
        <v/>
      </c>
      <c r="U904" s="194" t="str">
        <f t="shared" si="146"/>
        <v/>
      </c>
      <c r="V904" s="195" t="str">
        <f t="shared" si="143"/>
        <v/>
      </c>
      <c r="W904" s="336" t="str">
        <f t="shared" si="147"/>
        <v/>
      </c>
      <c r="X904" s="338" t="str">
        <f t="shared" si="148"/>
        <v/>
      </c>
      <c r="Y904" s="274"/>
      <c r="AR904" t="str">
        <f t="shared" si="149"/>
        <v/>
      </c>
      <c r="AS904" t="str">
        <f t="shared" si="150"/>
        <v/>
      </c>
    </row>
    <row r="905" spans="1:45">
      <c r="A905" s="291"/>
      <c r="B905" s="292"/>
      <c r="C905" s="293"/>
      <c r="D905" s="293"/>
      <c r="E905" s="293"/>
      <c r="F905" s="293"/>
      <c r="G905" s="294"/>
      <c r="H905" s="300"/>
      <c r="I905" s="295"/>
      <c r="J905" s="295"/>
      <c r="K905" s="296"/>
      <c r="L905" s="301"/>
      <c r="M905" s="297"/>
      <c r="N905" s="298"/>
      <c r="P905" s="190" t="str">
        <f>IF(R905 = "", "", COUNT(R$4:$R905))</f>
        <v/>
      </c>
      <c r="Q905" s="190" t="str">
        <f t="shared" si="141"/>
        <v/>
      </c>
      <c r="R905" s="191" t="str">
        <f t="shared" si="142"/>
        <v/>
      </c>
      <c r="S905" s="192" t="str">
        <f t="shared" si="144"/>
        <v/>
      </c>
      <c r="T905" s="193" t="str">
        <f t="shared" si="145"/>
        <v/>
      </c>
      <c r="U905" s="194" t="str">
        <f t="shared" si="146"/>
        <v/>
      </c>
      <c r="V905" s="195" t="str">
        <f t="shared" si="143"/>
        <v/>
      </c>
      <c r="W905" s="336" t="str">
        <f t="shared" si="147"/>
        <v/>
      </c>
      <c r="X905" s="338" t="str">
        <f t="shared" si="148"/>
        <v/>
      </c>
      <c r="Y905" s="274"/>
      <c r="AR905" t="str">
        <f t="shared" si="149"/>
        <v/>
      </c>
      <c r="AS905" t="str">
        <f t="shared" si="150"/>
        <v/>
      </c>
    </row>
    <row r="906" spans="1:45">
      <c r="A906" s="291"/>
      <c r="B906" s="292"/>
      <c r="C906" s="293"/>
      <c r="D906" s="293"/>
      <c r="E906" s="293"/>
      <c r="F906" s="293"/>
      <c r="G906" s="294"/>
      <c r="H906" s="300"/>
      <c r="I906" s="295"/>
      <c r="J906" s="295"/>
      <c r="K906" s="296"/>
      <c r="L906" s="301"/>
      <c r="M906" s="297"/>
      <c r="N906" s="298"/>
      <c r="P906" s="190" t="str">
        <f>IF(R906 = "", "", COUNT(R$4:$R906))</f>
        <v/>
      </c>
      <c r="Q906" s="190" t="str">
        <f t="shared" si="141"/>
        <v/>
      </c>
      <c r="R906" s="191" t="str">
        <f t="shared" si="142"/>
        <v/>
      </c>
      <c r="S906" s="192" t="str">
        <f t="shared" si="144"/>
        <v/>
      </c>
      <c r="T906" s="193" t="str">
        <f t="shared" si="145"/>
        <v/>
      </c>
      <c r="U906" s="194" t="str">
        <f t="shared" si="146"/>
        <v/>
      </c>
      <c r="V906" s="195" t="str">
        <f t="shared" si="143"/>
        <v/>
      </c>
      <c r="W906" s="336" t="str">
        <f t="shared" si="147"/>
        <v/>
      </c>
      <c r="X906" s="338" t="str">
        <f t="shared" si="148"/>
        <v/>
      </c>
      <c r="Y906" s="274"/>
      <c r="AR906" t="str">
        <f t="shared" si="149"/>
        <v/>
      </c>
      <c r="AS906" t="str">
        <f t="shared" si="150"/>
        <v/>
      </c>
    </row>
    <row r="907" spans="1:45">
      <c r="A907" s="291"/>
      <c r="B907" s="292"/>
      <c r="C907" s="293"/>
      <c r="D907" s="293"/>
      <c r="E907" s="293"/>
      <c r="F907" s="293"/>
      <c r="G907" s="294"/>
      <c r="H907" s="300"/>
      <c r="I907" s="295"/>
      <c r="J907" s="295"/>
      <c r="K907" s="296"/>
      <c r="L907" s="301"/>
      <c r="M907" s="297"/>
      <c r="N907" s="298"/>
      <c r="P907" s="190" t="str">
        <f>IF(R907 = "", "", COUNT(R$4:$R907))</f>
        <v/>
      </c>
      <c r="Q907" s="190" t="str">
        <f t="shared" si="141"/>
        <v/>
      </c>
      <c r="R907" s="191" t="str">
        <f t="shared" si="142"/>
        <v/>
      </c>
      <c r="S907" s="192" t="str">
        <f t="shared" si="144"/>
        <v/>
      </c>
      <c r="T907" s="193" t="str">
        <f t="shared" si="145"/>
        <v/>
      </c>
      <c r="U907" s="194" t="str">
        <f t="shared" si="146"/>
        <v/>
      </c>
      <c r="V907" s="195" t="str">
        <f t="shared" si="143"/>
        <v/>
      </c>
      <c r="W907" s="336" t="str">
        <f t="shared" si="147"/>
        <v/>
      </c>
      <c r="X907" s="338" t="str">
        <f t="shared" si="148"/>
        <v/>
      </c>
      <c r="Y907" s="274"/>
      <c r="AR907" t="str">
        <f t="shared" si="149"/>
        <v/>
      </c>
      <c r="AS907" t="str">
        <f t="shared" si="150"/>
        <v/>
      </c>
    </row>
    <row r="908" spans="1:45">
      <c r="A908" s="291"/>
      <c r="B908" s="292"/>
      <c r="C908" s="293"/>
      <c r="D908" s="293"/>
      <c r="E908" s="293"/>
      <c r="F908" s="293"/>
      <c r="G908" s="294"/>
      <c r="H908" s="300"/>
      <c r="I908" s="295"/>
      <c r="J908" s="295"/>
      <c r="K908" s="296"/>
      <c r="L908" s="301"/>
      <c r="M908" s="297"/>
      <c r="N908" s="298"/>
      <c r="P908" s="190" t="str">
        <f>IF(R908 = "", "", COUNT(R$4:$R908))</f>
        <v/>
      </c>
      <c r="Q908" s="190" t="str">
        <f t="shared" si="141"/>
        <v/>
      </c>
      <c r="R908" s="191" t="str">
        <f t="shared" si="142"/>
        <v/>
      </c>
      <c r="S908" s="192" t="str">
        <f t="shared" si="144"/>
        <v/>
      </c>
      <c r="T908" s="193" t="str">
        <f t="shared" si="145"/>
        <v/>
      </c>
      <c r="U908" s="194" t="str">
        <f t="shared" si="146"/>
        <v/>
      </c>
      <c r="V908" s="195" t="str">
        <f t="shared" si="143"/>
        <v/>
      </c>
      <c r="W908" s="336" t="str">
        <f t="shared" si="147"/>
        <v/>
      </c>
      <c r="X908" s="338" t="str">
        <f t="shared" si="148"/>
        <v/>
      </c>
      <c r="Y908" s="274"/>
      <c r="AR908" t="str">
        <f t="shared" si="149"/>
        <v/>
      </c>
      <c r="AS908" t="str">
        <f t="shared" si="150"/>
        <v/>
      </c>
    </row>
    <row r="909" spans="1:45">
      <c r="A909" s="291"/>
      <c r="B909" s="292"/>
      <c r="C909" s="293"/>
      <c r="D909" s="293"/>
      <c r="E909" s="293"/>
      <c r="F909" s="293"/>
      <c r="G909" s="294"/>
      <c r="H909" s="300"/>
      <c r="I909" s="295"/>
      <c r="J909" s="295"/>
      <c r="K909" s="296"/>
      <c r="L909" s="301"/>
      <c r="M909" s="297"/>
      <c r="N909" s="298"/>
      <c r="P909" s="190" t="str">
        <f>IF(R909 = "", "", COUNT(R$4:$R909))</f>
        <v/>
      </c>
      <c r="Q909" s="190" t="str">
        <f t="shared" si="141"/>
        <v/>
      </c>
      <c r="R909" s="191" t="str">
        <f t="shared" si="142"/>
        <v/>
      </c>
      <c r="S909" s="192" t="str">
        <f t="shared" si="144"/>
        <v/>
      </c>
      <c r="T909" s="193" t="str">
        <f t="shared" si="145"/>
        <v/>
      </c>
      <c r="U909" s="194" t="str">
        <f t="shared" si="146"/>
        <v/>
      </c>
      <c r="V909" s="195" t="str">
        <f t="shared" si="143"/>
        <v/>
      </c>
      <c r="W909" s="336" t="str">
        <f t="shared" si="147"/>
        <v/>
      </c>
      <c r="X909" s="338" t="str">
        <f t="shared" si="148"/>
        <v/>
      </c>
      <c r="Y909" s="274"/>
      <c r="AR909" t="str">
        <f t="shared" si="149"/>
        <v/>
      </c>
      <c r="AS909" t="str">
        <f t="shared" si="150"/>
        <v/>
      </c>
    </row>
    <row r="910" spans="1:45">
      <c r="A910" s="291"/>
      <c r="B910" s="292"/>
      <c r="C910" s="293"/>
      <c r="D910" s="293"/>
      <c r="E910" s="293"/>
      <c r="F910" s="293"/>
      <c r="G910" s="294"/>
      <c r="H910" s="300"/>
      <c r="I910" s="295"/>
      <c r="J910" s="295"/>
      <c r="K910" s="296"/>
      <c r="L910" s="301"/>
      <c r="M910" s="297"/>
      <c r="N910" s="298"/>
      <c r="P910" s="190" t="str">
        <f>IF(R910 = "", "", COUNT(R$4:$R910))</f>
        <v/>
      </c>
      <c r="Q910" s="190" t="str">
        <f t="shared" si="141"/>
        <v/>
      </c>
      <c r="R910" s="191" t="str">
        <f t="shared" si="142"/>
        <v/>
      </c>
      <c r="S910" s="192" t="str">
        <f t="shared" si="144"/>
        <v/>
      </c>
      <c r="T910" s="193" t="str">
        <f t="shared" si="145"/>
        <v/>
      </c>
      <c r="U910" s="194" t="str">
        <f t="shared" si="146"/>
        <v/>
      </c>
      <c r="V910" s="195" t="str">
        <f t="shared" si="143"/>
        <v/>
      </c>
      <c r="W910" s="336" t="str">
        <f t="shared" si="147"/>
        <v/>
      </c>
      <c r="X910" s="338" t="str">
        <f t="shared" si="148"/>
        <v/>
      </c>
      <c r="Y910" s="274"/>
      <c r="AR910" t="str">
        <f t="shared" si="149"/>
        <v/>
      </c>
      <c r="AS910" t="str">
        <f t="shared" si="150"/>
        <v/>
      </c>
    </row>
    <row r="911" spans="1:45">
      <c r="A911" s="291"/>
      <c r="B911" s="292"/>
      <c r="C911" s="293"/>
      <c r="D911" s="293"/>
      <c r="E911" s="293"/>
      <c r="F911" s="293"/>
      <c r="G911" s="294"/>
      <c r="H911" s="300"/>
      <c r="I911" s="295"/>
      <c r="J911" s="295"/>
      <c r="K911" s="296"/>
      <c r="L911" s="301"/>
      <c r="M911" s="297"/>
      <c r="N911" s="298"/>
      <c r="P911" s="190" t="str">
        <f>IF(R911 = "", "", COUNT(R$4:$R911))</f>
        <v/>
      </c>
      <c r="Q911" s="190" t="str">
        <f t="shared" si="141"/>
        <v/>
      </c>
      <c r="R911" s="191" t="str">
        <f t="shared" si="142"/>
        <v/>
      </c>
      <c r="S911" s="192" t="str">
        <f t="shared" si="144"/>
        <v/>
      </c>
      <c r="T911" s="193" t="str">
        <f t="shared" si="145"/>
        <v/>
      </c>
      <c r="U911" s="194" t="str">
        <f t="shared" si="146"/>
        <v/>
      </c>
      <c r="V911" s="195" t="str">
        <f t="shared" si="143"/>
        <v/>
      </c>
      <c r="W911" s="336" t="str">
        <f t="shared" si="147"/>
        <v/>
      </c>
      <c r="X911" s="338" t="str">
        <f t="shared" si="148"/>
        <v/>
      </c>
      <c r="Y911" s="274"/>
      <c r="AR911" t="str">
        <f t="shared" si="149"/>
        <v/>
      </c>
      <c r="AS911" t="str">
        <f t="shared" si="150"/>
        <v/>
      </c>
    </row>
    <row r="912" spans="1:45">
      <c r="A912" s="291"/>
      <c r="B912" s="292"/>
      <c r="C912" s="293"/>
      <c r="D912" s="293"/>
      <c r="E912" s="293"/>
      <c r="F912" s="293"/>
      <c r="G912" s="294"/>
      <c r="H912" s="300"/>
      <c r="I912" s="295"/>
      <c r="J912" s="295"/>
      <c r="K912" s="296"/>
      <c r="L912" s="301"/>
      <c r="M912" s="297"/>
      <c r="N912" s="298"/>
      <c r="P912" s="190" t="str">
        <f>IF(R912 = "", "", COUNT(R$4:$R912))</f>
        <v/>
      </c>
      <c r="Q912" s="190" t="str">
        <f t="shared" si="141"/>
        <v/>
      </c>
      <c r="R912" s="191" t="str">
        <f t="shared" si="142"/>
        <v/>
      </c>
      <c r="S912" s="192" t="str">
        <f t="shared" si="144"/>
        <v/>
      </c>
      <c r="T912" s="193" t="str">
        <f t="shared" si="145"/>
        <v/>
      </c>
      <c r="U912" s="194" t="str">
        <f t="shared" si="146"/>
        <v/>
      </c>
      <c r="V912" s="195" t="str">
        <f t="shared" si="143"/>
        <v/>
      </c>
      <c r="W912" s="336" t="str">
        <f t="shared" si="147"/>
        <v/>
      </c>
      <c r="X912" s="338" t="str">
        <f t="shared" si="148"/>
        <v/>
      </c>
      <c r="Y912" s="274"/>
      <c r="AR912" t="str">
        <f t="shared" si="149"/>
        <v/>
      </c>
      <c r="AS912" t="str">
        <f t="shared" si="150"/>
        <v/>
      </c>
    </row>
    <row r="913" spans="1:45">
      <c r="A913" s="291"/>
      <c r="B913" s="292"/>
      <c r="C913" s="293"/>
      <c r="D913" s="293"/>
      <c r="E913" s="293"/>
      <c r="F913" s="293"/>
      <c r="G913" s="294"/>
      <c r="H913" s="300"/>
      <c r="I913" s="295"/>
      <c r="J913" s="295"/>
      <c r="K913" s="296"/>
      <c r="L913" s="301"/>
      <c r="M913" s="297"/>
      <c r="N913" s="298"/>
      <c r="P913" s="190" t="str">
        <f>IF(R913 = "", "", COUNT(R$4:$R913))</f>
        <v/>
      </c>
      <c r="Q913" s="190" t="str">
        <f t="shared" si="141"/>
        <v/>
      </c>
      <c r="R913" s="191" t="str">
        <f t="shared" si="142"/>
        <v/>
      </c>
      <c r="S913" s="192" t="str">
        <f t="shared" si="144"/>
        <v/>
      </c>
      <c r="T913" s="193" t="str">
        <f t="shared" si="145"/>
        <v/>
      </c>
      <c r="U913" s="194" t="str">
        <f t="shared" si="146"/>
        <v/>
      </c>
      <c r="V913" s="195" t="str">
        <f t="shared" si="143"/>
        <v/>
      </c>
      <c r="W913" s="336" t="str">
        <f t="shared" si="147"/>
        <v/>
      </c>
      <c r="X913" s="338" t="str">
        <f t="shared" si="148"/>
        <v/>
      </c>
      <c r="Y913" s="274"/>
      <c r="AR913" t="str">
        <f t="shared" si="149"/>
        <v/>
      </c>
      <c r="AS913" t="str">
        <f t="shared" si="150"/>
        <v/>
      </c>
    </row>
    <row r="914" spans="1:45">
      <c r="A914" s="291"/>
      <c r="B914" s="292"/>
      <c r="C914" s="293"/>
      <c r="D914" s="293"/>
      <c r="E914" s="293"/>
      <c r="F914" s="293"/>
      <c r="G914" s="294"/>
      <c r="H914" s="300"/>
      <c r="I914" s="295"/>
      <c r="J914" s="295"/>
      <c r="K914" s="296"/>
      <c r="L914" s="301"/>
      <c r="M914" s="297"/>
      <c r="N914" s="298"/>
      <c r="P914" s="190" t="str">
        <f>IF(R914 = "", "", COUNT(R$4:$R914))</f>
        <v/>
      </c>
      <c r="Q914" s="190" t="str">
        <f t="shared" si="141"/>
        <v/>
      </c>
      <c r="R914" s="191" t="str">
        <f t="shared" si="142"/>
        <v/>
      </c>
      <c r="S914" s="192" t="str">
        <f t="shared" si="144"/>
        <v/>
      </c>
      <c r="T914" s="193" t="str">
        <f t="shared" si="145"/>
        <v/>
      </c>
      <c r="U914" s="194" t="str">
        <f t="shared" si="146"/>
        <v/>
      </c>
      <c r="V914" s="195" t="str">
        <f t="shared" si="143"/>
        <v/>
      </c>
      <c r="W914" s="336" t="str">
        <f t="shared" si="147"/>
        <v/>
      </c>
      <c r="X914" s="338" t="str">
        <f t="shared" si="148"/>
        <v/>
      </c>
      <c r="Y914" s="274"/>
      <c r="AR914" t="str">
        <f t="shared" si="149"/>
        <v/>
      </c>
      <c r="AS914" t="str">
        <f t="shared" si="150"/>
        <v/>
      </c>
    </row>
    <row r="915" spans="1:45">
      <c r="A915" s="291"/>
      <c r="B915" s="292"/>
      <c r="C915" s="293"/>
      <c r="D915" s="293"/>
      <c r="E915" s="293"/>
      <c r="F915" s="293"/>
      <c r="G915" s="294"/>
      <c r="H915" s="300"/>
      <c r="I915" s="295"/>
      <c r="J915" s="295"/>
      <c r="K915" s="296"/>
      <c r="L915" s="301"/>
      <c r="M915" s="297"/>
      <c r="N915" s="298"/>
      <c r="P915" s="190" t="str">
        <f>IF(R915 = "", "", COUNT(R$4:$R915))</f>
        <v/>
      </c>
      <c r="Q915" s="190" t="str">
        <f t="shared" si="141"/>
        <v/>
      </c>
      <c r="R915" s="191" t="str">
        <f t="shared" si="142"/>
        <v/>
      </c>
      <c r="S915" s="192" t="str">
        <f t="shared" si="144"/>
        <v/>
      </c>
      <c r="T915" s="193" t="str">
        <f t="shared" si="145"/>
        <v/>
      </c>
      <c r="U915" s="194" t="str">
        <f t="shared" si="146"/>
        <v/>
      </c>
      <c r="V915" s="195" t="str">
        <f t="shared" si="143"/>
        <v/>
      </c>
      <c r="W915" s="336" t="str">
        <f t="shared" si="147"/>
        <v/>
      </c>
      <c r="X915" s="338" t="str">
        <f t="shared" si="148"/>
        <v/>
      </c>
      <c r="Y915" s="274"/>
      <c r="AR915" t="str">
        <f t="shared" si="149"/>
        <v/>
      </c>
      <c r="AS915" t="str">
        <f t="shared" si="150"/>
        <v/>
      </c>
    </row>
    <row r="916" spans="1:45">
      <c r="A916" s="291"/>
      <c r="B916" s="292"/>
      <c r="C916" s="293"/>
      <c r="D916" s="293"/>
      <c r="E916" s="293"/>
      <c r="F916" s="293"/>
      <c r="G916" s="294"/>
      <c r="H916" s="300"/>
      <c r="I916" s="295"/>
      <c r="J916" s="295"/>
      <c r="K916" s="296"/>
      <c r="L916" s="301"/>
      <c r="M916" s="297"/>
      <c r="N916" s="298"/>
      <c r="P916" s="190" t="str">
        <f>IF(R916 = "", "", COUNT(R$4:$R916))</f>
        <v/>
      </c>
      <c r="Q916" s="190" t="str">
        <f t="shared" si="141"/>
        <v/>
      </c>
      <c r="R916" s="191" t="str">
        <f t="shared" si="142"/>
        <v/>
      </c>
      <c r="S916" s="192" t="str">
        <f t="shared" si="144"/>
        <v/>
      </c>
      <c r="T916" s="193" t="str">
        <f t="shared" si="145"/>
        <v/>
      </c>
      <c r="U916" s="194" t="str">
        <f t="shared" si="146"/>
        <v/>
      </c>
      <c r="V916" s="195" t="str">
        <f t="shared" si="143"/>
        <v/>
      </c>
      <c r="W916" s="336" t="str">
        <f t="shared" si="147"/>
        <v/>
      </c>
      <c r="X916" s="338" t="str">
        <f t="shared" si="148"/>
        <v/>
      </c>
      <c r="Y916" s="274"/>
      <c r="AR916" t="str">
        <f t="shared" si="149"/>
        <v/>
      </c>
      <c r="AS916" t="str">
        <f t="shared" si="150"/>
        <v/>
      </c>
    </row>
    <row r="917" spans="1:45">
      <c r="A917" s="291"/>
      <c r="B917" s="292"/>
      <c r="C917" s="293"/>
      <c r="D917" s="293"/>
      <c r="E917" s="293"/>
      <c r="F917" s="293"/>
      <c r="G917" s="294"/>
      <c r="H917" s="300"/>
      <c r="I917" s="295"/>
      <c r="J917" s="295"/>
      <c r="K917" s="296"/>
      <c r="L917" s="301"/>
      <c r="M917" s="297"/>
      <c r="N917" s="298"/>
      <c r="P917" s="190" t="str">
        <f>IF(R917 = "", "", COUNT(R$4:$R917))</f>
        <v/>
      </c>
      <c r="Q917" s="190" t="str">
        <f t="shared" si="141"/>
        <v/>
      </c>
      <c r="R917" s="191" t="str">
        <f t="shared" si="142"/>
        <v/>
      </c>
      <c r="S917" s="192" t="str">
        <f t="shared" si="144"/>
        <v/>
      </c>
      <c r="T917" s="193" t="str">
        <f t="shared" si="145"/>
        <v/>
      </c>
      <c r="U917" s="194" t="str">
        <f t="shared" si="146"/>
        <v/>
      </c>
      <c r="V917" s="195" t="str">
        <f t="shared" si="143"/>
        <v/>
      </c>
      <c r="W917" s="336" t="str">
        <f t="shared" si="147"/>
        <v/>
      </c>
      <c r="X917" s="338" t="str">
        <f t="shared" si="148"/>
        <v/>
      </c>
      <c r="Y917" s="274"/>
      <c r="AR917" t="str">
        <f t="shared" si="149"/>
        <v/>
      </c>
      <c r="AS917" t="str">
        <f t="shared" si="150"/>
        <v/>
      </c>
    </row>
    <row r="918" spans="1:45">
      <c r="A918" s="291"/>
      <c r="B918" s="292"/>
      <c r="C918" s="293"/>
      <c r="D918" s="293"/>
      <c r="E918" s="293"/>
      <c r="F918" s="293"/>
      <c r="G918" s="294"/>
      <c r="H918" s="300"/>
      <c r="I918" s="295"/>
      <c r="J918" s="295"/>
      <c r="K918" s="296"/>
      <c r="L918" s="301"/>
      <c r="M918" s="297"/>
      <c r="N918" s="298"/>
      <c r="P918" s="190" t="str">
        <f>IF(R918 = "", "", COUNT(R$4:$R918))</f>
        <v/>
      </c>
      <c r="Q918" s="190" t="str">
        <f t="shared" si="141"/>
        <v/>
      </c>
      <c r="R918" s="191" t="str">
        <f t="shared" si="142"/>
        <v/>
      </c>
      <c r="S918" s="192" t="str">
        <f t="shared" si="144"/>
        <v/>
      </c>
      <c r="T918" s="193" t="str">
        <f t="shared" si="145"/>
        <v/>
      </c>
      <c r="U918" s="194" t="str">
        <f t="shared" si="146"/>
        <v/>
      </c>
      <c r="V918" s="195" t="str">
        <f t="shared" si="143"/>
        <v/>
      </c>
      <c r="W918" s="336" t="str">
        <f t="shared" si="147"/>
        <v/>
      </c>
      <c r="X918" s="338" t="str">
        <f t="shared" si="148"/>
        <v/>
      </c>
      <c r="Y918" s="274"/>
      <c r="AR918" t="str">
        <f t="shared" si="149"/>
        <v/>
      </c>
      <c r="AS918" t="str">
        <f t="shared" si="150"/>
        <v/>
      </c>
    </row>
    <row r="919" spans="1:45">
      <c r="A919" s="291"/>
      <c r="B919" s="292"/>
      <c r="C919" s="293"/>
      <c r="D919" s="293"/>
      <c r="E919" s="293"/>
      <c r="F919" s="293"/>
      <c r="G919" s="294"/>
      <c r="H919" s="300"/>
      <c r="I919" s="295"/>
      <c r="J919" s="295"/>
      <c r="K919" s="296"/>
      <c r="L919" s="301"/>
      <c r="M919" s="297"/>
      <c r="N919" s="298"/>
      <c r="P919" s="190" t="str">
        <f>IF(R919 = "", "", COUNT(R$4:$R919))</f>
        <v/>
      </c>
      <c r="Q919" s="190" t="str">
        <f t="shared" si="141"/>
        <v/>
      </c>
      <c r="R919" s="191" t="str">
        <f t="shared" si="142"/>
        <v/>
      </c>
      <c r="S919" s="192" t="str">
        <f t="shared" si="144"/>
        <v/>
      </c>
      <c r="T919" s="193" t="str">
        <f t="shared" si="145"/>
        <v/>
      </c>
      <c r="U919" s="194" t="str">
        <f t="shared" si="146"/>
        <v/>
      </c>
      <c r="V919" s="195" t="str">
        <f t="shared" si="143"/>
        <v/>
      </c>
      <c r="W919" s="336" t="str">
        <f t="shared" si="147"/>
        <v/>
      </c>
      <c r="X919" s="338" t="str">
        <f t="shared" si="148"/>
        <v/>
      </c>
      <c r="Y919" s="274"/>
      <c r="AR919" t="str">
        <f t="shared" si="149"/>
        <v/>
      </c>
      <c r="AS919" t="str">
        <f t="shared" si="150"/>
        <v/>
      </c>
    </row>
    <row r="920" spans="1:45">
      <c r="A920" s="291"/>
      <c r="B920" s="292"/>
      <c r="C920" s="293"/>
      <c r="D920" s="293"/>
      <c r="E920" s="293"/>
      <c r="F920" s="293"/>
      <c r="G920" s="294"/>
      <c r="H920" s="300"/>
      <c r="I920" s="295"/>
      <c r="J920" s="295"/>
      <c r="K920" s="296"/>
      <c r="L920" s="301"/>
      <c r="M920" s="297"/>
      <c r="N920" s="298"/>
      <c r="P920" s="190" t="str">
        <f>IF(R920 = "", "", COUNT(R$4:$R920))</f>
        <v/>
      </c>
      <c r="Q920" s="190" t="str">
        <f t="shared" si="141"/>
        <v/>
      </c>
      <c r="R920" s="191" t="str">
        <f t="shared" si="142"/>
        <v/>
      </c>
      <c r="S920" s="192" t="str">
        <f t="shared" si="144"/>
        <v/>
      </c>
      <c r="T920" s="193" t="str">
        <f t="shared" si="145"/>
        <v/>
      </c>
      <c r="U920" s="194" t="str">
        <f t="shared" si="146"/>
        <v/>
      </c>
      <c r="V920" s="195" t="str">
        <f t="shared" si="143"/>
        <v/>
      </c>
      <c r="W920" s="336" t="str">
        <f t="shared" si="147"/>
        <v/>
      </c>
      <c r="X920" s="338" t="str">
        <f t="shared" si="148"/>
        <v/>
      </c>
      <c r="Y920" s="274"/>
      <c r="AR920" t="str">
        <f t="shared" si="149"/>
        <v/>
      </c>
      <c r="AS920" t="str">
        <f t="shared" si="150"/>
        <v/>
      </c>
    </row>
    <row r="921" spans="1:45">
      <c r="A921" s="291"/>
      <c r="B921" s="292"/>
      <c r="C921" s="293"/>
      <c r="D921" s="293"/>
      <c r="E921" s="293"/>
      <c r="F921" s="293"/>
      <c r="G921" s="294"/>
      <c r="H921" s="300"/>
      <c r="I921" s="295"/>
      <c r="J921" s="295"/>
      <c r="K921" s="296"/>
      <c r="L921" s="301"/>
      <c r="M921" s="297"/>
      <c r="N921" s="298"/>
      <c r="P921" s="190" t="str">
        <f>IF(R921 = "", "", COUNT(R$4:$R921))</f>
        <v/>
      </c>
      <c r="Q921" s="190" t="str">
        <f t="shared" si="141"/>
        <v/>
      </c>
      <c r="R921" s="191" t="str">
        <f t="shared" si="142"/>
        <v/>
      </c>
      <c r="S921" s="192" t="str">
        <f t="shared" si="144"/>
        <v/>
      </c>
      <c r="T921" s="193" t="str">
        <f t="shared" si="145"/>
        <v/>
      </c>
      <c r="U921" s="194" t="str">
        <f t="shared" si="146"/>
        <v/>
      </c>
      <c r="V921" s="195" t="str">
        <f t="shared" si="143"/>
        <v/>
      </c>
      <c r="W921" s="336" t="str">
        <f t="shared" si="147"/>
        <v/>
      </c>
      <c r="X921" s="338" t="str">
        <f t="shared" si="148"/>
        <v/>
      </c>
      <c r="Y921" s="274"/>
      <c r="AR921" t="str">
        <f t="shared" si="149"/>
        <v/>
      </c>
      <c r="AS921" t="str">
        <f t="shared" si="150"/>
        <v/>
      </c>
    </row>
    <row r="922" spans="1:45">
      <c r="A922" s="291"/>
      <c r="B922" s="292"/>
      <c r="C922" s="293"/>
      <c r="D922" s="293"/>
      <c r="E922" s="293"/>
      <c r="F922" s="293"/>
      <c r="G922" s="294"/>
      <c r="H922" s="300"/>
      <c r="I922" s="295"/>
      <c r="J922" s="295"/>
      <c r="K922" s="296"/>
      <c r="L922" s="301"/>
      <c r="M922" s="297"/>
      <c r="N922" s="298"/>
      <c r="P922" s="190" t="str">
        <f>IF(R922 = "", "", COUNT(R$4:$R922))</f>
        <v/>
      </c>
      <c r="Q922" s="190" t="str">
        <f t="shared" si="141"/>
        <v/>
      </c>
      <c r="R922" s="191" t="str">
        <f t="shared" si="142"/>
        <v/>
      </c>
      <c r="S922" s="192" t="str">
        <f t="shared" si="144"/>
        <v/>
      </c>
      <c r="T922" s="193" t="str">
        <f t="shared" si="145"/>
        <v/>
      </c>
      <c r="U922" s="194" t="str">
        <f t="shared" si="146"/>
        <v/>
      </c>
      <c r="V922" s="195" t="str">
        <f t="shared" si="143"/>
        <v/>
      </c>
      <c r="W922" s="336" t="str">
        <f t="shared" si="147"/>
        <v/>
      </c>
      <c r="X922" s="338" t="str">
        <f t="shared" si="148"/>
        <v/>
      </c>
      <c r="Y922" s="274"/>
      <c r="AR922" t="str">
        <f t="shared" si="149"/>
        <v/>
      </c>
      <c r="AS922" t="str">
        <f t="shared" si="150"/>
        <v/>
      </c>
    </row>
    <row r="923" spans="1:45">
      <c r="A923" s="291"/>
      <c r="B923" s="292"/>
      <c r="C923" s="293"/>
      <c r="D923" s="293"/>
      <c r="E923" s="293"/>
      <c r="F923" s="293"/>
      <c r="G923" s="294"/>
      <c r="H923" s="300"/>
      <c r="I923" s="295"/>
      <c r="J923" s="295"/>
      <c r="K923" s="296"/>
      <c r="L923" s="301"/>
      <c r="M923" s="297"/>
      <c r="N923" s="298"/>
      <c r="P923" s="190" t="str">
        <f>IF(R923 = "", "", COUNT(R$4:$R923))</f>
        <v/>
      </c>
      <c r="Q923" s="190" t="str">
        <f t="shared" si="141"/>
        <v/>
      </c>
      <c r="R923" s="191" t="str">
        <f t="shared" si="142"/>
        <v/>
      </c>
      <c r="S923" s="192" t="str">
        <f t="shared" si="144"/>
        <v/>
      </c>
      <c r="T923" s="193" t="str">
        <f t="shared" si="145"/>
        <v/>
      </c>
      <c r="U923" s="194" t="str">
        <f t="shared" si="146"/>
        <v/>
      </c>
      <c r="V923" s="195" t="str">
        <f t="shared" si="143"/>
        <v/>
      </c>
      <c r="W923" s="336" t="str">
        <f t="shared" si="147"/>
        <v/>
      </c>
      <c r="X923" s="338" t="str">
        <f t="shared" si="148"/>
        <v/>
      </c>
      <c r="Y923" s="274"/>
      <c r="AR923" t="str">
        <f t="shared" si="149"/>
        <v/>
      </c>
      <c r="AS923" t="str">
        <f t="shared" si="150"/>
        <v/>
      </c>
    </row>
    <row r="924" spans="1:45">
      <c r="A924" s="291"/>
      <c r="B924" s="292"/>
      <c r="C924" s="293"/>
      <c r="D924" s="293"/>
      <c r="E924" s="293"/>
      <c r="F924" s="293"/>
      <c r="G924" s="294"/>
      <c r="H924" s="300"/>
      <c r="I924" s="295"/>
      <c r="J924" s="295"/>
      <c r="K924" s="296"/>
      <c r="L924" s="301"/>
      <c r="M924" s="297"/>
      <c r="N924" s="298"/>
      <c r="P924" s="190" t="str">
        <f>IF(R924 = "", "", COUNT(R$4:$R924))</f>
        <v/>
      </c>
      <c r="Q924" s="190" t="str">
        <f t="shared" si="141"/>
        <v/>
      </c>
      <c r="R924" s="191" t="str">
        <f t="shared" si="142"/>
        <v/>
      </c>
      <c r="S924" s="192" t="str">
        <f t="shared" si="144"/>
        <v/>
      </c>
      <c r="T924" s="193" t="str">
        <f t="shared" si="145"/>
        <v/>
      </c>
      <c r="U924" s="194" t="str">
        <f t="shared" si="146"/>
        <v/>
      </c>
      <c r="V924" s="195" t="str">
        <f t="shared" si="143"/>
        <v/>
      </c>
      <c r="W924" s="336" t="str">
        <f t="shared" si="147"/>
        <v/>
      </c>
      <c r="X924" s="338" t="str">
        <f t="shared" si="148"/>
        <v/>
      </c>
      <c r="Y924" s="274"/>
      <c r="AR924" t="str">
        <f t="shared" si="149"/>
        <v/>
      </c>
      <c r="AS924" t="str">
        <f t="shared" si="150"/>
        <v/>
      </c>
    </row>
    <row r="925" spans="1:45">
      <c r="A925" s="291"/>
      <c r="B925" s="292"/>
      <c r="C925" s="293"/>
      <c r="D925" s="293"/>
      <c r="E925" s="293"/>
      <c r="F925" s="293"/>
      <c r="G925" s="294"/>
      <c r="H925" s="300"/>
      <c r="I925" s="295"/>
      <c r="J925" s="295"/>
      <c r="K925" s="296"/>
      <c r="L925" s="301"/>
      <c r="M925" s="297"/>
      <c r="N925" s="298"/>
      <c r="P925" s="190" t="str">
        <f>IF(R925 = "", "", COUNT(R$4:$R925))</f>
        <v/>
      </c>
      <c r="Q925" s="190" t="str">
        <f t="shared" si="141"/>
        <v/>
      </c>
      <c r="R925" s="191" t="str">
        <f t="shared" si="142"/>
        <v/>
      </c>
      <c r="S925" s="192" t="str">
        <f t="shared" si="144"/>
        <v/>
      </c>
      <c r="T925" s="193" t="str">
        <f t="shared" si="145"/>
        <v/>
      </c>
      <c r="U925" s="194" t="str">
        <f t="shared" si="146"/>
        <v/>
      </c>
      <c r="V925" s="195" t="str">
        <f t="shared" si="143"/>
        <v/>
      </c>
      <c r="W925" s="336" t="str">
        <f t="shared" si="147"/>
        <v/>
      </c>
      <c r="X925" s="338" t="str">
        <f t="shared" si="148"/>
        <v/>
      </c>
      <c r="Y925" s="274"/>
      <c r="AR925" t="str">
        <f t="shared" si="149"/>
        <v/>
      </c>
      <c r="AS925" t="str">
        <f t="shared" si="150"/>
        <v/>
      </c>
    </row>
    <row r="926" spans="1:45">
      <c r="A926" s="291"/>
      <c r="B926" s="292"/>
      <c r="C926" s="293"/>
      <c r="D926" s="293"/>
      <c r="E926" s="293"/>
      <c r="F926" s="293"/>
      <c r="G926" s="294"/>
      <c r="H926" s="300"/>
      <c r="I926" s="295"/>
      <c r="J926" s="295"/>
      <c r="K926" s="296"/>
      <c r="L926" s="301"/>
      <c r="M926" s="297"/>
      <c r="N926" s="298"/>
      <c r="P926" s="190" t="str">
        <f>IF(R926 = "", "", COUNT(R$4:$R926))</f>
        <v/>
      </c>
      <c r="Q926" s="190" t="str">
        <f t="shared" si="141"/>
        <v/>
      </c>
      <c r="R926" s="191" t="str">
        <f t="shared" si="142"/>
        <v/>
      </c>
      <c r="S926" s="192" t="str">
        <f t="shared" si="144"/>
        <v/>
      </c>
      <c r="T926" s="193" t="str">
        <f t="shared" si="145"/>
        <v/>
      </c>
      <c r="U926" s="194" t="str">
        <f t="shared" si="146"/>
        <v/>
      </c>
      <c r="V926" s="195" t="str">
        <f t="shared" si="143"/>
        <v/>
      </c>
      <c r="W926" s="336" t="str">
        <f t="shared" si="147"/>
        <v/>
      </c>
      <c r="X926" s="338" t="str">
        <f t="shared" si="148"/>
        <v/>
      </c>
      <c r="Y926" s="274"/>
      <c r="AR926" t="str">
        <f t="shared" si="149"/>
        <v/>
      </c>
      <c r="AS926" t="str">
        <f t="shared" si="150"/>
        <v/>
      </c>
    </row>
    <row r="927" spans="1:45">
      <c r="A927" s="291"/>
      <c r="B927" s="292"/>
      <c r="C927" s="293"/>
      <c r="D927" s="293"/>
      <c r="E927" s="293"/>
      <c r="F927" s="293"/>
      <c r="G927" s="294"/>
      <c r="H927" s="300"/>
      <c r="I927" s="295"/>
      <c r="J927" s="295"/>
      <c r="K927" s="296"/>
      <c r="L927" s="301"/>
      <c r="M927" s="297"/>
      <c r="N927" s="298"/>
      <c r="P927" s="190" t="str">
        <f>IF(R927 = "", "", COUNT(R$4:$R927))</f>
        <v/>
      </c>
      <c r="Q927" s="190" t="str">
        <f t="shared" si="141"/>
        <v/>
      </c>
      <c r="R927" s="191" t="str">
        <f t="shared" si="142"/>
        <v/>
      </c>
      <c r="S927" s="192" t="str">
        <f t="shared" si="144"/>
        <v/>
      </c>
      <c r="T927" s="193" t="str">
        <f t="shared" si="145"/>
        <v/>
      </c>
      <c r="U927" s="194" t="str">
        <f t="shared" si="146"/>
        <v/>
      </c>
      <c r="V927" s="195" t="str">
        <f t="shared" si="143"/>
        <v/>
      </c>
      <c r="W927" s="336" t="str">
        <f t="shared" si="147"/>
        <v/>
      </c>
      <c r="X927" s="338" t="str">
        <f t="shared" si="148"/>
        <v/>
      </c>
      <c r="Y927" s="274"/>
      <c r="AR927" t="str">
        <f t="shared" si="149"/>
        <v/>
      </c>
      <c r="AS927" t="str">
        <f t="shared" si="150"/>
        <v/>
      </c>
    </row>
    <row r="928" spans="1:45">
      <c r="A928" s="291"/>
      <c r="B928" s="292"/>
      <c r="C928" s="293"/>
      <c r="D928" s="293"/>
      <c r="E928" s="293"/>
      <c r="F928" s="293"/>
      <c r="G928" s="294"/>
      <c r="H928" s="300"/>
      <c r="I928" s="295"/>
      <c r="J928" s="295"/>
      <c r="K928" s="296"/>
      <c r="L928" s="301"/>
      <c r="M928" s="297"/>
      <c r="N928" s="298"/>
      <c r="P928" s="190" t="str">
        <f>IF(R928 = "", "", COUNT(R$4:$R928))</f>
        <v/>
      </c>
      <c r="Q928" s="190" t="str">
        <f t="shared" si="141"/>
        <v/>
      </c>
      <c r="R928" s="191" t="str">
        <f t="shared" si="142"/>
        <v/>
      </c>
      <c r="S928" s="192" t="str">
        <f t="shared" si="144"/>
        <v/>
      </c>
      <c r="T928" s="193" t="str">
        <f t="shared" si="145"/>
        <v/>
      </c>
      <c r="U928" s="194" t="str">
        <f t="shared" si="146"/>
        <v/>
      </c>
      <c r="V928" s="195" t="str">
        <f t="shared" si="143"/>
        <v/>
      </c>
      <c r="W928" s="336" t="str">
        <f t="shared" si="147"/>
        <v/>
      </c>
      <c r="X928" s="338" t="str">
        <f t="shared" si="148"/>
        <v/>
      </c>
      <c r="Y928" s="274"/>
      <c r="AR928" t="str">
        <f t="shared" si="149"/>
        <v/>
      </c>
      <c r="AS928" t="str">
        <f t="shared" si="150"/>
        <v/>
      </c>
    </row>
    <row r="929" spans="1:45">
      <c r="A929" s="291"/>
      <c r="B929" s="292"/>
      <c r="C929" s="293"/>
      <c r="D929" s="293"/>
      <c r="E929" s="293"/>
      <c r="F929" s="293"/>
      <c r="G929" s="294"/>
      <c r="H929" s="300"/>
      <c r="I929" s="295"/>
      <c r="J929" s="295"/>
      <c r="K929" s="296"/>
      <c r="L929" s="301"/>
      <c r="M929" s="297"/>
      <c r="N929" s="298"/>
      <c r="P929" s="190" t="str">
        <f>IF(R929 = "", "", COUNT(R$4:$R929))</f>
        <v/>
      </c>
      <c r="Q929" s="190" t="str">
        <f t="shared" si="141"/>
        <v/>
      </c>
      <c r="R929" s="191" t="str">
        <f t="shared" si="142"/>
        <v/>
      </c>
      <c r="S929" s="192" t="str">
        <f t="shared" si="144"/>
        <v/>
      </c>
      <c r="T929" s="193" t="str">
        <f t="shared" si="145"/>
        <v/>
      </c>
      <c r="U929" s="194" t="str">
        <f t="shared" si="146"/>
        <v/>
      </c>
      <c r="V929" s="195" t="str">
        <f t="shared" si="143"/>
        <v/>
      </c>
      <c r="W929" s="336" t="str">
        <f t="shared" si="147"/>
        <v/>
      </c>
      <c r="X929" s="338" t="str">
        <f t="shared" si="148"/>
        <v/>
      </c>
      <c r="Y929" s="274"/>
      <c r="AR929" t="str">
        <f t="shared" si="149"/>
        <v/>
      </c>
      <c r="AS929" t="str">
        <f t="shared" si="150"/>
        <v/>
      </c>
    </row>
    <row r="930" spans="1:45">
      <c r="A930" s="291"/>
      <c r="B930" s="292"/>
      <c r="C930" s="293"/>
      <c r="D930" s="293"/>
      <c r="E930" s="293"/>
      <c r="F930" s="293"/>
      <c r="G930" s="294"/>
      <c r="H930" s="300"/>
      <c r="I930" s="295"/>
      <c r="J930" s="295"/>
      <c r="K930" s="296"/>
      <c r="L930" s="301"/>
      <c r="M930" s="297"/>
      <c r="N930" s="298"/>
      <c r="P930" s="190" t="str">
        <f>IF(R930 = "", "", COUNT(R$4:$R930))</f>
        <v/>
      </c>
      <c r="Q930" s="190" t="str">
        <f t="shared" si="141"/>
        <v/>
      </c>
      <c r="R930" s="191" t="str">
        <f t="shared" si="142"/>
        <v/>
      </c>
      <c r="S930" s="192" t="str">
        <f t="shared" si="144"/>
        <v/>
      </c>
      <c r="T930" s="193" t="str">
        <f t="shared" si="145"/>
        <v/>
      </c>
      <c r="U930" s="194" t="str">
        <f t="shared" si="146"/>
        <v/>
      </c>
      <c r="V930" s="195" t="str">
        <f t="shared" si="143"/>
        <v/>
      </c>
      <c r="W930" s="336" t="str">
        <f t="shared" si="147"/>
        <v/>
      </c>
      <c r="X930" s="338" t="str">
        <f t="shared" si="148"/>
        <v/>
      </c>
      <c r="Y930" s="274"/>
      <c r="AR930" t="str">
        <f t="shared" si="149"/>
        <v/>
      </c>
      <c r="AS930" t="str">
        <f t="shared" si="150"/>
        <v/>
      </c>
    </row>
    <row r="931" spans="1:45">
      <c r="A931" s="291"/>
      <c r="B931" s="292"/>
      <c r="C931" s="293"/>
      <c r="D931" s="293"/>
      <c r="E931" s="293"/>
      <c r="F931" s="293"/>
      <c r="G931" s="294"/>
      <c r="H931" s="300"/>
      <c r="I931" s="295"/>
      <c r="J931" s="295"/>
      <c r="K931" s="296"/>
      <c r="L931" s="301"/>
      <c r="M931" s="297"/>
      <c r="N931" s="298"/>
      <c r="P931" s="190" t="str">
        <f>IF(R931 = "", "", COUNT(R$4:$R931))</f>
        <v/>
      </c>
      <c r="Q931" s="190" t="str">
        <f t="shared" si="141"/>
        <v/>
      </c>
      <c r="R931" s="191" t="str">
        <f t="shared" si="142"/>
        <v/>
      </c>
      <c r="S931" s="192" t="str">
        <f t="shared" si="144"/>
        <v/>
      </c>
      <c r="T931" s="193" t="str">
        <f t="shared" si="145"/>
        <v/>
      </c>
      <c r="U931" s="194" t="str">
        <f t="shared" si="146"/>
        <v/>
      </c>
      <c r="V931" s="195" t="str">
        <f t="shared" si="143"/>
        <v/>
      </c>
      <c r="W931" s="336" t="str">
        <f t="shared" si="147"/>
        <v/>
      </c>
      <c r="X931" s="338" t="str">
        <f t="shared" si="148"/>
        <v/>
      </c>
      <c r="Y931" s="274"/>
      <c r="AR931" t="str">
        <f t="shared" si="149"/>
        <v/>
      </c>
      <c r="AS931" t="str">
        <f t="shared" si="150"/>
        <v/>
      </c>
    </row>
    <row r="932" spans="1:45">
      <c r="A932" s="291"/>
      <c r="B932" s="292"/>
      <c r="C932" s="293"/>
      <c r="D932" s="293"/>
      <c r="E932" s="293"/>
      <c r="F932" s="293"/>
      <c r="G932" s="294"/>
      <c r="H932" s="300"/>
      <c r="I932" s="295"/>
      <c r="J932" s="295"/>
      <c r="K932" s="296"/>
      <c r="L932" s="301"/>
      <c r="M932" s="297"/>
      <c r="N932" s="298"/>
      <c r="P932" s="190" t="str">
        <f>IF(R932 = "", "", COUNT(R$4:$R932))</f>
        <v/>
      </c>
      <c r="Q932" s="190" t="str">
        <f t="shared" si="141"/>
        <v/>
      </c>
      <c r="R932" s="191" t="str">
        <f t="shared" si="142"/>
        <v/>
      </c>
      <c r="S932" s="192" t="str">
        <f t="shared" si="144"/>
        <v/>
      </c>
      <c r="T932" s="193" t="str">
        <f t="shared" si="145"/>
        <v/>
      </c>
      <c r="U932" s="194" t="str">
        <f t="shared" si="146"/>
        <v/>
      </c>
      <c r="V932" s="195" t="str">
        <f t="shared" si="143"/>
        <v/>
      </c>
      <c r="W932" s="336" t="str">
        <f t="shared" si="147"/>
        <v/>
      </c>
      <c r="X932" s="338" t="str">
        <f t="shared" si="148"/>
        <v/>
      </c>
      <c r="Y932" s="274"/>
      <c r="AR932" t="str">
        <f t="shared" si="149"/>
        <v/>
      </c>
      <c r="AS932" t="str">
        <f t="shared" si="150"/>
        <v/>
      </c>
    </row>
    <row r="933" spans="1:45">
      <c r="A933" s="291"/>
      <c r="B933" s="292"/>
      <c r="C933" s="293"/>
      <c r="D933" s="293"/>
      <c r="E933" s="293"/>
      <c r="F933" s="293"/>
      <c r="G933" s="294"/>
      <c r="H933" s="300"/>
      <c r="I933" s="295"/>
      <c r="J933" s="295"/>
      <c r="K933" s="296"/>
      <c r="L933" s="301"/>
      <c r="M933" s="297"/>
      <c r="N933" s="298"/>
      <c r="P933" s="190" t="str">
        <f>IF(R933 = "", "", COUNT(R$4:$R933))</f>
        <v/>
      </c>
      <c r="Q933" s="190" t="str">
        <f t="shared" si="141"/>
        <v/>
      </c>
      <c r="R933" s="191" t="str">
        <f t="shared" si="142"/>
        <v/>
      </c>
      <c r="S933" s="192" t="str">
        <f t="shared" si="144"/>
        <v/>
      </c>
      <c r="T933" s="193" t="str">
        <f t="shared" si="145"/>
        <v/>
      </c>
      <c r="U933" s="194" t="str">
        <f t="shared" si="146"/>
        <v/>
      </c>
      <c r="V933" s="195" t="str">
        <f t="shared" si="143"/>
        <v/>
      </c>
      <c r="W933" s="336" t="str">
        <f t="shared" si="147"/>
        <v/>
      </c>
      <c r="X933" s="338" t="str">
        <f t="shared" si="148"/>
        <v/>
      </c>
      <c r="Y933" s="274"/>
      <c r="AR933" t="str">
        <f t="shared" si="149"/>
        <v/>
      </c>
      <c r="AS933" t="str">
        <f t="shared" si="150"/>
        <v/>
      </c>
    </row>
    <row r="934" spans="1:45">
      <c r="A934" s="291"/>
      <c r="B934" s="292"/>
      <c r="C934" s="293"/>
      <c r="D934" s="293"/>
      <c r="E934" s="293"/>
      <c r="F934" s="293"/>
      <c r="G934" s="294"/>
      <c r="H934" s="300"/>
      <c r="I934" s="295"/>
      <c r="J934" s="295"/>
      <c r="K934" s="296"/>
      <c r="L934" s="301"/>
      <c r="M934" s="297"/>
      <c r="N934" s="298"/>
      <c r="P934" s="190" t="str">
        <f>IF(R934 = "", "", COUNT(R$4:$R934))</f>
        <v/>
      </c>
      <c r="Q934" s="190" t="str">
        <f t="shared" si="141"/>
        <v/>
      </c>
      <c r="R934" s="191" t="str">
        <f t="shared" si="142"/>
        <v/>
      </c>
      <c r="S934" s="192" t="str">
        <f t="shared" si="144"/>
        <v/>
      </c>
      <c r="T934" s="193" t="str">
        <f t="shared" si="145"/>
        <v/>
      </c>
      <c r="U934" s="194" t="str">
        <f t="shared" si="146"/>
        <v/>
      </c>
      <c r="V934" s="195" t="str">
        <f t="shared" si="143"/>
        <v/>
      </c>
      <c r="W934" s="336" t="str">
        <f t="shared" si="147"/>
        <v/>
      </c>
      <c r="X934" s="338" t="str">
        <f t="shared" si="148"/>
        <v/>
      </c>
      <c r="Y934" s="274"/>
      <c r="AR934" t="str">
        <f t="shared" si="149"/>
        <v/>
      </c>
      <c r="AS934" t="str">
        <f t="shared" si="150"/>
        <v/>
      </c>
    </row>
    <row r="935" spans="1:45">
      <c r="A935" s="291"/>
      <c r="B935" s="292"/>
      <c r="C935" s="293"/>
      <c r="D935" s="293"/>
      <c r="E935" s="293"/>
      <c r="F935" s="293"/>
      <c r="G935" s="294"/>
      <c r="H935" s="300"/>
      <c r="I935" s="295"/>
      <c r="J935" s="295"/>
      <c r="K935" s="296"/>
      <c r="L935" s="301"/>
      <c r="M935" s="297"/>
      <c r="N935" s="298"/>
      <c r="P935" s="190" t="str">
        <f>IF(R935 = "", "", COUNT(R$4:$R935))</f>
        <v/>
      </c>
      <c r="Q935" s="190" t="str">
        <f t="shared" si="141"/>
        <v/>
      </c>
      <c r="R935" s="191" t="str">
        <f t="shared" si="142"/>
        <v/>
      </c>
      <c r="S935" s="192" t="str">
        <f t="shared" si="144"/>
        <v/>
      </c>
      <c r="T935" s="193" t="str">
        <f t="shared" si="145"/>
        <v/>
      </c>
      <c r="U935" s="194" t="str">
        <f t="shared" si="146"/>
        <v/>
      </c>
      <c r="V935" s="195" t="str">
        <f t="shared" si="143"/>
        <v/>
      </c>
      <c r="W935" s="336" t="str">
        <f t="shared" si="147"/>
        <v/>
      </c>
      <c r="X935" s="338" t="str">
        <f t="shared" si="148"/>
        <v/>
      </c>
      <c r="Y935" s="274"/>
      <c r="AR935" t="str">
        <f t="shared" si="149"/>
        <v/>
      </c>
      <c r="AS935" t="str">
        <f t="shared" si="150"/>
        <v/>
      </c>
    </row>
    <row r="936" spans="1:45">
      <c r="A936" s="291"/>
      <c r="B936" s="292"/>
      <c r="C936" s="293"/>
      <c r="D936" s="293"/>
      <c r="E936" s="293"/>
      <c r="F936" s="293"/>
      <c r="G936" s="294"/>
      <c r="H936" s="300"/>
      <c r="I936" s="295"/>
      <c r="J936" s="295"/>
      <c r="K936" s="296"/>
      <c r="L936" s="301"/>
      <c r="M936" s="297"/>
      <c r="N936" s="298"/>
      <c r="P936" s="190" t="str">
        <f>IF(R936 = "", "", COUNT(R$4:$R936))</f>
        <v/>
      </c>
      <c r="Q936" s="190" t="str">
        <f t="shared" si="141"/>
        <v/>
      </c>
      <c r="R936" s="191" t="str">
        <f t="shared" si="142"/>
        <v/>
      </c>
      <c r="S936" s="192" t="str">
        <f t="shared" si="144"/>
        <v/>
      </c>
      <c r="T936" s="193" t="str">
        <f t="shared" si="145"/>
        <v/>
      </c>
      <c r="U936" s="194" t="str">
        <f t="shared" si="146"/>
        <v/>
      </c>
      <c r="V936" s="195" t="str">
        <f t="shared" si="143"/>
        <v/>
      </c>
      <c r="W936" s="336" t="str">
        <f t="shared" si="147"/>
        <v/>
      </c>
      <c r="X936" s="338" t="str">
        <f t="shared" si="148"/>
        <v/>
      </c>
      <c r="Y936" s="274"/>
      <c r="AR936" t="str">
        <f t="shared" si="149"/>
        <v/>
      </c>
      <c r="AS936" t="str">
        <f t="shared" si="150"/>
        <v/>
      </c>
    </row>
    <row r="937" spans="1:45">
      <c r="A937" s="291"/>
      <c r="B937" s="292"/>
      <c r="C937" s="293"/>
      <c r="D937" s="293"/>
      <c r="E937" s="293"/>
      <c r="F937" s="293"/>
      <c r="G937" s="294"/>
      <c r="H937" s="300"/>
      <c r="I937" s="295"/>
      <c r="J937" s="295"/>
      <c r="K937" s="296"/>
      <c r="L937" s="301"/>
      <c r="M937" s="297"/>
      <c r="N937" s="298"/>
      <c r="P937" s="190" t="str">
        <f>IF(R937 = "", "", COUNT(R$4:$R937))</f>
        <v/>
      </c>
      <c r="Q937" s="190" t="str">
        <f t="shared" si="141"/>
        <v/>
      </c>
      <c r="R937" s="191" t="str">
        <f t="shared" si="142"/>
        <v/>
      </c>
      <c r="S937" s="192" t="str">
        <f t="shared" si="144"/>
        <v/>
      </c>
      <c r="T937" s="193" t="str">
        <f t="shared" si="145"/>
        <v/>
      </c>
      <c r="U937" s="194" t="str">
        <f t="shared" si="146"/>
        <v/>
      </c>
      <c r="V937" s="195" t="str">
        <f t="shared" si="143"/>
        <v/>
      </c>
      <c r="W937" s="336" t="str">
        <f t="shared" si="147"/>
        <v/>
      </c>
      <c r="X937" s="338" t="str">
        <f t="shared" si="148"/>
        <v/>
      </c>
      <c r="Y937" s="274"/>
      <c r="AR937" t="str">
        <f t="shared" si="149"/>
        <v/>
      </c>
      <c r="AS937" t="str">
        <f t="shared" si="150"/>
        <v/>
      </c>
    </row>
    <row r="938" spans="1:45">
      <c r="A938" s="291"/>
      <c r="B938" s="292"/>
      <c r="C938" s="293"/>
      <c r="D938" s="293"/>
      <c r="E938" s="293"/>
      <c r="F938" s="293"/>
      <c r="G938" s="294"/>
      <c r="H938" s="300"/>
      <c r="I938" s="295"/>
      <c r="J938" s="295"/>
      <c r="K938" s="296"/>
      <c r="L938" s="301"/>
      <c r="M938" s="297"/>
      <c r="N938" s="298"/>
      <c r="P938" s="190" t="str">
        <f>IF(R938 = "", "", COUNT(R$4:$R938))</f>
        <v/>
      </c>
      <c r="Q938" s="190" t="str">
        <f t="shared" si="141"/>
        <v/>
      </c>
      <c r="R938" s="191" t="str">
        <f t="shared" si="142"/>
        <v/>
      </c>
      <c r="S938" s="192" t="str">
        <f t="shared" si="144"/>
        <v/>
      </c>
      <c r="T938" s="193" t="str">
        <f t="shared" si="145"/>
        <v/>
      </c>
      <c r="U938" s="194" t="str">
        <f t="shared" si="146"/>
        <v/>
      </c>
      <c r="V938" s="195" t="str">
        <f t="shared" si="143"/>
        <v/>
      </c>
      <c r="W938" s="336" t="str">
        <f t="shared" si="147"/>
        <v/>
      </c>
      <c r="X938" s="338" t="str">
        <f t="shared" si="148"/>
        <v/>
      </c>
      <c r="Y938" s="274"/>
      <c r="AR938" t="str">
        <f t="shared" si="149"/>
        <v/>
      </c>
      <c r="AS938" t="str">
        <f t="shared" si="150"/>
        <v/>
      </c>
    </row>
    <row r="939" spans="1:45">
      <c r="A939" s="291"/>
      <c r="B939" s="292"/>
      <c r="C939" s="293"/>
      <c r="D939" s="293"/>
      <c r="E939" s="293"/>
      <c r="F939" s="293"/>
      <c r="G939" s="294"/>
      <c r="H939" s="300"/>
      <c r="I939" s="295"/>
      <c r="J939" s="295"/>
      <c r="K939" s="296"/>
      <c r="L939" s="301"/>
      <c r="M939" s="297"/>
      <c r="N939" s="298"/>
      <c r="P939" s="190" t="str">
        <f>IF(R939 = "", "", COUNT(R$4:$R939))</f>
        <v/>
      </c>
      <c r="Q939" s="190" t="str">
        <f t="shared" si="141"/>
        <v/>
      </c>
      <c r="R939" s="191" t="str">
        <f t="shared" si="142"/>
        <v/>
      </c>
      <c r="S939" s="192" t="str">
        <f t="shared" si="144"/>
        <v/>
      </c>
      <c r="T939" s="193" t="str">
        <f t="shared" si="145"/>
        <v/>
      </c>
      <c r="U939" s="194" t="str">
        <f t="shared" si="146"/>
        <v/>
      </c>
      <c r="V939" s="195" t="str">
        <f t="shared" si="143"/>
        <v/>
      </c>
      <c r="W939" s="336" t="str">
        <f t="shared" si="147"/>
        <v/>
      </c>
      <c r="X939" s="338" t="str">
        <f t="shared" si="148"/>
        <v/>
      </c>
      <c r="Y939" s="274"/>
      <c r="AR939" t="str">
        <f t="shared" si="149"/>
        <v/>
      </c>
      <c r="AS939" t="str">
        <f t="shared" si="150"/>
        <v/>
      </c>
    </row>
    <row r="940" spans="1:45">
      <c r="A940" s="291"/>
      <c r="B940" s="292"/>
      <c r="C940" s="293"/>
      <c r="D940" s="293"/>
      <c r="E940" s="293"/>
      <c r="F940" s="293"/>
      <c r="G940" s="294"/>
      <c r="H940" s="300"/>
      <c r="I940" s="295"/>
      <c r="J940" s="295"/>
      <c r="K940" s="296"/>
      <c r="L940" s="301"/>
      <c r="M940" s="297"/>
      <c r="N940" s="298"/>
      <c r="P940" s="190" t="str">
        <f>IF(R940 = "", "", COUNT(R$4:$R940))</f>
        <v/>
      </c>
      <c r="Q940" s="190" t="str">
        <f t="shared" si="141"/>
        <v/>
      </c>
      <c r="R940" s="191" t="str">
        <f t="shared" si="142"/>
        <v/>
      </c>
      <c r="S940" s="192" t="str">
        <f t="shared" si="144"/>
        <v/>
      </c>
      <c r="T940" s="193" t="str">
        <f t="shared" si="145"/>
        <v/>
      </c>
      <c r="U940" s="194" t="str">
        <f t="shared" si="146"/>
        <v/>
      </c>
      <c r="V940" s="195" t="str">
        <f t="shared" si="143"/>
        <v/>
      </c>
      <c r="W940" s="336" t="str">
        <f t="shared" si="147"/>
        <v/>
      </c>
      <c r="X940" s="338" t="str">
        <f t="shared" si="148"/>
        <v/>
      </c>
      <c r="Y940" s="274"/>
      <c r="AR940" t="str">
        <f t="shared" si="149"/>
        <v/>
      </c>
      <c r="AS940" t="str">
        <f t="shared" si="150"/>
        <v/>
      </c>
    </row>
    <row r="941" spans="1:45">
      <c r="A941" s="291"/>
      <c r="B941" s="292"/>
      <c r="C941" s="293"/>
      <c r="D941" s="293"/>
      <c r="E941" s="293"/>
      <c r="F941" s="293"/>
      <c r="G941" s="294"/>
      <c r="H941" s="300"/>
      <c r="I941" s="295"/>
      <c r="J941" s="295"/>
      <c r="K941" s="296"/>
      <c r="L941" s="301"/>
      <c r="M941" s="297"/>
      <c r="N941" s="298"/>
      <c r="P941" s="190" t="str">
        <f>IF(R941 = "", "", COUNT(R$4:$R941))</f>
        <v/>
      </c>
      <c r="Q941" s="190" t="str">
        <f t="shared" si="141"/>
        <v/>
      </c>
      <c r="R941" s="191" t="str">
        <f t="shared" si="142"/>
        <v/>
      </c>
      <c r="S941" s="192" t="str">
        <f t="shared" si="144"/>
        <v/>
      </c>
      <c r="T941" s="193" t="str">
        <f t="shared" si="145"/>
        <v/>
      </c>
      <c r="U941" s="194" t="str">
        <f t="shared" si="146"/>
        <v/>
      </c>
      <c r="V941" s="195" t="str">
        <f t="shared" si="143"/>
        <v/>
      </c>
      <c r="W941" s="336" t="str">
        <f t="shared" si="147"/>
        <v/>
      </c>
      <c r="X941" s="338" t="str">
        <f t="shared" si="148"/>
        <v/>
      </c>
      <c r="Y941" s="274"/>
      <c r="AR941" t="str">
        <f t="shared" si="149"/>
        <v/>
      </c>
      <c r="AS941" t="str">
        <f t="shared" si="150"/>
        <v/>
      </c>
    </row>
    <row r="942" spans="1:45">
      <c r="A942" s="291"/>
      <c r="B942" s="292"/>
      <c r="C942" s="293"/>
      <c r="D942" s="293"/>
      <c r="E942" s="293"/>
      <c r="F942" s="293"/>
      <c r="G942" s="294"/>
      <c r="H942" s="300"/>
      <c r="I942" s="295"/>
      <c r="J942" s="295"/>
      <c r="K942" s="296"/>
      <c r="L942" s="301"/>
      <c r="M942" s="297"/>
      <c r="N942" s="298"/>
      <c r="P942" s="190" t="str">
        <f>IF(R942 = "", "", COUNT(R$4:$R942))</f>
        <v/>
      </c>
      <c r="Q942" s="190" t="str">
        <f t="shared" si="141"/>
        <v/>
      </c>
      <c r="R942" s="191" t="str">
        <f t="shared" si="142"/>
        <v/>
      </c>
      <c r="S942" s="192" t="str">
        <f t="shared" si="144"/>
        <v/>
      </c>
      <c r="T942" s="193" t="str">
        <f t="shared" si="145"/>
        <v/>
      </c>
      <c r="U942" s="194" t="str">
        <f t="shared" si="146"/>
        <v/>
      </c>
      <c r="V942" s="195" t="str">
        <f t="shared" si="143"/>
        <v/>
      </c>
      <c r="W942" s="336" t="str">
        <f t="shared" si="147"/>
        <v/>
      </c>
      <c r="X942" s="338" t="str">
        <f t="shared" si="148"/>
        <v/>
      </c>
      <c r="Y942" s="274"/>
      <c r="AR942" t="str">
        <f t="shared" si="149"/>
        <v/>
      </c>
      <c r="AS942" t="str">
        <f t="shared" si="150"/>
        <v/>
      </c>
    </row>
    <row r="943" spans="1:45">
      <c r="A943" s="291"/>
      <c r="B943" s="292"/>
      <c r="C943" s="293"/>
      <c r="D943" s="293"/>
      <c r="E943" s="293"/>
      <c r="F943" s="293"/>
      <c r="G943" s="294"/>
      <c r="H943" s="300"/>
      <c r="I943" s="295"/>
      <c r="J943" s="295"/>
      <c r="K943" s="296"/>
      <c r="L943" s="301"/>
      <c r="M943" s="297"/>
      <c r="N943" s="298"/>
      <c r="P943" s="190" t="str">
        <f>IF(R943 = "", "", COUNT(R$4:$R943))</f>
        <v/>
      </c>
      <c r="Q943" s="190" t="str">
        <f t="shared" si="141"/>
        <v/>
      </c>
      <c r="R943" s="191" t="str">
        <f t="shared" si="142"/>
        <v/>
      </c>
      <c r="S943" s="192" t="str">
        <f t="shared" si="144"/>
        <v/>
      </c>
      <c r="T943" s="193" t="str">
        <f t="shared" si="145"/>
        <v/>
      </c>
      <c r="U943" s="194" t="str">
        <f t="shared" si="146"/>
        <v/>
      </c>
      <c r="V943" s="195" t="str">
        <f t="shared" si="143"/>
        <v/>
      </c>
      <c r="W943" s="336" t="str">
        <f t="shared" si="147"/>
        <v/>
      </c>
      <c r="X943" s="338" t="str">
        <f t="shared" si="148"/>
        <v/>
      </c>
      <c r="Y943" s="274"/>
      <c r="AR943" t="str">
        <f t="shared" si="149"/>
        <v/>
      </c>
      <c r="AS943" t="str">
        <f t="shared" si="150"/>
        <v/>
      </c>
    </row>
    <row r="944" spans="1:45">
      <c r="A944" s="291"/>
      <c r="B944" s="292"/>
      <c r="C944" s="293"/>
      <c r="D944" s="293"/>
      <c r="E944" s="293"/>
      <c r="F944" s="293"/>
      <c r="G944" s="294"/>
      <c r="H944" s="300"/>
      <c r="I944" s="295"/>
      <c r="J944" s="295"/>
      <c r="K944" s="296"/>
      <c r="L944" s="301"/>
      <c r="M944" s="297"/>
      <c r="N944" s="298"/>
      <c r="P944" s="190" t="str">
        <f>IF(R944 = "", "", COUNT(R$4:$R944))</f>
        <v/>
      </c>
      <c r="Q944" s="190" t="str">
        <f t="shared" si="141"/>
        <v/>
      </c>
      <c r="R944" s="191" t="str">
        <f t="shared" si="142"/>
        <v/>
      </c>
      <c r="S944" s="192" t="str">
        <f t="shared" si="144"/>
        <v/>
      </c>
      <c r="T944" s="193" t="str">
        <f t="shared" si="145"/>
        <v/>
      </c>
      <c r="U944" s="194" t="str">
        <f t="shared" si="146"/>
        <v/>
      </c>
      <c r="V944" s="195" t="str">
        <f t="shared" si="143"/>
        <v/>
      </c>
      <c r="W944" s="336" t="str">
        <f t="shared" si="147"/>
        <v/>
      </c>
      <c r="X944" s="338" t="str">
        <f t="shared" si="148"/>
        <v/>
      </c>
      <c r="Y944" s="274"/>
      <c r="AR944" t="str">
        <f t="shared" si="149"/>
        <v/>
      </c>
      <c r="AS944" t="str">
        <f t="shared" si="150"/>
        <v/>
      </c>
    </row>
    <row r="945" spans="1:45">
      <c r="A945" s="291"/>
      <c r="B945" s="292"/>
      <c r="C945" s="293"/>
      <c r="D945" s="293"/>
      <c r="E945" s="293"/>
      <c r="F945" s="293"/>
      <c r="G945" s="294"/>
      <c r="H945" s="300"/>
      <c r="I945" s="295"/>
      <c r="J945" s="295"/>
      <c r="K945" s="296"/>
      <c r="L945" s="301"/>
      <c r="M945" s="297"/>
      <c r="N945" s="298"/>
      <c r="P945" s="190" t="str">
        <f>IF(R945 = "", "", COUNT(R$4:$R945))</f>
        <v/>
      </c>
      <c r="Q945" s="190" t="str">
        <f t="shared" si="141"/>
        <v/>
      </c>
      <c r="R945" s="191" t="str">
        <f t="shared" si="142"/>
        <v/>
      </c>
      <c r="S945" s="192" t="str">
        <f t="shared" si="144"/>
        <v/>
      </c>
      <c r="T945" s="193" t="str">
        <f t="shared" si="145"/>
        <v/>
      </c>
      <c r="U945" s="194" t="str">
        <f t="shared" si="146"/>
        <v/>
      </c>
      <c r="V945" s="195" t="str">
        <f t="shared" si="143"/>
        <v/>
      </c>
      <c r="W945" s="336" t="str">
        <f t="shared" si="147"/>
        <v/>
      </c>
      <c r="X945" s="338" t="str">
        <f t="shared" si="148"/>
        <v/>
      </c>
      <c r="Y945" s="274"/>
      <c r="AR945" t="str">
        <f t="shared" si="149"/>
        <v/>
      </c>
      <c r="AS945" t="str">
        <f t="shared" si="150"/>
        <v/>
      </c>
    </row>
    <row r="946" spans="1:45">
      <c r="A946" s="291"/>
      <c r="B946" s="292"/>
      <c r="C946" s="293"/>
      <c r="D946" s="293"/>
      <c r="E946" s="293"/>
      <c r="F946" s="293"/>
      <c r="G946" s="294"/>
      <c r="H946" s="300"/>
      <c r="I946" s="295"/>
      <c r="J946" s="295"/>
      <c r="K946" s="296"/>
      <c r="L946" s="301"/>
      <c r="M946" s="297"/>
      <c r="N946" s="298"/>
      <c r="P946" s="190" t="str">
        <f>IF(R946 = "", "", COUNT(R$4:$R946))</f>
        <v/>
      </c>
      <c r="Q946" s="190" t="str">
        <f t="shared" si="141"/>
        <v/>
      </c>
      <c r="R946" s="191" t="str">
        <f t="shared" si="142"/>
        <v/>
      </c>
      <c r="S946" s="192" t="str">
        <f t="shared" si="144"/>
        <v/>
      </c>
      <c r="T946" s="193" t="str">
        <f t="shared" si="145"/>
        <v/>
      </c>
      <c r="U946" s="194" t="str">
        <f t="shared" si="146"/>
        <v/>
      </c>
      <c r="V946" s="195" t="str">
        <f t="shared" si="143"/>
        <v/>
      </c>
      <c r="W946" s="336" t="str">
        <f t="shared" si="147"/>
        <v/>
      </c>
      <c r="X946" s="338" t="str">
        <f t="shared" si="148"/>
        <v/>
      </c>
      <c r="Y946" s="274"/>
      <c r="AR946" t="str">
        <f t="shared" si="149"/>
        <v/>
      </c>
      <c r="AS946" t="str">
        <f t="shared" si="150"/>
        <v/>
      </c>
    </row>
    <row r="947" spans="1:45">
      <c r="A947" s="291"/>
      <c r="B947" s="292"/>
      <c r="C947" s="293"/>
      <c r="D947" s="293"/>
      <c r="E947" s="293"/>
      <c r="F947" s="293"/>
      <c r="G947" s="294"/>
      <c r="H947" s="300"/>
      <c r="I947" s="295"/>
      <c r="J947" s="295"/>
      <c r="K947" s="296"/>
      <c r="L947" s="301"/>
      <c r="M947" s="297"/>
      <c r="N947" s="298"/>
      <c r="P947" s="190" t="str">
        <f>IF(R947 = "", "", COUNT(R$4:$R947))</f>
        <v/>
      </c>
      <c r="Q947" s="190" t="str">
        <f t="shared" si="141"/>
        <v/>
      </c>
      <c r="R947" s="191" t="str">
        <f t="shared" si="142"/>
        <v/>
      </c>
      <c r="S947" s="192" t="str">
        <f t="shared" si="144"/>
        <v/>
      </c>
      <c r="T947" s="193" t="str">
        <f t="shared" si="145"/>
        <v/>
      </c>
      <c r="U947" s="194" t="str">
        <f t="shared" si="146"/>
        <v/>
      </c>
      <c r="V947" s="195" t="str">
        <f t="shared" si="143"/>
        <v/>
      </c>
      <c r="W947" s="336" t="str">
        <f t="shared" si="147"/>
        <v/>
      </c>
      <c r="X947" s="338" t="str">
        <f t="shared" si="148"/>
        <v/>
      </c>
      <c r="Y947" s="274"/>
      <c r="AR947" t="str">
        <f t="shared" si="149"/>
        <v/>
      </c>
      <c r="AS947" t="str">
        <f t="shared" si="150"/>
        <v/>
      </c>
    </row>
    <row r="948" spans="1:45">
      <c r="A948" s="291"/>
      <c r="B948" s="292"/>
      <c r="C948" s="293"/>
      <c r="D948" s="293"/>
      <c r="E948" s="293"/>
      <c r="F948" s="293"/>
      <c r="G948" s="294"/>
      <c r="H948" s="300"/>
      <c r="I948" s="295"/>
      <c r="J948" s="295"/>
      <c r="K948" s="296"/>
      <c r="L948" s="301"/>
      <c r="M948" s="297"/>
      <c r="N948" s="298"/>
      <c r="P948" s="190" t="str">
        <f>IF(R948 = "", "", COUNT(R$4:$R948))</f>
        <v/>
      </c>
      <c r="Q948" s="190" t="str">
        <f t="shared" si="141"/>
        <v/>
      </c>
      <c r="R948" s="191" t="str">
        <f t="shared" si="142"/>
        <v/>
      </c>
      <c r="S948" s="192" t="str">
        <f t="shared" si="144"/>
        <v/>
      </c>
      <c r="T948" s="193" t="str">
        <f t="shared" si="145"/>
        <v/>
      </c>
      <c r="U948" s="194" t="str">
        <f t="shared" si="146"/>
        <v/>
      </c>
      <c r="V948" s="195" t="str">
        <f t="shared" si="143"/>
        <v/>
      </c>
      <c r="W948" s="336" t="str">
        <f t="shared" si="147"/>
        <v/>
      </c>
      <c r="X948" s="338" t="str">
        <f t="shared" si="148"/>
        <v/>
      </c>
      <c r="Y948" s="274"/>
      <c r="AR948" t="str">
        <f t="shared" si="149"/>
        <v/>
      </c>
      <c r="AS948" t="str">
        <f t="shared" si="150"/>
        <v/>
      </c>
    </row>
    <row r="949" spans="1:45">
      <c r="A949" s="291"/>
      <c r="B949" s="292"/>
      <c r="C949" s="293"/>
      <c r="D949" s="293"/>
      <c r="E949" s="293"/>
      <c r="F949" s="293"/>
      <c r="G949" s="294"/>
      <c r="H949" s="300"/>
      <c r="I949" s="295"/>
      <c r="J949" s="295"/>
      <c r="K949" s="296"/>
      <c r="L949" s="301"/>
      <c r="M949" s="297"/>
      <c r="N949" s="298"/>
      <c r="P949" s="190" t="str">
        <f>IF(R949 = "", "", COUNT(R$4:$R949))</f>
        <v/>
      </c>
      <c r="Q949" s="190" t="str">
        <f t="shared" si="141"/>
        <v/>
      </c>
      <c r="R949" s="191" t="str">
        <f t="shared" si="142"/>
        <v/>
      </c>
      <c r="S949" s="192" t="str">
        <f t="shared" si="144"/>
        <v/>
      </c>
      <c r="T949" s="193" t="str">
        <f t="shared" si="145"/>
        <v/>
      </c>
      <c r="U949" s="194" t="str">
        <f t="shared" si="146"/>
        <v/>
      </c>
      <c r="V949" s="195" t="str">
        <f t="shared" si="143"/>
        <v/>
      </c>
      <c r="W949" s="336" t="str">
        <f t="shared" si="147"/>
        <v/>
      </c>
      <c r="X949" s="338" t="str">
        <f t="shared" si="148"/>
        <v/>
      </c>
      <c r="Y949" s="274"/>
      <c r="AR949" t="str">
        <f t="shared" si="149"/>
        <v/>
      </c>
      <c r="AS949" t="str">
        <f t="shared" si="150"/>
        <v/>
      </c>
    </row>
    <row r="950" spans="1:45">
      <c r="A950" s="291"/>
      <c r="B950" s="292"/>
      <c r="C950" s="293"/>
      <c r="D950" s="293"/>
      <c r="E950" s="293"/>
      <c r="F950" s="293"/>
      <c r="G950" s="294"/>
      <c r="H950" s="300"/>
      <c r="I950" s="295"/>
      <c r="J950" s="295"/>
      <c r="K950" s="296"/>
      <c r="L950" s="301"/>
      <c r="M950" s="297"/>
      <c r="N950" s="298"/>
      <c r="P950" s="190" t="str">
        <f>IF(R950 = "", "", COUNT(R$4:$R950))</f>
        <v/>
      </c>
      <c r="Q950" s="190" t="str">
        <f t="shared" si="141"/>
        <v/>
      </c>
      <c r="R950" s="191" t="str">
        <f t="shared" si="142"/>
        <v/>
      </c>
      <c r="S950" s="192" t="str">
        <f t="shared" si="144"/>
        <v/>
      </c>
      <c r="T950" s="193" t="str">
        <f t="shared" si="145"/>
        <v/>
      </c>
      <c r="U950" s="194" t="str">
        <f t="shared" si="146"/>
        <v/>
      </c>
      <c r="V950" s="195" t="str">
        <f t="shared" si="143"/>
        <v/>
      </c>
      <c r="W950" s="336" t="str">
        <f t="shared" si="147"/>
        <v/>
      </c>
      <c r="X950" s="338" t="str">
        <f t="shared" si="148"/>
        <v/>
      </c>
      <c r="Y950" s="274"/>
      <c r="AR950" t="str">
        <f t="shared" si="149"/>
        <v/>
      </c>
      <c r="AS950" t="str">
        <f t="shared" si="150"/>
        <v/>
      </c>
    </row>
    <row r="951" spans="1:45">
      <c r="A951" s="291"/>
      <c r="B951" s="292"/>
      <c r="C951" s="293"/>
      <c r="D951" s="293"/>
      <c r="E951" s="293"/>
      <c r="F951" s="293"/>
      <c r="G951" s="294"/>
      <c r="H951" s="300"/>
      <c r="I951" s="295"/>
      <c r="J951" s="295"/>
      <c r="K951" s="296"/>
      <c r="L951" s="301"/>
      <c r="M951" s="297"/>
      <c r="N951" s="298"/>
      <c r="P951" s="190" t="str">
        <f>IF(R951 = "", "", COUNT(R$4:$R951))</f>
        <v/>
      </c>
      <c r="Q951" s="190" t="str">
        <f t="shared" si="141"/>
        <v/>
      </c>
      <c r="R951" s="191" t="str">
        <f t="shared" si="142"/>
        <v/>
      </c>
      <c r="S951" s="192" t="str">
        <f t="shared" si="144"/>
        <v/>
      </c>
      <c r="T951" s="193" t="str">
        <f t="shared" si="145"/>
        <v/>
      </c>
      <c r="U951" s="194" t="str">
        <f t="shared" si="146"/>
        <v/>
      </c>
      <c r="V951" s="195" t="str">
        <f t="shared" si="143"/>
        <v/>
      </c>
      <c r="W951" s="336" t="str">
        <f t="shared" si="147"/>
        <v/>
      </c>
      <c r="X951" s="338" t="str">
        <f t="shared" si="148"/>
        <v/>
      </c>
      <c r="Y951" s="274"/>
      <c r="AR951" t="str">
        <f t="shared" si="149"/>
        <v/>
      </c>
      <c r="AS951" t="str">
        <f t="shared" si="150"/>
        <v/>
      </c>
    </row>
    <row r="952" spans="1:45">
      <c r="A952" s="291"/>
      <c r="B952" s="292"/>
      <c r="C952" s="293"/>
      <c r="D952" s="293"/>
      <c r="E952" s="293"/>
      <c r="F952" s="293"/>
      <c r="G952" s="294"/>
      <c r="H952" s="300"/>
      <c r="I952" s="295"/>
      <c r="J952" s="295"/>
      <c r="K952" s="296"/>
      <c r="L952" s="301"/>
      <c r="M952" s="297"/>
      <c r="N952" s="298"/>
      <c r="P952" s="190" t="str">
        <f>IF(R952 = "", "", COUNT(R$4:$R952))</f>
        <v/>
      </c>
      <c r="Q952" s="190" t="str">
        <f t="shared" si="141"/>
        <v/>
      </c>
      <c r="R952" s="191" t="str">
        <f t="shared" si="142"/>
        <v/>
      </c>
      <c r="S952" s="192" t="str">
        <f t="shared" si="144"/>
        <v/>
      </c>
      <c r="T952" s="193" t="str">
        <f t="shared" si="145"/>
        <v/>
      </c>
      <c r="U952" s="194" t="str">
        <f t="shared" si="146"/>
        <v/>
      </c>
      <c r="V952" s="195" t="str">
        <f t="shared" si="143"/>
        <v/>
      </c>
      <c r="W952" s="336" t="str">
        <f t="shared" si="147"/>
        <v/>
      </c>
      <c r="X952" s="338" t="str">
        <f t="shared" si="148"/>
        <v/>
      </c>
      <c r="Y952" s="274"/>
      <c r="AR952" t="str">
        <f t="shared" si="149"/>
        <v/>
      </c>
      <c r="AS952" t="str">
        <f t="shared" si="150"/>
        <v/>
      </c>
    </row>
    <row r="953" spans="1:45">
      <c r="A953" s="291"/>
      <c r="B953" s="292"/>
      <c r="C953" s="293"/>
      <c r="D953" s="293"/>
      <c r="E953" s="293"/>
      <c r="F953" s="293"/>
      <c r="G953" s="294"/>
      <c r="H953" s="300"/>
      <c r="I953" s="295"/>
      <c r="J953" s="295"/>
      <c r="K953" s="296"/>
      <c r="L953" s="301"/>
      <c r="M953" s="297"/>
      <c r="N953" s="298"/>
      <c r="P953" s="190" t="str">
        <f>IF(R953 = "", "", COUNT(R$4:$R953))</f>
        <v/>
      </c>
      <c r="Q953" s="190" t="str">
        <f t="shared" si="141"/>
        <v/>
      </c>
      <c r="R953" s="191" t="str">
        <f t="shared" si="142"/>
        <v/>
      </c>
      <c r="S953" s="192" t="str">
        <f t="shared" si="144"/>
        <v/>
      </c>
      <c r="T953" s="193" t="str">
        <f t="shared" si="145"/>
        <v/>
      </c>
      <c r="U953" s="194" t="str">
        <f t="shared" si="146"/>
        <v/>
      </c>
      <c r="V953" s="195" t="str">
        <f t="shared" si="143"/>
        <v/>
      </c>
      <c r="W953" s="336" t="str">
        <f t="shared" si="147"/>
        <v/>
      </c>
      <c r="X953" s="338" t="str">
        <f t="shared" si="148"/>
        <v/>
      </c>
      <c r="Y953" s="274"/>
      <c r="AR953" t="str">
        <f t="shared" si="149"/>
        <v/>
      </c>
      <c r="AS953" t="str">
        <f t="shared" si="150"/>
        <v/>
      </c>
    </row>
    <row r="954" spans="1:45">
      <c r="A954" s="291"/>
      <c r="B954" s="292"/>
      <c r="C954" s="293"/>
      <c r="D954" s="293"/>
      <c r="E954" s="293"/>
      <c r="F954" s="293"/>
      <c r="G954" s="294"/>
      <c r="H954" s="300"/>
      <c r="I954" s="295"/>
      <c r="J954" s="295"/>
      <c r="K954" s="296"/>
      <c r="L954" s="301"/>
      <c r="M954" s="297"/>
      <c r="N954" s="298"/>
      <c r="P954" s="190" t="str">
        <f>IF(R954 = "", "", COUNT(R$4:$R954))</f>
        <v/>
      </c>
      <c r="Q954" s="190" t="str">
        <f t="shared" si="141"/>
        <v/>
      </c>
      <c r="R954" s="191" t="str">
        <f t="shared" si="142"/>
        <v/>
      </c>
      <c r="S954" s="192" t="str">
        <f t="shared" si="144"/>
        <v/>
      </c>
      <c r="T954" s="193" t="str">
        <f t="shared" si="145"/>
        <v/>
      </c>
      <c r="U954" s="194" t="str">
        <f t="shared" si="146"/>
        <v/>
      </c>
      <c r="V954" s="195" t="str">
        <f t="shared" si="143"/>
        <v/>
      </c>
      <c r="W954" s="336" t="str">
        <f t="shared" si="147"/>
        <v/>
      </c>
      <c r="X954" s="338" t="str">
        <f t="shared" si="148"/>
        <v/>
      </c>
      <c r="Y954" s="274"/>
      <c r="AR954" t="str">
        <f t="shared" si="149"/>
        <v/>
      </c>
      <c r="AS954" t="str">
        <f t="shared" si="150"/>
        <v/>
      </c>
    </row>
    <row r="955" spans="1:45">
      <c r="A955" s="291"/>
      <c r="B955" s="292"/>
      <c r="C955" s="293"/>
      <c r="D955" s="293"/>
      <c r="E955" s="293"/>
      <c r="F955" s="293"/>
      <c r="G955" s="294"/>
      <c r="H955" s="300"/>
      <c r="I955" s="295"/>
      <c r="J955" s="295"/>
      <c r="K955" s="296"/>
      <c r="L955" s="301"/>
      <c r="M955" s="297"/>
      <c r="N955" s="298"/>
      <c r="P955" s="190" t="str">
        <f>IF(R955 = "", "", COUNT(R$4:$R955))</f>
        <v/>
      </c>
      <c r="Q955" s="190" t="str">
        <f t="shared" si="141"/>
        <v/>
      </c>
      <c r="R955" s="191" t="str">
        <f t="shared" si="142"/>
        <v/>
      </c>
      <c r="S955" s="192" t="str">
        <f t="shared" si="144"/>
        <v/>
      </c>
      <c r="T955" s="193" t="str">
        <f t="shared" si="145"/>
        <v/>
      </c>
      <c r="U955" s="194" t="str">
        <f t="shared" si="146"/>
        <v/>
      </c>
      <c r="V955" s="195" t="str">
        <f t="shared" si="143"/>
        <v/>
      </c>
      <c r="W955" s="336" t="str">
        <f t="shared" si="147"/>
        <v/>
      </c>
      <c r="X955" s="338" t="str">
        <f t="shared" si="148"/>
        <v/>
      </c>
      <c r="Y955" s="274"/>
      <c r="AR955" t="str">
        <f t="shared" si="149"/>
        <v/>
      </c>
      <c r="AS955" t="str">
        <f t="shared" si="150"/>
        <v/>
      </c>
    </row>
    <row r="956" spans="1:45">
      <c r="A956" s="291"/>
      <c r="B956" s="292"/>
      <c r="C956" s="293"/>
      <c r="D956" s="293"/>
      <c r="E956" s="293"/>
      <c r="F956" s="293"/>
      <c r="G956" s="294"/>
      <c r="H956" s="300"/>
      <c r="I956" s="295"/>
      <c r="J956" s="295"/>
      <c r="K956" s="296"/>
      <c r="L956" s="301"/>
      <c r="M956" s="297"/>
      <c r="N956" s="298"/>
      <c r="P956" s="190" t="str">
        <f>IF(R956 = "", "", COUNT(R$4:$R956))</f>
        <v/>
      </c>
      <c r="Q956" s="190" t="str">
        <f t="shared" si="141"/>
        <v/>
      </c>
      <c r="R956" s="191" t="str">
        <f t="shared" si="142"/>
        <v/>
      </c>
      <c r="S956" s="192" t="str">
        <f t="shared" si="144"/>
        <v/>
      </c>
      <c r="T956" s="193" t="str">
        <f t="shared" si="145"/>
        <v/>
      </c>
      <c r="U956" s="194" t="str">
        <f t="shared" si="146"/>
        <v/>
      </c>
      <c r="V956" s="195" t="str">
        <f t="shared" si="143"/>
        <v/>
      </c>
      <c r="W956" s="336" t="str">
        <f t="shared" si="147"/>
        <v/>
      </c>
      <c r="X956" s="338" t="str">
        <f t="shared" si="148"/>
        <v/>
      </c>
      <c r="Y956" s="274"/>
      <c r="AR956" t="str">
        <f t="shared" si="149"/>
        <v/>
      </c>
      <c r="AS956" t="str">
        <f t="shared" si="150"/>
        <v/>
      </c>
    </row>
    <row r="957" spans="1:45">
      <c r="A957" s="291"/>
      <c r="B957" s="292"/>
      <c r="C957" s="293"/>
      <c r="D957" s="293"/>
      <c r="E957" s="293"/>
      <c r="F957" s="293"/>
      <c r="G957" s="294"/>
      <c r="H957" s="300"/>
      <c r="I957" s="295"/>
      <c r="J957" s="295"/>
      <c r="K957" s="296"/>
      <c r="L957" s="301"/>
      <c r="M957" s="297"/>
      <c r="N957" s="298"/>
      <c r="P957" s="190" t="str">
        <f>IF(R957 = "", "", COUNT(R$4:$R957))</f>
        <v/>
      </c>
      <c r="Q957" s="190" t="str">
        <f t="shared" si="141"/>
        <v/>
      </c>
      <c r="R957" s="191" t="str">
        <f t="shared" si="142"/>
        <v/>
      </c>
      <c r="S957" s="192" t="str">
        <f t="shared" si="144"/>
        <v/>
      </c>
      <c r="T957" s="193" t="str">
        <f t="shared" si="145"/>
        <v/>
      </c>
      <c r="U957" s="194" t="str">
        <f t="shared" si="146"/>
        <v/>
      </c>
      <c r="V957" s="195" t="str">
        <f t="shared" si="143"/>
        <v/>
      </c>
      <c r="W957" s="336" t="str">
        <f t="shared" si="147"/>
        <v/>
      </c>
      <c r="X957" s="338" t="str">
        <f t="shared" si="148"/>
        <v/>
      </c>
      <c r="Y957" s="274"/>
      <c r="AR957" t="str">
        <f t="shared" si="149"/>
        <v/>
      </c>
      <c r="AS957" t="str">
        <f t="shared" si="150"/>
        <v/>
      </c>
    </row>
    <row r="958" spans="1:45">
      <c r="A958" s="291"/>
      <c r="B958" s="292"/>
      <c r="C958" s="293"/>
      <c r="D958" s="293"/>
      <c r="E958" s="293"/>
      <c r="F958" s="293"/>
      <c r="G958" s="294"/>
      <c r="H958" s="300"/>
      <c r="I958" s="295"/>
      <c r="J958" s="295"/>
      <c r="K958" s="296"/>
      <c r="L958" s="301"/>
      <c r="M958" s="297"/>
      <c r="N958" s="298"/>
      <c r="P958" s="190" t="str">
        <f>IF(R958 = "", "", COUNT(R$4:$R958))</f>
        <v/>
      </c>
      <c r="Q958" s="190" t="str">
        <f t="shared" si="141"/>
        <v/>
      </c>
      <c r="R958" s="191" t="str">
        <f t="shared" si="142"/>
        <v/>
      </c>
      <c r="S958" s="192" t="str">
        <f t="shared" si="144"/>
        <v/>
      </c>
      <c r="T958" s="193" t="str">
        <f t="shared" si="145"/>
        <v/>
      </c>
      <c r="U958" s="194" t="str">
        <f t="shared" si="146"/>
        <v/>
      </c>
      <c r="V958" s="195" t="str">
        <f t="shared" si="143"/>
        <v/>
      </c>
      <c r="W958" s="336" t="str">
        <f t="shared" si="147"/>
        <v/>
      </c>
      <c r="X958" s="338" t="str">
        <f t="shared" si="148"/>
        <v/>
      </c>
      <c r="Y958" s="274"/>
      <c r="AR958" t="str">
        <f t="shared" si="149"/>
        <v/>
      </c>
      <c r="AS958" t="str">
        <f t="shared" si="150"/>
        <v/>
      </c>
    </row>
    <row r="959" spans="1:45">
      <c r="A959" s="291"/>
      <c r="B959" s="292"/>
      <c r="C959" s="293"/>
      <c r="D959" s="293"/>
      <c r="E959" s="293"/>
      <c r="F959" s="293"/>
      <c r="G959" s="294"/>
      <c r="H959" s="300"/>
      <c r="I959" s="295"/>
      <c r="J959" s="295"/>
      <c r="K959" s="296"/>
      <c r="L959" s="301"/>
      <c r="M959" s="297"/>
      <c r="N959" s="298"/>
      <c r="P959" s="190" t="str">
        <f>IF(R959 = "", "", COUNT(R$4:$R959))</f>
        <v/>
      </c>
      <c r="Q959" s="190" t="str">
        <f t="shared" si="141"/>
        <v/>
      </c>
      <c r="R959" s="191" t="str">
        <f t="shared" si="142"/>
        <v/>
      </c>
      <c r="S959" s="192" t="str">
        <f t="shared" si="144"/>
        <v/>
      </c>
      <c r="T959" s="193" t="str">
        <f t="shared" si="145"/>
        <v/>
      </c>
      <c r="U959" s="194" t="str">
        <f t="shared" si="146"/>
        <v/>
      </c>
      <c r="V959" s="195" t="str">
        <f t="shared" si="143"/>
        <v/>
      </c>
      <c r="W959" s="336" t="str">
        <f t="shared" si="147"/>
        <v/>
      </c>
      <c r="X959" s="338" t="str">
        <f t="shared" si="148"/>
        <v/>
      </c>
      <c r="Y959" s="274"/>
      <c r="AR959" t="str">
        <f t="shared" si="149"/>
        <v/>
      </c>
      <c r="AS959" t="str">
        <f t="shared" si="150"/>
        <v/>
      </c>
    </row>
    <row r="960" spans="1:45">
      <c r="A960" s="291"/>
      <c r="B960" s="292"/>
      <c r="C960" s="293"/>
      <c r="D960" s="293"/>
      <c r="E960" s="293"/>
      <c r="F960" s="293"/>
      <c r="G960" s="294"/>
      <c r="H960" s="300"/>
      <c r="I960" s="295"/>
      <c r="J960" s="295"/>
      <c r="K960" s="296"/>
      <c r="L960" s="301"/>
      <c r="M960" s="297"/>
      <c r="N960" s="298"/>
      <c r="P960" s="190" t="str">
        <f>IF(R960 = "", "", COUNT(R$4:$R960))</f>
        <v/>
      </c>
      <c r="Q960" s="190" t="str">
        <f t="shared" si="141"/>
        <v/>
      </c>
      <c r="R960" s="191" t="str">
        <f t="shared" si="142"/>
        <v/>
      </c>
      <c r="S960" s="192" t="str">
        <f t="shared" si="144"/>
        <v/>
      </c>
      <c r="T960" s="193" t="str">
        <f t="shared" si="145"/>
        <v/>
      </c>
      <c r="U960" s="194" t="str">
        <f t="shared" si="146"/>
        <v/>
      </c>
      <c r="V960" s="195" t="str">
        <f t="shared" si="143"/>
        <v/>
      </c>
      <c r="W960" s="336" t="str">
        <f t="shared" si="147"/>
        <v/>
      </c>
      <c r="X960" s="338" t="str">
        <f t="shared" si="148"/>
        <v/>
      </c>
      <c r="Y960" s="274"/>
      <c r="AR960" t="str">
        <f t="shared" si="149"/>
        <v/>
      </c>
      <c r="AS960" t="str">
        <f t="shared" si="150"/>
        <v/>
      </c>
    </row>
    <row r="961" spans="1:45">
      <c r="A961" s="291"/>
      <c r="B961" s="292"/>
      <c r="C961" s="293"/>
      <c r="D961" s="293"/>
      <c r="E961" s="293"/>
      <c r="F961" s="293"/>
      <c r="G961" s="294"/>
      <c r="H961" s="300"/>
      <c r="I961" s="295"/>
      <c r="J961" s="295"/>
      <c r="K961" s="296"/>
      <c r="L961" s="301"/>
      <c r="M961" s="297"/>
      <c r="N961" s="298"/>
      <c r="P961" s="190" t="str">
        <f>IF(R961 = "", "", COUNT(R$4:$R961))</f>
        <v/>
      </c>
      <c r="Q961" s="190" t="str">
        <f t="shared" si="141"/>
        <v/>
      </c>
      <c r="R961" s="191" t="str">
        <f t="shared" si="142"/>
        <v/>
      </c>
      <c r="S961" s="192" t="str">
        <f t="shared" si="144"/>
        <v/>
      </c>
      <c r="T961" s="193" t="str">
        <f t="shared" si="145"/>
        <v/>
      </c>
      <c r="U961" s="194" t="str">
        <f t="shared" si="146"/>
        <v/>
      </c>
      <c r="V961" s="195" t="str">
        <f t="shared" si="143"/>
        <v/>
      </c>
      <c r="W961" s="336" t="str">
        <f t="shared" si="147"/>
        <v/>
      </c>
      <c r="X961" s="338" t="str">
        <f t="shared" si="148"/>
        <v/>
      </c>
      <c r="Y961" s="274"/>
      <c r="AR961" t="str">
        <f t="shared" si="149"/>
        <v/>
      </c>
      <c r="AS961" t="str">
        <f t="shared" si="150"/>
        <v/>
      </c>
    </row>
    <row r="962" spans="1:45">
      <c r="A962" s="291"/>
      <c r="B962" s="292"/>
      <c r="C962" s="293"/>
      <c r="D962" s="293"/>
      <c r="E962" s="293"/>
      <c r="F962" s="293"/>
      <c r="G962" s="294"/>
      <c r="H962" s="300"/>
      <c r="I962" s="295"/>
      <c r="J962" s="295"/>
      <c r="K962" s="296"/>
      <c r="L962" s="301"/>
      <c r="M962" s="297"/>
      <c r="N962" s="298"/>
      <c r="P962" s="190" t="str">
        <f>IF(R962 = "", "", COUNT(R$4:$R962))</f>
        <v/>
      </c>
      <c r="Q962" s="190" t="str">
        <f t="shared" si="141"/>
        <v/>
      </c>
      <c r="R962" s="191" t="str">
        <f t="shared" si="142"/>
        <v/>
      </c>
      <c r="S962" s="192" t="str">
        <f t="shared" si="144"/>
        <v/>
      </c>
      <c r="T962" s="193" t="str">
        <f t="shared" si="145"/>
        <v/>
      </c>
      <c r="U962" s="194" t="str">
        <f t="shared" si="146"/>
        <v/>
      </c>
      <c r="V962" s="195" t="str">
        <f t="shared" si="143"/>
        <v/>
      </c>
      <c r="W962" s="336" t="str">
        <f t="shared" si="147"/>
        <v/>
      </c>
      <c r="X962" s="338" t="str">
        <f t="shared" si="148"/>
        <v/>
      </c>
      <c r="Y962" s="274"/>
      <c r="AR962" t="str">
        <f t="shared" si="149"/>
        <v/>
      </c>
      <c r="AS962" t="str">
        <f t="shared" si="150"/>
        <v/>
      </c>
    </row>
    <row r="963" spans="1:45">
      <c r="A963" s="291"/>
      <c r="B963" s="292"/>
      <c r="C963" s="293"/>
      <c r="D963" s="293"/>
      <c r="E963" s="293"/>
      <c r="F963" s="293"/>
      <c r="G963" s="294"/>
      <c r="H963" s="300"/>
      <c r="I963" s="295"/>
      <c r="J963" s="295"/>
      <c r="K963" s="296"/>
      <c r="L963" s="301"/>
      <c r="M963" s="297"/>
      <c r="N963" s="298"/>
      <c r="P963" s="190" t="str">
        <f>IF(R963 = "", "", COUNT(R$4:$R963))</f>
        <v/>
      </c>
      <c r="Q963" s="190" t="str">
        <f t="shared" si="141"/>
        <v/>
      </c>
      <c r="R963" s="191" t="str">
        <f t="shared" si="142"/>
        <v/>
      </c>
      <c r="S963" s="192" t="str">
        <f t="shared" si="144"/>
        <v/>
      </c>
      <c r="T963" s="193" t="str">
        <f t="shared" si="145"/>
        <v/>
      </c>
      <c r="U963" s="194" t="str">
        <f t="shared" si="146"/>
        <v/>
      </c>
      <c r="V963" s="195" t="str">
        <f t="shared" si="143"/>
        <v/>
      </c>
      <c r="W963" s="336" t="str">
        <f t="shared" si="147"/>
        <v/>
      </c>
      <c r="X963" s="338" t="str">
        <f t="shared" si="148"/>
        <v/>
      </c>
      <c r="Y963" s="274"/>
      <c r="AR963" t="str">
        <f t="shared" si="149"/>
        <v/>
      </c>
      <c r="AS963" t="str">
        <f t="shared" si="150"/>
        <v/>
      </c>
    </row>
    <row r="964" spans="1:45">
      <c r="A964" s="291"/>
      <c r="B964" s="292"/>
      <c r="C964" s="293"/>
      <c r="D964" s="293"/>
      <c r="E964" s="293"/>
      <c r="F964" s="293"/>
      <c r="G964" s="294"/>
      <c r="H964" s="300"/>
      <c r="I964" s="295"/>
      <c r="J964" s="295"/>
      <c r="K964" s="296"/>
      <c r="L964" s="301"/>
      <c r="M964" s="297"/>
      <c r="N964" s="298"/>
      <c r="P964" s="190" t="str">
        <f>IF(R964 = "", "", COUNT(R$4:$R964))</f>
        <v/>
      </c>
      <c r="Q964" s="190" t="str">
        <f t="shared" ref="Q964:Q1003" si="151">IF(C964 &gt; 0, YEAR(B964), "")</f>
        <v/>
      </c>
      <c r="R964" s="191" t="str">
        <f t="shared" ref="R964:R1003" si="152">IF(A964="", "", IF(G964="",1,IF(G964="O",1,IF(G964="C",8.4,IF(G964="B",8.4,IF(G964="A",76.8,IF(G964="K",76.8,"ERR")))))))</f>
        <v/>
      </c>
      <c r="S964" s="192" t="str">
        <f t="shared" si="144"/>
        <v/>
      </c>
      <c r="T964" s="193" t="str">
        <f t="shared" si="145"/>
        <v/>
      </c>
      <c r="U964" s="194" t="str">
        <f t="shared" si="146"/>
        <v/>
      </c>
      <c r="V964" s="195" t="str">
        <f t="shared" ref="V964:V1003" si="153">IF(IF(M964&lt;&gt;"",G964,"")=0, "O", IF(M964&lt;&gt;"",G964,""))</f>
        <v/>
      </c>
      <c r="W964" s="336" t="str">
        <f t="shared" si="147"/>
        <v/>
      </c>
      <c r="X964" s="338" t="str">
        <f t="shared" si="148"/>
        <v/>
      </c>
      <c r="Y964" s="274"/>
      <c r="AR964" t="str">
        <f t="shared" si="149"/>
        <v/>
      </c>
      <c r="AS964" t="str">
        <f t="shared" si="150"/>
        <v/>
      </c>
    </row>
    <row r="965" spans="1:45">
      <c r="A965" s="291"/>
      <c r="B965" s="292"/>
      <c r="C965" s="293"/>
      <c r="D965" s="293"/>
      <c r="E965" s="293"/>
      <c r="F965" s="293"/>
      <c r="G965" s="294"/>
      <c r="H965" s="300"/>
      <c r="I965" s="295"/>
      <c r="J965" s="295"/>
      <c r="K965" s="296"/>
      <c r="L965" s="301"/>
      <c r="M965" s="297"/>
      <c r="N965" s="298"/>
      <c r="P965" s="190" t="str">
        <f>IF(R965 = "", "", COUNT(R$4:$R965))</f>
        <v/>
      </c>
      <c r="Q965" s="190" t="str">
        <f t="shared" si="151"/>
        <v/>
      </c>
      <c r="R965" s="191" t="str">
        <f t="shared" si="152"/>
        <v/>
      </c>
      <c r="S965" s="192" t="str">
        <f t="shared" ref="S965:S1003" si="154">IF(L965&lt;&gt;"",R965,"")</f>
        <v/>
      </c>
      <c r="T965" s="193" t="str">
        <f t="shared" ref="T965:T1003" si="155">IF(IF(L965&lt;&gt;"",G965,"")=0, "O", IF(L965&lt;&gt;"",G965,""))</f>
        <v/>
      </c>
      <c r="U965" s="194" t="str">
        <f t="shared" ref="U965:U1003" si="156">IF(M965&lt;&gt;"",R965,"")</f>
        <v/>
      </c>
      <c r="V965" s="195" t="str">
        <f t="shared" si="153"/>
        <v/>
      </c>
      <c r="W965" s="336" t="str">
        <f t="shared" ref="W965:W1003" si="157">IF(N965&lt;&gt;"",R965,"")</f>
        <v/>
      </c>
      <c r="X965" s="338" t="str">
        <f t="shared" ref="X965:X1003" si="158">IF(IF(N965&lt;&gt;"",G965,"")=0, "O", IF(N965&lt;&gt;"",G965,""))</f>
        <v/>
      </c>
      <c r="Y965" s="274"/>
      <c r="AR965" t="str">
        <f t="shared" ref="AR965:AR1003" si="159">IF(P965&gt;0, P965, "")</f>
        <v/>
      </c>
      <c r="AS965" t="str">
        <f t="shared" ref="AS965:AS1003" si="160">IF(OR(L965="Y",M965="Y",N965="Y"),"Y","")</f>
        <v/>
      </c>
    </row>
    <row r="966" spans="1:45">
      <c r="A966" s="291"/>
      <c r="B966" s="292"/>
      <c r="C966" s="293"/>
      <c r="D966" s="293"/>
      <c r="E966" s="293"/>
      <c r="F966" s="293"/>
      <c r="G966" s="294"/>
      <c r="H966" s="300"/>
      <c r="I966" s="295"/>
      <c r="J966" s="295"/>
      <c r="K966" s="296"/>
      <c r="L966" s="301"/>
      <c r="M966" s="297"/>
      <c r="N966" s="298"/>
      <c r="P966" s="190" t="str">
        <f>IF(R966 = "", "", COUNT(R$4:$R966))</f>
        <v/>
      </c>
      <c r="Q966" s="190" t="str">
        <f t="shared" si="151"/>
        <v/>
      </c>
      <c r="R966" s="191" t="str">
        <f t="shared" si="152"/>
        <v/>
      </c>
      <c r="S966" s="192" t="str">
        <f t="shared" si="154"/>
        <v/>
      </c>
      <c r="T966" s="193" t="str">
        <f t="shared" si="155"/>
        <v/>
      </c>
      <c r="U966" s="194" t="str">
        <f t="shared" si="156"/>
        <v/>
      </c>
      <c r="V966" s="195" t="str">
        <f t="shared" si="153"/>
        <v/>
      </c>
      <c r="W966" s="336" t="str">
        <f t="shared" si="157"/>
        <v/>
      </c>
      <c r="X966" s="338" t="str">
        <f t="shared" si="158"/>
        <v/>
      </c>
      <c r="Y966" s="274"/>
      <c r="AR966" t="str">
        <f t="shared" si="159"/>
        <v/>
      </c>
      <c r="AS966" t="str">
        <f t="shared" si="160"/>
        <v/>
      </c>
    </row>
    <row r="967" spans="1:45">
      <c r="A967" s="291"/>
      <c r="B967" s="292"/>
      <c r="C967" s="293"/>
      <c r="D967" s="293"/>
      <c r="E967" s="293"/>
      <c r="F967" s="293"/>
      <c r="G967" s="294"/>
      <c r="H967" s="300"/>
      <c r="I967" s="295"/>
      <c r="J967" s="295"/>
      <c r="K967" s="296"/>
      <c r="L967" s="301"/>
      <c r="M967" s="297"/>
      <c r="N967" s="298"/>
      <c r="P967" s="190" t="str">
        <f>IF(R967 = "", "", COUNT(R$4:$R967))</f>
        <v/>
      </c>
      <c r="Q967" s="190" t="str">
        <f t="shared" si="151"/>
        <v/>
      </c>
      <c r="R967" s="191" t="str">
        <f t="shared" si="152"/>
        <v/>
      </c>
      <c r="S967" s="192" t="str">
        <f t="shared" si="154"/>
        <v/>
      </c>
      <c r="T967" s="193" t="str">
        <f t="shared" si="155"/>
        <v/>
      </c>
      <c r="U967" s="194" t="str">
        <f t="shared" si="156"/>
        <v/>
      </c>
      <c r="V967" s="195" t="str">
        <f t="shared" si="153"/>
        <v/>
      </c>
      <c r="W967" s="336" t="str">
        <f t="shared" si="157"/>
        <v/>
      </c>
      <c r="X967" s="338" t="str">
        <f t="shared" si="158"/>
        <v/>
      </c>
      <c r="Y967" s="274"/>
      <c r="AR967" t="str">
        <f t="shared" si="159"/>
        <v/>
      </c>
      <c r="AS967" t="str">
        <f t="shared" si="160"/>
        <v/>
      </c>
    </row>
    <row r="968" spans="1:45">
      <c r="A968" s="291"/>
      <c r="B968" s="292"/>
      <c r="C968" s="293"/>
      <c r="D968" s="293"/>
      <c r="E968" s="293"/>
      <c r="F968" s="293"/>
      <c r="G968" s="294"/>
      <c r="H968" s="300"/>
      <c r="I968" s="295"/>
      <c r="J968" s="295"/>
      <c r="K968" s="296"/>
      <c r="L968" s="301"/>
      <c r="M968" s="297"/>
      <c r="N968" s="298"/>
      <c r="P968" s="190" t="str">
        <f>IF(R968 = "", "", COUNT(R$4:$R968))</f>
        <v/>
      </c>
      <c r="Q968" s="190" t="str">
        <f t="shared" si="151"/>
        <v/>
      </c>
      <c r="R968" s="191" t="str">
        <f t="shared" si="152"/>
        <v/>
      </c>
      <c r="S968" s="192" t="str">
        <f t="shared" si="154"/>
        <v/>
      </c>
      <c r="T968" s="193" t="str">
        <f t="shared" si="155"/>
        <v/>
      </c>
      <c r="U968" s="194" t="str">
        <f t="shared" si="156"/>
        <v/>
      </c>
      <c r="V968" s="195" t="str">
        <f t="shared" si="153"/>
        <v/>
      </c>
      <c r="W968" s="336" t="str">
        <f t="shared" si="157"/>
        <v/>
      </c>
      <c r="X968" s="338" t="str">
        <f t="shared" si="158"/>
        <v/>
      </c>
      <c r="Y968" s="274"/>
      <c r="AR968" t="str">
        <f t="shared" si="159"/>
        <v/>
      </c>
      <c r="AS968" t="str">
        <f t="shared" si="160"/>
        <v/>
      </c>
    </row>
    <row r="969" spans="1:45">
      <c r="A969" s="291"/>
      <c r="B969" s="292"/>
      <c r="C969" s="293"/>
      <c r="D969" s="293"/>
      <c r="E969" s="293"/>
      <c r="F969" s="293"/>
      <c r="G969" s="294"/>
      <c r="H969" s="300"/>
      <c r="I969" s="295"/>
      <c r="J969" s="295"/>
      <c r="K969" s="296"/>
      <c r="L969" s="301"/>
      <c r="M969" s="297"/>
      <c r="N969" s="298"/>
      <c r="P969" s="190" t="str">
        <f>IF(R969 = "", "", COUNT(R$4:$R969))</f>
        <v/>
      </c>
      <c r="Q969" s="190" t="str">
        <f t="shared" si="151"/>
        <v/>
      </c>
      <c r="R969" s="191" t="str">
        <f t="shared" si="152"/>
        <v/>
      </c>
      <c r="S969" s="192" t="str">
        <f t="shared" si="154"/>
        <v/>
      </c>
      <c r="T969" s="193" t="str">
        <f t="shared" si="155"/>
        <v/>
      </c>
      <c r="U969" s="194" t="str">
        <f t="shared" si="156"/>
        <v/>
      </c>
      <c r="V969" s="195" t="str">
        <f t="shared" si="153"/>
        <v/>
      </c>
      <c r="W969" s="336" t="str">
        <f t="shared" si="157"/>
        <v/>
      </c>
      <c r="X969" s="338" t="str">
        <f t="shared" si="158"/>
        <v/>
      </c>
      <c r="Y969" s="274"/>
      <c r="AR969" t="str">
        <f t="shared" si="159"/>
        <v/>
      </c>
      <c r="AS969" t="str">
        <f t="shared" si="160"/>
        <v/>
      </c>
    </row>
    <row r="970" spans="1:45">
      <c r="A970" s="291"/>
      <c r="B970" s="292"/>
      <c r="C970" s="293"/>
      <c r="D970" s="293"/>
      <c r="E970" s="293"/>
      <c r="F970" s="293"/>
      <c r="G970" s="294"/>
      <c r="H970" s="300"/>
      <c r="I970" s="295"/>
      <c r="J970" s="295"/>
      <c r="K970" s="296"/>
      <c r="L970" s="301"/>
      <c r="M970" s="297"/>
      <c r="N970" s="298"/>
      <c r="P970" s="190" t="str">
        <f>IF(R970 = "", "", COUNT(R$4:$R970))</f>
        <v/>
      </c>
      <c r="Q970" s="190" t="str">
        <f t="shared" si="151"/>
        <v/>
      </c>
      <c r="R970" s="191" t="str">
        <f t="shared" si="152"/>
        <v/>
      </c>
      <c r="S970" s="192" t="str">
        <f t="shared" si="154"/>
        <v/>
      </c>
      <c r="T970" s="193" t="str">
        <f t="shared" si="155"/>
        <v/>
      </c>
      <c r="U970" s="194" t="str">
        <f t="shared" si="156"/>
        <v/>
      </c>
      <c r="V970" s="195" t="str">
        <f t="shared" si="153"/>
        <v/>
      </c>
      <c r="W970" s="336" t="str">
        <f t="shared" si="157"/>
        <v/>
      </c>
      <c r="X970" s="338" t="str">
        <f t="shared" si="158"/>
        <v/>
      </c>
      <c r="Y970" s="274"/>
      <c r="AR970" t="str">
        <f t="shared" si="159"/>
        <v/>
      </c>
      <c r="AS970" t="str">
        <f t="shared" si="160"/>
        <v/>
      </c>
    </row>
    <row r="971" spans="1:45">
      <c r="A971" s="291"/>
      <c r="B971" s="292"/>
      <c r="C971" s="293"/>
      <c r="D971" s="293"/>
      <c r="E971" s="293"/>
      <c r="F971" s="293"/>
      <c r="G971" s="294"/>
      <c r="H971" s="300"/>
      <c r="I971" s="295"/>
      <c r="J971" s="295"/>
      <c r="K971" s="296"/>
      <c r="L971" s="301"/>
      <c r="M971" s="297"/>
      <c r="N971" s="298"/>
      <c r="P971" s="190" t="str">
        <f>IF(R971 = "", "", COUNT(R$4:$R971))</f>
        <v/>
      </c>
      <c r="Q971" s="190" t="str">
        <f t="shared" si="151"/>
        <v/>
      </c>
      <c r="R971" s="191" t="str">
        <f t="shared" si="152"/>
        <v/>
      </c>
      <c r="S971" s="192" t="str">
        <f t="shared" si="154"/>
        <v/>
      </c>
      <c r="T971" s="193" t="str">
        <f t="shared" si="155"/>
        <v/>
      </c>
      <c r="U971" s="194" t="str">
        <f t="shared" si="156"/>
        <v/>
      </c>
      <c r="V971" s="195" t="str">
        <f t="shared" si="153"/>
        <v/>
      </c>
      <c r="W971" s="336" t="str">
        <f t="shared" si="157"/>
        <v/>
      </c>
      <c r="X971" s="338" t="str">
        <f t="shared" si="158"/>
        <v/>
      </c>
      <c r="Y971" s="274"/>
      <c r="AR971" t="str">
        <f t="shared" si="159"/>
        <v/>
      </c>
      <c r="AS971" t="str">
        <f t="shared" si="160"/>
        <v/>
      </c>
    </row>
    <row r="972" spans="1:45">
      <c r="A972" s="291"/>
      <c r="B972" s="292"/>
      <c r="C972" s="293"/>
      <c r="D972" s="293"/>
      <c r="E972" s="293"/>
      <c r="F972" s="293"/>
      <c r="G972" s="294"/>
      <c r="H972" s="300"/>
      <c r="I972" s="295"/>
      <c r="J972" s="295"/>
      <c r="K972" s="296"/>
      <c r="L972" s="301"/>
      <c r="M972" s="297"/>
      <c r="N972" s="298"/>
      <c r="P972" s="190" t="str">
        <f>IF(R972 = "", "", COUNT(R$4:$R972))</f>
        <v/>
      </c>
      <c r="Q972" s="190" t="str">
        <f t="shared" si="151"/>
        <v/>
      </c>
      <c r="R972" s="191" t="str">
        <f t="shared" si="152"/>
        <v/>
      </c>
      <c r="S972" s="192" t="str">
        <f t="shared" si="154"/>
        <v/>
      </c>
      <c r="T972" s="193" t="str">
        <f t="shared" si="155"/>
        <v/>
      </c>
      <c r="U972" s="194" t="str">
        <f t="shared" si="156"/>
        <v/>
      </c>
      <c r="V972" s="195" t="str">
        <f t="shared" si="153"/>
        <v/>
      </c>
      <c r="W972" s="336" t="str">
        <f t="shared" si="157"/>
        <v/>
      </c>
      <c r="X972" s="338" t="str">
        <f t="shared" si="158"/>
        <v/>
      </c>
      <c r="Y972" s="274"/>
      <c r="AR972" t="str">
        <f t="shared" si="159"/>
        <v/>
      </c>
      <c r="AS972" t="str">
        <f t="shared" si="160"/>
        <v/>
      </c>
    </row>
    <row r="973" spans="1:45">
      <c r="A973" s="291"/>
      <c r="B973" s="292"/>
      <c r="C973" s="293"/>
      <c r="D973" s="293"/>
      <c r="E973" s="293"/>
      <c r="F973" s="293"/>
      <c r="G973" s="294"/>
      <c r="H973" s="300"/>
      <c r="I973" s="295"/>
      <c r="J973" s="295"/>
      <c r="K973" s="296"/>
      <c r="L973" s="301"/>
      <c r="M973" s="297"/>
      <c r="N973" s="298"/>
      <c r="P973" s="190" t="str">
        <f>IF(R973 = "", "", COUNT(R$4:$R973))</f>
        <v/>
      </c>
      <c r="Q973" s="190" t="str">
        <f t="shared" si="151"/>
        <v/>
      </c>
      <c r="R973" s="191" t="str">
        <f t="shared" si="152"/>
        <v/>
      </c>
      <c r="S973" s="192" t="str">
        <f t="shared" si="154"/>
        <v/>
      </c>
      <c r="T973" s="193" t="str">
        <f t="shared" si="155"/>
        <v/>
      </c>
      <c r="U973" s="194" t="str">
        <f t="shared" si="156"/>
        <v/>
      </c>
      <c r="V973" s="195" t="str">
        <f t="shared" si="153"/>
        <v/>
      </c>
      <c r="W973" s="336" t="str">
        <f t="shared" si="157"/>
        <v/>
      </c>
      <c r="X973" s="338" t="str">
        <f t="shared" si="158"/>
        <v/>
      </c>
      <c r="Y973" s="274"/>
      <c r="AR973" t="str">
        <f t="shared" si="159"/>
        <v/>
      </c>
      <c r="AS973" t="str">
        <f t="shared" si="160"/>
        <v/>
      </c>
    </row>
    <row r="974" spans="1:45">
      <c r="A974" s="291"/>
      <c r="B974" s="292"/>
      <c r="C974" s="293"/>
      <c r="D974" s="293"/>
      <c r="E974" s="293"/>
      <c r="F974" s="293"/>
      <c r="G974" s="294"/>
      <c r="H974" s="300"/>
      <c r="I974" s="295"/>
      <c r="J974" s="295"/>
      <c r="K974" s="296"/>
      <c r="L974" s="301"/>
      <c r="M974" s="297"/>
      <c r="N974" s="298"/>
      <c r="P974" s="190" t="str">
        <f>IF(R974 = "", "", COUNT(R$4:$R974))</f>
        <v/>
      </c>
      <c r="Q974" s="190" t="str">
        <f t="shared" si="151"/>
        <v/>
      </c>
      <c r="R974" s="191" t="str">
        <f t="shared" si="152"/>
        <v/>
      </c>
      <c r="S974" s="192" t="str">
        <f t="shared" si="154"/>
        <v/>
      </c>
      <c r="T974" s="193" t="str">
        <f t="shared" si="155"/>
        <v/>
      </c>
      <c r="U974" s="194" t="str">
        <f t="shared" si="156"/>
        <v/>
      </c>
      <c r="V974" s="195" t="str">
        <f t="shared" si="153"/>
        <v/>
      </c>
      <c r="W974" s="336" t="str">
        <f t="shared" si="157"/>
        <v/>
      </c>
      <c r="X974" s="338" t="str">
        <f t="shared" si="158"/>
        <v/>
      </c>
      <c r="Y974" s="274"/>
      <c r="AR974" t="str">
        <f t="shared" si="159"/>
        <v/>
      </c>
      <c r="AS974" t="str">
        <f t="shared" si="160"/>
        <v/>
      </c>
    </row>
    <row r="975" spans="1:45">
      <c r="A975" s="291"/>
      <c r="B975" s="292"/>
      <c r="C975" s="293"/>
      <c r="D975" s="293"/>
      <c r="E975" s="293"/>
      <c r="F975" s="293"/>
      <c r="G975" s="294"/>
      <c r="H975" s="300"/>
      <c r="I975" s="295"/>
      <c r="J975" s="295"/>
      <c r="K975" s="296"/>
      <c r="L975" s="301"/>
      <c r="M975" s="297"/>
      <c r="N975" s="298"/>
      <c r="P975" s="190" t="str">
        <f>IF(R975 = "", "", COUNT(R$4:$R975))</f>
        <v/>
      </c>
      <c r="Q975" s="190" t="str">
        <f t="shared" si="151"/>
        <v/>
      </c>
      <c r="R975" s="191" t="str">
        <f t="shared" si="152"/>
        <v/>
      </c>
      <c r="S975" s="192" t="str">
        <f t="shared" si="154"/>
        <v/>
      </c>
      <c r="T975" s="193" t="str">
        <f t="shared" si="155"/>
        <v/>
      </c>
      <c r="U975" s="194" t="str">
        <f t="shared" si="156"/>
        <v/>
      </c>
      <c r="V975" s="195" t="str">
        <f t="shared" si="153"/>
        <v/>
      </c>
      <c r="W975" s="336" t="str">
        <f t="shared" si="157"/>
        <v/>
      </c>
      <c r="X975" s="338" t="str">
        <f t="shared" si="158"/>
        <v/>
      </c>
      <c r="Y975" s="274"/>
      <c r="AR975" t="str">
        <f t="shared" si="159"/>
        <v/>
      </c>
      <c r="AS975" t="str">
        <f t="shared" si="160"/>
        <v/>
      </c>
    </row>
    <row r="976" spans="1:45">
      <c r="A976" s="291"/>
      <c r="B976" s="292"/>
      <c r="C976" s="293"/>
      <c r="D976" s="293"/>
      <c r="E976" s="293"/>
      <c r="F976" s="293"/>
      <c r="G976" s="294"/>
      <c r="H976" s="300"/>
      <c r="I976" s="295"/>
      <c r="J976" s="295"/>
      <c r="K976" s="296"/>
      <c r="L976" s="301"/>
      <c r="M976" s="297"/>
      <c r="N976" s="298"/>
      <c r="P976" s="190" t="str">
        <f>IF(R976 = "", "", COUNT(R$4:$R976))</f>
        <v/>
      </c>
      <c r="Q976" s="190" t="str">
        <f t="shared" si="151"/>
        <v/>
      </c>
      <c r="R976" s="191" t="str">
        <f t="shared" si="152"/>
        <v/>
      </c>
      <c r="S976" s="192" t="str">
        <f t="shared" si="154"/>
        <v/>
      </c>
      <c r="T976" s="193" t="str">
        <f t="shared" si="155"/>
        <v/>
      </c>
      <c r="U976" s="194" t="str">
        <f t="shared" si="156"/>
        <v/>
      </c>
      <c r="V976" s="195" t="str">
        <f t="shared" si="153"/>
        <v/>
      </c>
      <c r="W976" s="336" t="str">
        <f t="shared" si="157"/>
        <v/>
      </c>
      <c r="X976" s="338" t="str">
        <f t="shared" si="158"/>
        <v/>
      </c>
      <c r="Y976" s="274"/>
      <c r="AR976" t="str">
        <f t="shared" si="159"/>
        <v/>
      </c>
      <c r="AS976" t="str">
        <f t="shared" si="160"/>
        <v/>
      </c>
    </row>
    <row r="977" spans="1:45">
      <c r="A977" s="291"/>
      <c r="B977" s="292"/>
      <c r="C977" s="293"/>
      <c r="D977" s="293"/>
      <c r="E977" s="293"/>
      <c r="F977" s="293"/>
      <c r="G977" s="294"/>
      <c r="H977" s="300"/>
      <c r="I977" s="295"/>
      <c r="J977" s="295"/>
      <c r="K977" s="296"/>
      <c r="L977" s="301"/>
      <c r="M977" s="297"/>
      <c r="N977" s="298"/>
      <c r="P977" s="190" t="str">
        <f>IF(R977 = "", "", COUNT(R$4:$R977))</f>
        <v/>
      </c>
      <c r="Q977" s="190" t="str">
        <f t="shared" si="151"/>
        <v/>
      </c>
      <c r="R977" s="191" t="str">
        <f t="shared" si="152"/>
        <v/>
      </c>
      <c r="S977" s="192" t="str">
        <f t="shared" si="154"/>
        <v/>
      </c>
      <c r="T977" s="193" t="str">
        <f t="shared" si="155"/>
        <v/>
      </c>
      <c r="U977" s="194" t="str">
        <f t="shared" si="156"/>
        <v/>
      </c>
      <c r="V977" s="195" t="str">
        <f t="shared" si="153"/>
        <v/>
      </c>
      <c r="W977" s="336" t="str">
        <f t="shared" si="157"/>
        <v/>
      </c>
      <c r="X977" s="338" t="str">
        <f t="shared" si="158"/>
        <v/>
      </c>
      <c r="Y977" s="274"/>
      <c r="AR977" t="str">
        <f t="shared" si="159"/>
        <v/>
      </c>
      <c r="AS977" t="str">
        <f t="shared" si="160"/>
        <v/>
      </c>
    </row>
    <row r="978" spans="1:45">
      <c r="A978" s="291"/>
      <c r="B978" s="292"/>
      <c r="C978" s="293"/>
      <c r="D978" s="293"/>
      <c r="E978" s="293"/>
      <c r="F978" s="293"/>
      <c r="G978" s="294"/>
      <c r="H978" s="300"/>
      <c r="I978" s="295"/>
      <c r="J978" s="295"/>
      <c r="K978" s="296"/>
      <c r="L978" s="301"/>
      <c r="M978" s="297"/>
      <c r="N978" s="298"/>
      <c r="P978" s="190" t="str">
        <f>IF(R978 = "", "", COUNT(R$4:$R978))</f>
        <v/>
      </c>
      <c r="Q978" s="190" t="str">
        <f t="shared" si="151"/>
        <v/>
      </c>
      <c r="R978" s="191" t="str">
        <f t="shared" si="152"/>
        <v/>
      </c>
      <c r="S978" s="192" t="str">
        <f t="shared" si="154"/>
        <v/>
      </c>
      <c r="T978" s="193" t="str">
        <f t="shared" si="155"/>
        <v/>
      </c>
      <c r="U978" s="194" t="str">
        <f t="shared" si="156"/>
        <v/>
      </c>
      <c r="V978" s="195" t="str">
        <f t="shared" si="153"/>
        <v/>
      </c>
      <c r="W978" s="336" t="str">
        <f t="shared" si="157"/>
        <v/>
      </c>
      <c r="X978" s="338" t="str">
        <f t="shared" si="158"/>
        <v/>
      </c>
      <c r="Y978" s="274"/>
      <c r="AR978" t="str">
        <f t="shared" si="159"/>
        <v/>
      </c>
      <c r="AS978" t="str">
        <f t="shared" si="160"/>
        <v/>
      </c>
    </row>
    <row r="979" spans="1:45">
      <c r="A979" s="291"/>
      <c r="B979" s="292"/>
      <c r="C979" s="293"/>
      <c r="D979" s="293"/>
      <c r="E979" s="293"/>
      <c r="F979" s="293"/>
      <c r="G979" s="294"/>
      <c r="H979" s="300"/>
      <c r="I979" s="295"/>
      <c r="J979" s="295"/>
      <c r="K979" s="296"/>
      <c r="L979" s="301"/>
      <c r="M979" s="297"/>
      <c r="N979" s="298"/>
      <c r="P979" s="190" t="str">
        <f>IF(R979 = "", "", COUNT(R$4:$R979))</f>
        <v/>
      </c>
      <c r="Q979" s="190" t="str">
        <f t="shared" si="151"/>
        <v/>
      </c>
      <c r="R979" s="191" t="str">
        <f t="shared" si="152"/>
        <v/>
      </c>
      <c r="S979" s="192" t="str">
        <f t="shared" si="154"/>
        <v/>
      </c>
      <c r="T979" s="193" t="str">
        <f t="shared" si="155"/>
        <v/>
      </c>
      <c r="U979" s="194" t="str">
        <f t="shared" si="156"/>
        <v/>
      </c>
      <c r="V979" s="195" t="str">
        <f t="shared" si="153"/>
        <v/>
      </c>
      <c r="W979" s="336" t="str">
        <f t="shared" si="157"/>
        <v/>
      </c>
      <c r="X979" s="338" t="str">
        <f t="shared" si="158"/>
        <v/>
      </c>
      <c r="Y979" s="274"/>
      <c r="AR979" t="str">
        <f t="shared" si="159"/>
        <v/>
      </c>
      <c r="AS979" t="str">
        <f t="shared" si="160"/>
        <v/>
      </c>
    </row>
    <row r="980" spans="1:45">
      <c r="A980" s="291"/>
      <c r="B980" s="292"/>
      <c r="C980" s="293"/>
      <c r="D980" s="293"/>
      <c r="E980" s="293"/>
      <c r="F980" s="293"/>
      <c r="G980" s="294"/>
      <c r="H980" s="300"/>
      <c r="I980" s="295"/>
      <c r="J980" s="295"/>
      <c r="K980" s="296"/>
      <c r="L980" s="301"/>
      <c r="M980" s="297"/>
      <c r="N980" s="298"/>
      <c r="P980" s="190" t="str">
        <f>IF(R980 = "", "", COUNT(R$4:$R980))</f>
        <v/>
      </c>
      <c r="Q980" s="190" t="str">
        <f t="shared" si="151"/>
        <v/>
      </c>
      <c r="R980" s="191" t="str">
        <f t="shared" si="152"/>
        <v/>
      </c>
      <c r="S980" s="192" t="str">
        <f t="shared" si="154"/>
        <v/>
      </c>
      <c r="T980" s="193" t="str">
        <f t="shared" si="155"/>
        <v/>
      </c>
      <c r="U980" s="194" t="str">
        <f t="shared" si="156"/>
        <v/>
      </c>
      <c r="V980" s="195" t="str">
        <f t="shared" si="153"/>
        <v/>
      </c>
      <c r="W980" s="336" t="str">
        <f t="shared" si="157"/>
        <v/>
      </c>
      <c r="X980" s="338" t="str">
        <f t="shared" si="158"/>
        <v/>
      </c>
      <c r="Y980" s="274"/>
      <c r="AR980" t="str">
        <f t="shared" si="159"/>
        <v/>
      </c>
      <c r="AS980" t="str">
        <f t="shared" si="160"/>
        <v/>
      </c>
    </row>
    <row r="981" spans="1:45">
      <c r="A981" s="291"/>
      <c r="B981" s="292"/>
      <c r="C981" s="293"/>
      <c r="D981" s="293"/>
      <c r="E981" s="293"/>
      <c r="F981" s="293"/>
      <c r="G981" s="294"/>
      <c r="H981" s="300"/>
      <c r="I981" s="295"/>
      <c r="J981" s="295"/>
      <c r="K981" s="296"/>
      <c r="L981" s="301"/>
      <c r="M981" s="297"/>
      <c r="N981" s="298"/>
      <c r="P981" s="190" t="str">
        <f>IF(R981 = "", "", COUNT(R$4:$R981))</f>
        <v/>
      </c>
      <c r="Q981" s="190" t="str">
        <f t="shared" si="151"/>
        <v/>
      </c>
      <c r="R981" s="191" t="str">
        <f t="shared" si="152"/>
        <v/>
      </c>
      <c r="S981" s="192" t="str">
        <f t="shared" si="154"/>
        <v/>
      </c>
      <c r="T981" s="193" t="str">
        <f t="shared" si="155"/>
        <v/>
      </c>
      <c r="U981" s="194" t="str">
        <f t="shared" si="156"/>
        <v/>
      </c>
      <c r="V981" s="195" t="str">
        <f t="shared" si="153"/>
        <v/>
      </c>
      <c r="W981" s="336" t="str">
        <f t="shared" si="157"/>
        <v/>
      </c>
      <c r="X981" s="338" t="str">
        <f t="shared" si="158"/>
        <v/>
      </c>
      <c r="Y981" s="274"/>
      <c r="AR981" t="str">
        <f t="shared" si="159"/>
        <v/>
      </c>
      <c r="AS981" t="str">
        <f t="shared" si="160"/>
        <v/>
      </c>
    </row>
    <row r="982" spans="1:45">
      <c r="A982" s="291"/>
      <c r="B982" s="292"/>
      <c r="C982" s="293"/>
      <c r="D982" s="293"/>
      <c r="E982" s="293"/>
      <c r="F982" s="293"/>
      <c r="G982" s="294"/>
      <c r="H982" s="300"/>
      <c r="I982" s="295"/>
      <c r="J982" s="295"/>
      <c r="K982" s="296"/>
      <c r="L982" s="301"/>
      <c r="M982" s="297"/>
      <c r="N982" s="298"/>
      <c r="P982" s="190" t="str">
        <f>IF(R982 = "", "", COUNT(R$4:$R982))</f>
        <v/>
      </c>
      <c r="Q982" s="190" t="str">
        <f t="shared" si="151"/>
        <v/>
      </c>
      <c r="R982" s="191" t="str">
        <f t="shared" si="152"/>
        <v/>
      </c>
      <c r="S982" s="192" t="str">
        <f t="shared" si="154"/>
        <v/>
      </c>
      <c r="T982" s="193" t="str">
        <f t="shared" si="155"/>
        <v/>
      </c>
      <c r="U982" s="194" t="str">
        <f t="shared" si="156"/>
        <v/>
      </c>
      <c r="V982" s="195" t="str">
        <f t="shared" si="153"/>
        <v/>
      </c>
      <c r="W982" s="336" t="str">
        <f t="shared" si="157"/>
        <v/>
      </c>
      <c r="X982" s="338" t="str">
        <f t="shared" si="158"/>
        <v/>
      </c>
      <c r="Y982" s="274"/>
      <c r="AR982" t="str">
        <f t="shared" si="159"/>
        <v/>
      </c>
      <c r="AS982" t="str">
        <f t="shared" si="160"/>
        <v/>
      </c>
    </row>
    <row r="983" spans="1:45">
      <c r="A983" s="291"/>
      <c r="B983" s="292"/>
      <c r="C983" s="293"/>
      <c r="D983" s="293"/>
      <c r="E983" s="293"/>
      <c r="F983" s="293"/>
      <c r="G983" s="294"/>
      <c r="H983" s="300"/>
      <c r="I983" s="295"/>
      <c r="J983" s="295"/>
      <c r="K983" s="296"/>
      <c r="L983" s="301"/>
      <c r="M983" s="297"/>
      <c r="N983" s="298"/>
      <c r="P983" s="190" t="str">
        <f>IF(R983 = "", "", COUNT(R$4:$R983))</f>
        <v/>
      </c>
      <c r="Q983" s="190" t="str">
        <f t="shared" si="151"/>
        <v/>
      </c>
      <c r="R983" s="191" t="str">
        <f t="shared" si="152"/>
        <v/>
      </c>
      <c r="S983" s="192" t="str">
        <f t="shared" si="154"/>
        <v/>
      </c>
      <c r="T983" s="193" t="str">
        <f t="shared" si="155"/>
        <v/>
      </c>
      <c r="U983" s="194" t="str">
        <f t="shared" si="156"/>
        <v/>
      </c>
      <c r="V983" s="195" t="str">
        <f t="shared" si="153"/>
        <v/>
      </c>
      <c r="W983" s="336" t="str">
        <f t="shared" si="157"/>
        <v/>
      </c>
      <c r="X983" s="338" t="str">
        <f t="shared" si="158"/>
        <v/>
      </c>
      <c r="Y983" s="274"/>
      <c r="AR983" t="str">
        <f t="shared" si="159"/>
        <v/>
      </c>
      <c r="AS983" t="str">
        <f t="shared" si="160"/>
        <v/>
      </c>
    </row>
    <row r="984" spans="1:45">
      <c r="A984" s="291"/>
      <c r="B984" s="292"/>
      <c r="C984" s="293"/>
      <c r="D984" s="293"/>
      <c r="E984" s="293"/>
      <c r="F984" s="293"/>
      <c r="G984" s="294"/>
      <c r="H984" s="300"/>
      <c r="I984" s="295"/>
      <c r="J984" s="295"/>
      <c r="K984" s="296"/>
      <c r="L984" s="301"/>
      <c r="M984" s="297"/>
      <c r="N984" s="298"/>
      <c r="P984" s="190" t="str">
        <f>IF(R984 = "", "", COUNT(R$4:$R984))</f>
        <v/>
      </c>
      <c r="Q984" s="190" t="str">
        <f t="shared" si="151"/>
        <v/>
      </c>
      <c r="R984" s="191" t="str">
        <f t="shared" si="152"/>
        <v/>
      </c>
      <c r="S984" s="192" t="str">
        <f t="shared" si="154"/>
        <v/>
      </c>
      <c r="T984" s="193" t="str">
        <f t="shared" si="155"/>
        <v/>
      </c>
      <c r="U984" s="194" t="str">
        <f t="shared" si="156"/>
        <v/>
      </c>
      <c r="V984" s="195" t="str">
        <f t="shared" si="153"/>
        <v/>
      </c>
      <c r="W984" s="336" t="str">
        <f t="shared" si="157"/>
        <v/>
      </c>
      <c r="X984" s="338" t="str">
        <f t="shared" si="158"/>
        <v/>
      </c>
      <c r="Y984" s="274"/>
      <c r="AR984" t="str">
        <f t="shared" si="159"/>
        <v/>
      </c>
      <c r="AS984" t="str">
        <f t="shared" si="160"/>
        <v/>
      </c>
    </row>
    <row r="985" spans="1:45">
      <c r="A985" s="291"/>
      <c r="B985" s="292"/>
      <c r="C985" s="293"/>
      <c r="D985" s="293"/>
      <c r="E985" s="293"/>
      <c r="F985" s="293"/>
      <c r="G985" s="294"/>
      <c r="H985" s="300"/>
      <c r="I985" s="295"/>
      <c r="J985" s="295"/>
      <c r="K985" s="296"/>
      <c r="L985" s="301"/>
      <c r="M985" s="297"/>
      <c r="N985" s="298"/>
      <c r="P985" s="190" t="str">
        <f>IF(R985 = "", "", COUNT(R$4:$R985))</f>
        <v/>
      </c>
      <c r="Q985" s="190" t="str">
        <f t="shared" si="151"/>
        <v/>
      </c>
      <c r="R985" s="191" t="str">
        <f t="shared" si="152"/>
        <v/>
      </c>
      <c r="S985" s="192" t="str">
        <f t="shared" si="154"/>
        <v/>
      </c>
      <c r="T985" s="193" t="str">
        <f t="shared" si="155"/>
        <v/>
      </c>
      <c r="U985" s="194" t="str">
        <f t="shared" si="156"/>
        <v/>
      </c>
      <c r="V985" s="195" t="str">
        <f t="shared" si="153"/>
        <v/>
      </c>
      <c r="W985" s="336" t="str">
        <f t="shared" si="157"/>
        <v/>
      </c>
      <c r="X985" s="338" t="str">
        <f t="shared" si="158"/>
        <v/>
      </c>
      <c r="Y985" s="274"/>
      <c r="AR985" t="str">
        <f t="shared" si="159"/>
        <v/>
      </c>
      <c r="AS985" t="str">
        <f t="shared" si="160"/>
        <v/>
      </c>
    </row>
    <row r="986" spans="1:45">
      <c r="A986" s="291"/>
      <c r="B986" s="292"/>
      <c r="C986" s="293"/>
      <c r="D986" s="293"/>
      <c r="E986" s="293"/>
      <c r="F986" s="293"/>
      <c r="G986" s="294"/>
      <c r="H986" s="300"/>
      <c r="I986" s="295"/>
      <c r="J986" s="295"/>
      <c r="K986" s="296"/>
      <c r="L986" s="301"/>
      <c r="M986" s="297"/>
      <c r="N986" s="298"/>
      <c r="P986" s="190" t="str">
        <f>IF(R986 = "", "", COUNT(R$4:$R986))</f>
        <v/>
      </c>
      <c r="Q986" s="190" t="str">
        <f t="shared" si="151"/>
        <v/>
      </c>
      <c r="R986" s="191" t="str">
        <f t="shared" si="152"/>
        <v/>
      </c>
      <c r="S986" s="192" t="str">
        <f t="shared" si="154"/>
        <v/>
      </c>
      <c r="T986" s="193" t="str">
        <f t="shared" si="155"/>
        <v/>
      </c>
      <c r="U986" s="194" t="str">
        <f t="shared" si="156"/>
        <v/>
      </c>
      <c r="V986" s="195" t="str">
        <f t="shared" si="153"/>
        <v/>
      </c>
      <c r="W986" s="336" t="str">
        <f t="shared" si="157"/>
        <v/>
      </c>
      <c r="X986" s="338" t="str">
        <f t="shared" si="158"/>
        <v/>
      </c>
      <c r="Y986" s="274"/>
      <c r="AR986" t="str">
        <f t="shared" si="159"/>
        <v/>
      </c>
      <c r="AS986" t="str">
        <f t="shared" si="160"/>
        <v/>
      </c>
    </row>
    <row r="987" spans="1:45">
      <c r="A987" s="291"/>
      <c r="B987" s="292"/>
      <c r="C987" s="293"/>
      <c r="D987" s="293"/>
      <c r="E987" s="293"/>
      <c r="F987" s="293"/>
      <c r="G987" s="294"/>
      <c r="H987" s="300"/>
      <c r="I987" s="295"/>
      <c r="J987" s="295"/>
      <c r="K987" s="296"/>
      <c r="L987" s="301"/>
      <c r="M987" s="297"/>
      <c r="N987" s="298"/>
      <c r="P987" s="190" t="str">
        <f>IF(R987 = "", "", COUNT(R$4:$R987))</f>
        <v/>
      </c>
      <c r="Q987" s="190" t="str">
        <f t="shared" si="151"/>
        <v/>
      </c>
      <c r="R987" s="191" t="str">
        <f t="shared" si="152"/>
        <v/>
      </c>
      <c r="S987" s="192" t="str">
        <f t="shared" si="154"/>
        <v/>
      </c>
      <c r="T987" s="193" t="str">
        <f t="shared" si="155"/>
        <v/>
      </c>
      <c r="U987" s="194" t="str">
        <f t="shared" si="156"/>
        <v/>
      </c>
      <c r="V987" s="195" t="str">
        <f t="shared" si="153"/>
        <v/>
      </c>
      <c r="W987" s="336" t="str">
        <f t="shared" si="157"/>
        <v/>
      </c>
      <c r="X987" s="338" t="str">
        <f t="shared" si="158"/>
        <v/>
      </c>
      <c r="Y987" s="274"/>
      <c r="AR987" t="str">
        <f t="shared" si="159"/>
        <v/>
      </c>
      <c r="AS987" t="str">
        <f t="shared" si="160"/>
        <v/>
      </c>
    </row>
    <row r="988" spans="1:45">
      <c r="A988" s="291"/>
      <c r="B988" s="292"/>
      <c r="C988" s="293"/>
      <c r="D988" s="293"/>
      <c r="E988" s="293"/>
      <c r="F988" s="293"/>
      <c r="G988" s="294"/>
      <c r="H988" s="300"/>
      <c r="I988" s="295"/>
      <c r="J988" s="295"/>
      <c r="K988" s="296"/>
      <c r="L988" s="301"/>
      <c r="M988" s="297"/>
      <c r="N988" s="298"/>
      <c r="P988" s="190" t="str">
        <f>IF(R988 = "", "", COUNT(R$4:$R988))</f>
        <v/>
      </c>
      <c r="Q988" s="190" t="str">
        <f t="shared" si="151"/>
        <v/>
      </c>
      <c r="R988" s="191" t="str">
        <f t="shared" si="152"/>
        <v/>
      </c>
      <c r="S988" s="192" t="str">
        <f t="shared" si="154"/>
        <v/>
      </c>
      <c r="T988" s="193" t="str">
        <f t="shared" si="155"/>
        <v/>
      </c>
      <c r="U988" s="194" t="str">
        <f t="shared" si="156"/>
        <v/>
      </c>
      <c r="V988" s="195" t="str">
        <f t="shared" si="153"/>
        <v/>
      </c>
      <c r="W988" s="336" t="str">
        <f t="shared" si="157"/>
        <v/>
      </c>
      <c r="X988" s="338" t="str">
        <f t="shared" si="158"/>
        <v/>
      </c>
      <c r="Y988" s="274"/>
      <c r="AR988" t="str">
        <f t="shared" si="159"/>
        <v/>
      </c>
      <c r="AS988" t="str">
        <f t="shared" si="160"/>
        <v/>
      </c>
    </row>
    <row r="989" spans="1:45">
      <c r="A989" s="291"/>
      <c r="B989" s="292"/>
      <c r="C989" s="293"/>
      <c r="D989" s="293"/>
      <c r="E989" s="293"/>
      <c r="F989" s="293"/>
      <c r="G989" s="294"/>
      <c r="H989" s="300"/>
      <c r="I989" s="295"/>
      <c r="J989" s="295"/>
      <c r="K989" s="296"/>
      <c r="L989" s="301"/>
      <c r="M989" s="297"/>
      <c r="N989" s="298"/>
      <c r="P989" s="190" t="str">
        <f>IF(R989 = "", "", COUNT(R$4:$R989))</f>
        <v/>
      </c>
      <c r="Q989" s="190" t="str">
        <f t="shared" si="151"/>
        <v/>
      </c>
      <c r="R989" s="191" t="str">
        <f t="shared" si="152"/>
        <v/>
      </c>
      <c r="S989" s="192" t="str">
        <f t="shared" si="154"/>
        <v/>
      </c>
      <c r="T989" s="193" t="str">
        <f t="shared" si="155"/>
        <v/>
      </c>
      <c r="U989" s="194" t="str">
        <f t="shared" si="156"/>
        <v/>
      </c>
      <c r="V989" s="195" t="str">
        <f t="shared" si="153"/>
        <v/>
      </c>
      <c r="W989" s="336" t="str">
        <f t="shared" si="157"/>
        <v/>
      </c>
      <c r="X989" s="338" t="str">
        <f t="shared" si="158"/>
        <v/>
      </c>
      <c r="Y989" s="274"/>
      <c r="AR989" t="str">
        <f t="shared" si="159"/>
        <v/>
      </c>
      <c r="AS989" t="str">
        <f t="shared" si="160"/>
        <v/>
      </c>
    </row>
    <row r="990" spans="1:45">
      <c r="A990" s="291"/>
      <c r="B990" s="292"/>
      <c r="C990" s="293"/>
      <c r="D990" s="293"/>
      <c r="E990" s="293"/>
      <c r="F990" s="293"/>
      <c r="G990" s="294"/>
      <c r="H990" s="300"/>
      <c r="I990" s="295"/>
      <c r="J990" s="295"/>
      <c r="K990" s="296"/>
      <c r="L990" s="301"/>
      <c r="M990" s="297"/>
      <c r="N990" s="298"/>
      <c r="P990" s="190" t="str">
        <f>IF(R990 = "", "", COUNT(R$4:$R990))</f>
        <v/>
      </c>
      <c r="Q990" s="190" t="str">
        <f t="shared" si="151"/>
        <v/>
      </c>
      <c r="R990" s="191" t="str">
        <f t="shared" si="152"/>
        <v/>
      </c>
      <c r="S990" s="192" t="str">
        <f t="shared" si="154"/>
        <v/>
      </c>
      <c r="T990" s="193" t="str">
        <f t="shared" si="155"/>
        <v/>
      </c>
      <c r="U990" s="194" t="str">
        <f t="shared" si="156"/>
        <v/>
      </c>
      <c r="V990" s="195" t="str">
        <f t="shared" si="153"/>
        <v/>
      </c>
      <c r="W990" s="336" t="str">
        <f t="shared" si="157"/>
        <v/>
      </c>
      <c r="X990" s="338" t="str">
        <f t="shared" si="158"/>
        <v/>
      </c>
      <c r="Y990" s="274"/>
      <c r="AR990" t="str">
        <f t="shared" si="159"/>
        <v/>
      </c>
      <c r="AS990" t="str">
        <f t="shared" si="160"/>
        <v/>
      </c>
    </row>
    <row r="991" spans="1:45">
      <c r="A991" s="291"/>
      <c r="B991" s="292"/>
      <c r="C991" s="293"/>
      <c r="D991" s="293"/>
      <c r="E991" s="293"/>
      <c r="F991" s="293"/>
      <c r="G991" s="294"/>
      <c r="H991" s="300"/>
      <c r="I991" s="295"/>
      <c r="J991" s="295"/>
      <c r="K991" s="296"/>
      <c r="L991" s="301"/>
      <c r="M991" s="297"/>
      <c r="N991" s="298"/>
      <c r="P991" s="190" t="str">
        <f>IF(R991 = "", "", COUNT(R$4:$R991))</f>
        <v/>
      </c>
      <c r="Q991" s="190" t="str">
        <f t="shared" si="151"/>
        <v/>
      </c>
      <c r="R991" s="191" t="str">
        <f t="shared" si="152"/>
        <v/>
      </c>
      <c r="S991" s="192" t="str">
        <f t="shared" si="154"/>
        <v/>
      </c>
      <c r="T991" s="193" t="str">
        <f t="shared" si="155"/>
        <v/>
      </c>
      <c r="U991" s="194" t="str">
        <f t="shared" si="156"/>
        <v/>
      </c>
      <c r="V991" s="195" t="str">
        <f t="shared" si="153"/>
        <v/>
      </c>
      <c r="W991" s="336" t="str">
        <f t="shared" si="157"/>
        <v/>
      </c>
      <c r="X991" s="338" t="str">
        <f t="shared" si="158"/>
        <v/>
      </c>
      <c r="Y991" s="274"/>
      <c r="AR991" t="str">
        <f t="shared" si="159"/>
        <v/>
      </c>
      <c r="AS991" t="str">
        <f t="shared" si="160"/>
        <v/>
      </c>
    </row>
    <row r="992" spans="1:45">
      <c r="A992" s="291"/>
      <c r="B992" s="292"/>
      <c r="C992" s="293"/>
      <c r="D992" s="293"/>
      <c r="E992" s="293"/>
      <c r="F992" s="293"/>
      <c r="G992" s="294"/>
      <c r="H992" s="300"/>
      <c r="I992" s="295"/>
      <c r="J992" s="295"/>
      <c r="K992" s="296"/>
      <c r="L992" s="301"/>
      <c r="M992" s="297"/>
      <c r="N992" s="298"/>
      <c r="P992" s="190" t="str">
        <f>IF(R992 = "", "", COUNT(R$4:$R992))</f>
        <v/>
      </c>
      <c r="Q992" s="190" t="str">
        <f t="shared" si="151"/>
        <v/>
      </c>
      <c r="R992" s="191" t="str">
        <f t="shared" si="152"/>
        <v/>
      </c>
      <c r="S992" s="192" t="str">
        <f t="shared" si="154"/>
        <v/>
      </c>
      <c r="T992" s="193" t="str">
        <f t="shared" si="155"/>
        <v/>
      </c>
      <c r="U992" s="194" t="str">
        <f t="shared" si="156"/>
        <v/>
      </c>
      <c r="V992" s="195" t="str">
        <f t="shared" si="153"/>
        <v/>
      </c>
      <c r="W992" s="336" t="str">
        <f t="shared" si="157"/>
        <v/>
      </c>
      <c r="X992" s="338" t="str">
        <f t="shared" si="158"/>
        <v/>
      </c>
      <c r="Y992" s="274"/>
      <c r="AR992" t="str">
        <f t="shared" si="159"/>
        <v/>
      </c>
      <c r="AS992" t="str">
        <f t="shared" si="160"/>
        <v/>
      </c>
    </row>
    <row r="993" spans="1:45">
      <c r="A993" s="291"/>
      <c r="B993" s="292"/>
      <c r="C993" s="293"/>
      <c r="D993" s="293"/>
      <c r="E993" s="293"/>
      <c r="F993" s="293"/>
      <c r="G993" s="294"/>
      <c r="H993" s="300"/>
      <c r="I993" s="295"/>
      <c r="J993" s="295"/>
      <c r="K993" s="296"/>
      <c r="L993" s="301"/>
      <c r="M993" s="297"/>
      <c r="N993" s="298"/>
      <c r="P993" s="190" t="str">
        <f>IF(R993 = "", "", COUNT(R$4:$R993))</f>
        <v/>
      </c>
      <c r="Q993" s="190" t="str">
        <f t="shared" si="151"/>
        <v/>
      </c>
      <c r="R993" s="191" t="str">
        <f t="shared" si="152"/>
        <v/>
      </c>
      <c r="S993" s="192" t="str">
        <f t="shared" si="154"/>
        <v/>
      </c>
      <c r="T993" s="193" t="str">
        <f t="shared" si="155"/>
        <v/>
      </c>
      <c r="U993" s="194" t="str">
        <f t="shared" si="156"/>
        <v/>
      </c>
      <c r="V993" s="195" t="str">
        <f t="shared" si="153"/>
        <v/>
      </c>
      <c r="W993" s="336" t="str">
        <f t="shared" si="157"/>
        <v/>
      </c>
      <c r="X993" s="338" t="str">
        <f t="shared" si="158"/>
        <v/>
      </c>
      <c r="Y993" s="274"/>
      <c r="AR993" t="str">
        <f t="shared" si="159"/>
        <v/>
      </c>
      <c r="AS993" t="str">
        <f t="shared" si="160"/>
        <v/>
      </c>
    </row>
    <row r="994" spans="1:45">
      <c r="A994" s="291"/>
      <c r="B994" s="292"/>
      <c r="C994" s="293"/>
      <c r="D994" s="293"/>
      <c r="E994" s="293"/>
      <c r="F994" s="293"/>
      <c r="G994" s="294"/>
      <c r="H994" s="300"/>
      <c r="I994" s="295"/>
      <c r="J994" s="295"/>
      <c r="K994" s="296"/>
      <c r="L994" s="301"/>
      <c r="M994" s="297"/>
      <c r="N994" s="298"/>
      <c r="P994" s="190" t="str">
        <f>IF(R994 = "", "", COUNT(R$4:$R994))</f>
        <v/>
      </c>
      <c r="Q994" s="190" t="str">
        <f t="shared" si="151"/>
        <v/>
      </c>
      <c r="R994" s="191" t="str">
        <f t="shared" si="152"/>
        <v/>
      </c>
      <c r="S994" s="192" t="str">
        <f t="shared" si="154"/>
        <v/>
      </c>
      <c r="T994" s="193" t="str">
        <f t="shared" si="155"/>
        <v/>
      </c>
      <c r="U994" s="194" t="str">
        <f t="shared" si="156"/>
        <v/>
      </c>
      <c r="V994" s="195" t="str">
        <f t="shared" si="153"/>
        <v/>
      </c>
      <c r="W994" s="336" t="str">
        <f t="shared" si="157"/>
        <v/>
      </c>
      <c r="X994" s="338" t="str">
        <f t="shared" si="158"/>
        <v/>
      </c>
      <c r="Y994" s="274"/>
      <c r="AR994" t="str">
        <f t="shared" si="159"/>
        <v/>
      </c>
      <c r="AS994" t="str">
        <f t="shared" si="160"/>
        <v/>
      </c>
    </row>
    <row r="995" spans="1:45">
      <c r="A995" s="291"/>
      <c r="B995" s="292"/>
      <c r="C995" s="293"/>
      <c r="D995" s="293"/>
      <c r="E995" s="293"/>
      <c r="F995" s="293"/>
      <c r="G995" s="294"/>
      <c r="H995" s="300"/>
      <c r="I995" s="295"/>
      <c r="J995" s="295"/>
      <c r="K995" s="296"/>
      <c r="L995" s="301"/>
      <c r="M995" s="297"/>
      <c r="N995" s="298"/>
      <c r="P995" s="190" t="str">
        <f>IF(R995 = "", "", COUNT(R$4:$R995))</f>
        <v/>
      </c>
      <c r="Q995" s="190" t="str">
        <f t="shared" si="151"/>
        <v/>
      </c>
      <c r="R995" s="191" t="str">
        <f t="shared" si="152"/>
        <v/>
      </c>
      <c r="S995" s="192" t="str">
        <f t="shared" si="154"/>
        <v/>
      </c>
      <c r="T995" s="193" t="str">
        <f t="shared" si="155"/>
        <v/>
      </c>
      <c r="U995" s="194" t="str">
        <f t="shared" si="156"/>
        <v/>
      </c>
      <c r="V995" s="195" t="str">
        <f t="shared" si="153"/>
        <v/>
      </c>
      <c r="W995" s="336" t="str">
        <f t="shared" si="157"/>
        <v/>
      </c>
      <c r="X995" s="338" t="str">
        <f t="shared" si="158"/>
        <v/>
      </c>
      <c r="Y995" s="274"/>
      <c r="AR995" t="str">
        <f t="shared" si="159"/>
        <v/>
      </c>
      <c r="AS995" t="str">
        <f t="shared" si="160"/>
        <v/>
      </c>
    </row>
    <row r="996" spans="1:45">
      <c r="A996" s="291"/>
      <c r="B996" s="292"/>
      <c r="C996" s="293"/>
      <c r="D996" s="293"/>
      <c r="E996" s="293"/>
      <c r="F996" s="293"/>
      <c r="G996" s="294"/>
      <c r="H996" s="300"/>
      <c r="I996" s="295"/>
      <c r="J996" s="295"/>
      <c r="K996" s="296"/>
      <c r="L996" s="301"/>
      <c r="M996" s="297"/>
      <c r="N996" s="298"/>
      <c r="P996" s="190" t="str">
        <f>IF(R996 = "", "", COUNT(R$4:$R996))</f>
        <v/>
      </c>
      <c r="Q996" s="190" t="str">
        <f t="shared" si="151"/>
        <v/>
      </c>
      <c r="R996" s="191" t="str">
        <f t="shared" si="152"/>
        <v/>
      </c>
      <c r="S996" s="192" t="str">
        <f t="shared" si="154"/>
        <v/>
      </c>
      <c r="T996" s="193" t="str">
        <f t="shared" si="155"/>
        <v/>
      </c>
      <c r="U996" s="194" t="str">
        <f t="shared" si="156"/>
        <v/>
      </c>
      <c r="V996" s="195" t="str">
        <f t="shared" si="153"/>
        <v/>
      </c>
      <c r="W996" s="336" t="str">
        <f t="shared" si="157"/>
        <v/>
      </c>
      <c r="X996" s="338" t="str">
        <f t="shared" si="158"/>
        <v/>
      </c>
      <c r="Y996" s="274"/>
      <c r="AR996" t="str">
        <f t="shared" si="159"/>
        <v/>
      </c>
      <c r="AS996" t="str">
        <f t="shared" si="160"/>
        <v/>
      </c>
    </row>
    <row r="997" spans="1:45">
      <c r="A997" s="291"/>
      <c r="B997" s="292"/>
      <c r="C997" s="293"/>
      <c r="D997" s="293"/>
      <c r="E997" s="293"/>
      <c r="F997" s="293"/>
      <c r="G997" s="294"/>
      <c r="H997" s="300"/>
      <c r="I997" s="295"/>
      <c r="J997" s="295"/>
      <c r="K997" s="296"/>
      <c r="L997" s="301"/>
      <c r="M997" s="297"/>
      <c r="N997" s="298"/>
      <c r="P997" s="190" t="str">
        <f>IF(R997 = "", "", COUNT(R$4:$R997))</f>
        <v/>
      </c>
      <c r="Q997" s="190" t="str">
        <f t="shared" si="151"/>
        <v/>
      </c>
      <c r="R997" s="191" t="str">
        <f t="shared" si="152"/>
        <v/>
      </c>
      <c r="S997" s="192" t="str">
        <f t="shared" si="154"/>
        <v/>
      </c>
      <c r="T997" s="193" t="str">
        <f t="shared" si="155"/>
        <v/>
      </c>
      <c r="U997" s="194" t="str">
        <f t="shared" si="156"/>
        <v/>
      </c>
      <c r="V997" s="195" t="str">
        <f t="shared" si="153"/>
        <v/>
      </c>
      <c r="W997" s="336" t="str">
        <f t="shared" si="157"/>
        <v/>
      </c>
      <c r="X997" s="338" t="str">
        <f t="shared" si="158"/>
        <v/>
      </c>
      <c r="Y997" s="274"/>
      <c r="AR997" t="str">
        <f t="shared" si="159"/>
        <v/>
      </c>
      <c r="AS997" t="str">
        <f t="shared" si="160"/>
        <v/>
      </c>
    </row>
    <row r="998" spans="1:45">
      <c r="A998" s="291"/>
      <c r="B998" s="292"/>
      <c r="C998" s="293"/>
      <c r="D998" s="293"/>
      <c r="E998" s="293"/>
      <c r="F998" s="293"/>
      <c r="G998" s="294"/>
      <c r="H998" s="300"/>
      <c r="I998" s="295"/>
      <c r="J998" s="295"/>
      <c r="K998" s="296"/>
      <c r="L998" s="301"/>
      <c r="M998" s="297"/>
      <c r="N998" s="298"/>
      <c r="P998" s="190" t="str">
        <f>IF(R998 = "", "", COUNT(R$4:$R998))</f>
        <v/>
      </c>
      <c r="Q998" s="190" t="str">
        <f t="shared" si="151"/>
        <v/>
      </c>
      <c r="R998" s="191" t="str">
        <f t="shared" si="152"/>
        <v/>
      </c>
      <c r="S998" s="192" t="str">
        <f t="shared" si="154"/>
        <v/>
      </c>
      <c r="T998" s="193" t="str">
        <f t="shared" si="155"/>
        <v/>
      </c>
      <c r="U998" s="194" t="str">
        <f t="shared" si="156"/>
        <v/>
      </c>
      <c r="V998" s="195" t="str">
        <f t="shared" si="153"/>
        <v/>
      </c>
      <c r="W998" s="336" t="str">
        <f t="shared" si="157"/>
        <v/>
      </c>
      <c r="X998" s="338" t="str">
        <f t="shared" si="158"/>
        <v/>
      </c>
      <c r="Y998" s="274"/>
      <c r="AR998" t="str">
        <f t="shared" si="159"/>
        <v/>
      </c>
      <c r="AS998" t="str">
        <f t="shared" si="160"/>
        <v/>
      </c>
    </row>
    <row r="999" spans="1:45">
      <c r="A999" s="291"/>
      <c r="B999" s="292"/>
      <c r="C999" s="293"/>
      <c r="D999" s="293"/>
      <c r="E999" s="293"/>
      <c r="F999" s="293"/>
      <c r="G999" s="294"/>
      <c r="H999" s="300"/>
      <c r="I999" s="295"/>
      <c r="J999" s="295"/>
      <c r="K999" s="296"/>
      <c r="L999" s="301"/>
      <c r="M999" s="297"/>
      <c r="N999" s="298"/>
      <c r="P999" s="190" t="str">
        <f>IF(R999 = "", "", COUNT(R$4:$R999))</f>
        <v/>
      </c>
      <c r="Q999" s="190" t="str">
        <f t="shared" si="151"/>
        <v/>
      </c>
      <c r="R999" s="191" t="str">
        <f t="shared" si="152"/>
        <v/>
      </c>
      <c r="S999" s="192" t="str">
        <f t="shared" si="154"/>
        <v/>
      </c>
      <c r="T999" s="193" t="str">
        <f t="shared" si="155"/>
        <v/>
      </c>
      <c r="U999" s="194" t="str">
        <f t="shared" si="156"/>
        <v/>
      </c>
      <c r="V999" s="195" t="str">
        <f t="shared" si="153"/>
        <v/>
      </c>
      <c r="W999" s="336" t="str">
        <f t="shared" si="157"/>
        <v/>
      </c>
      <c r="X999" s="338" t="str">
        <f t="shared" si="158"/>
        <v/>
      </c>
      <c r="Y999" s="274"/>
      <c r="AR999" t="str">
        <f t="shared" si="159"/>
        <v/>
      </c>
      <c r="AS999" t="str">
        <f t="shared" si="160"/>
        <v/>
      </c>
    </row>
    <row r="1000" spans="1:45">
      <c r="A1000" s="291"/>
      <c r="B1000" s="292"/>
      <c r="C1000" s="293"/>
      <c r="D1000" s="293"/>
      <c r="E1000" s="293"/>
      <c r="F1000" s="293"/>
      <c r="G1000" s="294"/>
      <c r="H1000" s="300"/>
      <c r="I1000" s="295"/>
      <c r="J1000" s="295"/>
      <c r="K1000" s="296"/>
      <c r="L1000" s="301"/>
      <c r="M1000" s="297"/>
      <c r="N1000" s="298"/>
      <c r="P1000" s="190" t="str">
        <f>IF(R1000 = "", "", COUNT(R$4:$R1000))</f>
        <v/>
      </c>
      <c r="Q1000" s="190" t="str">
        <f t="shared" si="151"/>
        <v/>
      </c>
      <c r="R1000" s="191" t="str">
        <f t="shared" si="152"/>
        <v/>
      </c>
      <c r="S1000" s="192" t="str">
        <f t="shared" si="154"/>
        <v/>
      </c>
      <c r="T1000" s="193" t="str">
        <f t="shared" si="155"/>
        <v/>
      </c>
      <c r="U1000" s="194" t="str">
        <f t="shared" si="156"/>
        <v/>
      </c>
      <c r="V1000" s="195" t="str">
        <f t="shared" si="153"/>
        <v/>
      </c>
      <c r="W1000" s="336" t="str">
        <f t="shared" si="157"/>
        <v/>
      </c>
      <c r="X1000" s="338" t="str">
        <f t="shared" si="158"/>
        <v/>
      </c>
      <c r="Y1000" s="274"/>
      <c r="AR1000" t="str">
        <f t="shared" si="159"/>
        <v/>
      </c>
      <c r="AS1000" t="str">
        <f t="shared" si="160"/>
        <v/>
      </c>
    </row>
    <row r="1001" spans="1:45">
      <c r="A1001" s="291"/>
      <c r="B1001" s="292"/>
      <c r="C1001" s="293"/>
      <c r="D1001" s="293"/>
      <c r="E1001" s="293"/>
      <c r="F1001" s="293"/>
      <c r="G1001" s="294"/>
      <c r="H1001" s="300"/>
      <c r="I1001" s="295"/>
      <c r="J1001" s="295"/>
      <c r="K1001" s="296"/>
      <c r="L1001" s="301"/>
      <c r="M1001" s="297"/>
      <c r="N1001" s="298"/>
      <c r="P1001" s="190" t="str">
        <f>IF(R1001 = "", "", COUNT(R$4:$R1001))</f>
        <v/>
      </c>
      <c r="Q1001" s="190" t="str">
        <f t="shared" si="151"/>
        <v/>
      </c>
      <c r="R1001" s="191" t="str">
        <f t="shared" si="152"/>
        <v/>
      </c>
      <c r="S1001" s="192" t="str">
        <f t="shared" si="154"/>
        <v/>
      </c>
      <c r="T1001" s="193" t="str">
        <f t="shared" si="155"/>
        <v/>
      </c>
      <c r="U1001" s="194" t="str">
        <f t="shared" si="156"/>
        <v/>
      </c>
      <c r="V1001" s="195" t="str">
        <f t="shared" si="153"/>
        <v/>
      </c>
      <c r="W1001" s="336" t="str">
        <f t="shared" si="157"/>
        <v/>
      </c>
      <c r="X1001" s="338" t="str">
        <f t="shared" si="158"/>
        <v/>
      </c>
      <c r="Y1001" s="274"/>
      <c r="AR1001" t="str">
        <f t="shared" si="159"/>
        <v/>
      </c>
      <c r="AS1001" t="str">
        <f t="shared" si="160"/>
        <v/>
      </c>
    </row>
    <row r="1002" spans="1:45">
      <c r="A1002" s="291"/>
      <c r="B1002" s="292"/>
      <c r="C1002" s="293"/>
      <c r="D1002" s="293"/>
      <c r="E1002" s="293"/>
      <c r="F1002" s="293"/>
      <c r="G1002" s="294"/>
      <c r="H1002" s="300"/>
      <c r="I1002" s="295"/>
      <c r="J1002" s="295"/>
      <c r="K1002" s="296"/>
      <c r="L1002" s="301"/>
      <c r="M1002" s="297"/>
      <c r="N1002" s="298"/>
      <c r="P1002" s="190" t="str">
        <f>IF(R1002 = "", "", COUNT(R$4:$R1002))</f>
        <v/>
      </c>
      <c r="Q1002" s="190" t="str">
        <f t="shared" si="151"/>
        <v/>
      </c>
      <c r="R1002" s="191" t="str">
        <f t="shared" si="152"/>
        <v/>
      </c>
      <c r="S1002" s="192" t="str">
        <f t="shared" si="154"/>
        <v/>
      </c>
      <c r="T1002" s="193" t="str">
        <f t="shared" si="155"/>
        <v/>
      </c>
      <c r="U1002" s="194" t="str">
        <f t="shared" si="156"/>
        <v/>
      </c>
      <c r="V1002" s="195" t="str">
        <f t="shared" si="153"/>
        <v/>
      </c>
      <c r="W1002" s="336" t="str">
        <f t="shared" si="157"/>
        <v/>
      </c>
      <c r="X1002" s="338" t="str">
        <f t="shared" si="158"/>
        <v/>
      </c>
      <c r="Y1002" s="274"/>
      <c r="AR1002" t="str">
        <f t="shared" si="159"/>
        <v/>
      </c>
      <c r="AS1002" t="str">
        <f t="shared" si="160"/>
        <v/>
      </c>
    </row>
    <row r="1003" spans="1:45" ht="14.7" thickBot="1">
      <c r="A1003" s="306"/>
      <c r="B1003" s="307"/>
      <c r="C1003" s="308"/>
      <c r="D1003" s="308"/>
      <c r="E1003" s="308"/>
      <c r="F1003" s="308"/>
      <c r="G1003" s="309"/>
      <c r="H1003" s="300"/>
      <c r="I1003" s="295"/>
      <c r="J1003" s="295"/>
      <c r="K1003" s="296"/>
      <c r="L1003" s="310"/>
      <c r="M1003" s="311"/>
      <c r="N1003" s="312"/>
      <c r="P1003" s="190" t="str">
        <f>IF(R1003 = "", "", COUNT(R$4:$R1003))</f>
        <v/>
      </c>
      <c r="Q1003" s="190" t="str">
        <f t="shared" si="151"/>
        <v/>
      </c>
      <c r="R1003" s="191" t="str">
        <f t="shared" si="152"/>
        <v/>
      </c>
      <c r="S1003" s="192" t="str">
        <f t="shared" si="154"/>
        <v/>
      </c>
      <c r="T1003" s="193" t="str">
        <f t="shared" si="155"/>
        <v/>
      </c>
      <c r="U1003" s="196" t="str">
        <f t="shared" si="156"/>
        <v/>
      </c>
      <c r="V1003" s="197" t="str">
        <f t="shared" si="153"/>
        <v/>
      </c>
      <c r="W1003" s="336" t="str">
        <f t="shared" si="157"/>
        <v/>
      </c>
      <c r="X1003" s="339" t="str">
        <f t="shared" si="158"/>
        <v/>
      </c>
      <c r="Y1003" s="274"/>
      <c r="AR1003" t="str">
        <f t="shared" si="159"/>
        <v/>
      </c>
      <c r="AS1003" t="str">
        <f t="shared" si="160"/>
        <v/>
      </c>
    </row>
    <row r="1004" spans="1:45" s="318" customFormat="1">
      <c r="A1004" s="313"/>
      <c r="B1004" s="314"/>
      <c r="C1004" s="313"/>
      <c r="D1004" s="313"/>
      <c r="E1004" s="313"/>
      <c r="F1004" s="313"/>
      <c r="G1004" s="313"/>
      <c r="H1004" s="313"/>
      <c r="I1004" s="313"/>
      <c r="J1004" s="313"/>
      <c r="K1004" s="313"/>
      <c r="L1004" s="315"/>
      <c r="M1004" s="316"/>
      <c r="N1004" s="317"/>
      <c r="O1004" s="289"/>
      <c r="P1004" s="313"/>
      <c r="Q1004" s="313"/>
      <c r="R1004" s="313"/>
      <c r="S1004" s="313"/>
      <c r="T1004" s="313"/>
      <c r="U1004" s="313"/>
      <c r="V1004" s="313"/>
      <c r="W1004" s="313"/>
      <c r="X1004" s="313"/>
      <c r="Y1004" s="313"/>
      <c r="Z1004" s="98"/>
      <c r="AA1004" s="98"/>
      <c r="AB1004" s="98"/>
      <c r="AC1004" s="98"/>
      <c r="AD1004" s="98"/>
      <c r="AE1004" s="98"/>
      <c r="AF1004" s="98"/>
      <c r="AG1004" s="98"/>
      <c r="AH1004" s="98"/>
      <c r="AI1004" s="98"/>
      <c r="AJ1004" s="98"/>
      <c r="AR1004" s="333"/>
      <c r="AS1004" s="333"/>
    </row>
    <row r="1005" spans="1:45">
      <c r="H1005" s="204"/>
      <c r="I1005" s="204"/>
      <c r="J1005" s="204"/>
      <c r="K1005" s="204"/>
    </row>
    <row r="1006" spans="1:45">
      <c r="H1006" s="204"/>
      <c r="I1006" s="204"/>
      <c r="J1006" s="204"/>
      <c r="K1006" s="204"/>
    </row>
    <row r="1007" spans="1:45">
      <c r="H1007" s="204"/>
      <c r="I1007" s="204"/>
      <c r="J1007" s="204"/>
      <c r="K1007" s="204"/>
    </row>
    <row r="1008" spans="1:45">
      <c r="H1008" s="204"/>
      <c r="I1008" s="204"/>
      <c r="J1008" s="204"/>
      <c r="K1008" s="204"/>
    </row>
    <row r="1009" spans="8:11">
      <c r="H1009" s="204"/>
      <c r="I1009" s="204"/>
      <c r="J1009" s="204"/>
      <c r="K1009" s="204"/>
    </row>
    <row r="1010" spans="8:11">
      <c r="H1010" s="204"/>
      <c r="I1010" s="204"/>
      <c r="J1010" s="204"/>
      <c r="K1010" s="204"/>
    </row>
  </sheetData>
  <autoFilter ref="A3:M66" xr:uid="{243D5DF6-C14B-4A9C-AF8D-BE77476CB822}"/>
  <mergeCells count="24">
    <mergeCell ref="Z14:AG14"/>
    <mergeCell ref="AA15:AG18"/>
    <mergeCell ref="AB19:AG23"/>
    <mergeCell ref="AB24:AG27"/>
    <mergeCell ref="Z15:Z27"/>
    <mergeCell ref="S2:S3"/>
    <mergeCell ref="T2:T3"/>
    <mergeCell ref="U2:U3"/>
    <mergeCell ref="P1:AG1"/>
    <mergeCell ref="V2:V3"/>
    <mergeCell ref="W2:W3"/>
    <mergeCell ref="X2:X3"/>
    <mergeCell ref="A2:M2"/>
    <mergeCell ref="P2:P3"/>
    <mergeCell ref="Q2:Q3"/>
    <mergeCell ref="R2:R3"/>
    <mergeCell ref="A1:N1"/>
    <mergeCell ref="Z40:Z41"/>
    <mergeCell ref="AA40:AG41"/>
    <mergeCell ref="AA28:AG28"/>
    <mergeCell ref="AB32:AG35"/>
    <mergeCell ref="AB36:AG37"/>
    <mergeCell ref="AB38:AG39"/>
    <mergeCell ref="Z28:Z39"/>
  </mergeCells>
  <conditionalFormatting sqref="D4:D1003">
    <cfRule type="cellIs" dxfId="31" priority="2" operator="between">
      <formula>4</formula>
      <formula>6</formula>
    </cfRule>
    <cfRule type="cellIs" dxfId="30" priority="3" operator="between">
      <formula>2</formula>
      <formula>3</formula>
    </cfRule>
  </conditionalFormatting>
  <conditionalFormatting sqref="F4:F1003">
    <cfRule type="cellIs" dxfId="29"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workbookViewId="0">
      <selection sqref="A1:N1"/>
    </sheetView>
  </sheetViews>
  <sheetFormatPr defaultColWidth="9.15625" defaultRowHeight="14.4"/>
  <cols>
    <col min="1" max="1" width="10" style="98" bestFit="1" customWidth="1"/>
    <col min="2" max="2" width="10.734375" style="334" bestFit="1" customWidth="1"/>
    <col min="3" max="7" width="3.5234375" style="204" customWidth="1"/>
    <col min="8" max="8" width="11" style="98" customWidth="1"/>
    <col min="9" max="10" width="9.47265625" style="98" customWidth="1"/>
    <col min="11" max="11" width="8.47265625" style="98" customWidth="1"/>
    <col min="12" max="12" width="10.26171875" style="320" customWidth="1"/>
    <col min="13" max="13" width="10.26171875" style="335" customWidth="1"/>
    <col min="14" max="14" width="9.15625" style="322" hidden="1" customWidth="1"/>
    <col min="15" max="15" width="2.26171875" style="289" customWidth="1"/>
    <col min="16" max="16" width="7.26171875" style="204" bestFit="1" customWidth="1"/>
    <col min="17" max="17" width="5.7890625" style="204" bestFit="1" customWidth="1"/>
    <col min="18" max="20" width="9.15625" style="204"/>
    <col min="21" max="22" width="9.15625" style="321"/>
    <col min="23" max="24" width="9.15625" style="321"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54" t="s">
        <v>129</v>
      </c>
      <c r="B1" s="755"/>
      <c r="C1" s="755"/>
      <c r="D1" s="755"/>
      <c r="E1" s="755"/>
      <c r="F1" s="755"/>
      <c r="G1" s="755"/>
      <c r="H1" s="755"/>
      <c r="I1" s="755"/>
      <c r="J1" s="755"/>
      <c r="K1" s="755"/>
      <c r="L1" s="755"/>
      <c r="M1" s="755"/>
      <c r="N1" s="755"/>
      <c r="O1" s="262"/>
      <c r="P1" s="756" t="s">
        <v>130</v>
      </c>
      <c r="Q1" s="740"/>
      <c r="R1" s="740"/>
      <c r="S1" s="740"/>
      <c r="T1" s="740"/>
      <c r="U1" s="740"/>
      <c r="V1" s="740"/>
      <c r="W1" s="740"/>
      <c r="X1" s="740"/>
      <c r="Y1" s="740"/>
      <c r="Z1" s="740"/>
      <c r="AA1" s="740"/>
      <c r="AB1" s="740"/>
      <c r="AC1" s="740"/>
      <c r="AD1" s="740"/>
      <c r="AE1" s="740"/>
      <c r="AF1" s="740"/>
      <c r="AG1" s="741"/>
    </row>
    <row r="2" spans="1:45" s="97" customFormat="1" ht="18" customHeight="1" thickBot="1">
      <c r="A2" s="730" t="str">
        <f>"After Period ("&amp;TEXT('Evaluation Set-up'!D11, "mm/dd/yy")&amp;" - "&amp;TEXT('Evaluation Set-up'!E11, "mm/dd/yy")&amp;")"</f>
        <v>After Period (01/01/22 - 07/31/26)</v>
      </c>
      <c r="B2" s="731"/>
      <c r="C2" s="731"/>
      <c r="D2" s="731"/>
      <c r="E2" s="731"/>
      <c r="F2" s="731"/>
      <c r="G2" s="731"/>
      <c r="H2" s="731"/>
      <c r="I2" s="731"/>
      <c r="J2" s="731"/>
      <c r="K2" s="731"/>
      <c r="L2" s="731"/>
      <c r="M2" s="731"/>
      <c r="N2" s="731"/>
      <c r="O2" s="264"/>
      <c r="P2" s="732" t="s">
        <v>11</v>
      </c>
      <c r="Q2" s="734" t="s">
        <v>30</v>
      </c>
      <c r="R2" s="734" t="s">
        <v>12</v>
      </c>
      <c r="S2" s="734" t="s">
        <v>50</v>
      </c>
      <c r="T2" s="734" t="s">
        <v>51</v>
      </c>
      <c r="U2" s="734" t="s">
        <v>52</v>
      </c>
      <c r="V2" s="734" t="s">
        <v>53</v>
      </c>
      <c r="W2" s="734" t="s">
        <v>368</v>
      </c>
      <c r="X2" s="742" t="s">
        <v>371</v>
      </c>
      <c r="Y2" s="265"/>
      <c r="AR2" s="254"/>
      <c r="AS2" s="254"/>
    </row>
    <row r="3" spans="1:45" ht="14.7" thickBot="1">
      <c r="A3" s="266" t="s">
        <v>0</v>
      </c>
      <c r="B3" s="267" t="s">
        <v>1</v>
      </c>
      <c r="C3" s="268" t="s">
        <v>2</v>
      </c>
      <c r="D3" s="268" t="s">
        <v>3</v>
      </c>
      <c r="E3" s="268" t="s">
        <v>4</v>
      </c>
      <c r="F3" s="268" t="s">
        <v>5</v>
      </c>
      <c r="G3" s="269" t="s">
        <v>6</v>
      </c>
      <c r="H3" s="266" t="s">
        <v>780</v>
      </c>
      <c r="I3" s="266" t="s">
        <v>781</v>
      </c>
      <c r="J3" s="266" t="s">
        <v>782</v>
      </c>
      <c r="K3" s="266" t="s">
        <v>716</v>
      </c>
      <c r="L3" s="270" t="s">
        <v>57</v>
      </c>
      <c r="M3" s="271" t="s">
        <v>58</v>
      </c>
      <c r="N3" s="272" t="s">
        <v>369</v>
      </c>
      <c r="O3" s="273"/>
      <c r="P3" s="733"/>
      <c r="Q3" s="735"/>
      <c r="R3" s="735"/>
      <c r="S3" s="735"/>
      <c r="T3" s="735"/>
      <c r="U3" s="735"/>
      <c r="V3" s="735"/>
      <c r="W3" s="735"/>
      <c r="X3" s="743"/>
      <c r="Y3" s="274"/>
      <c r="AB3" s="275" t="s">
        <v>13</v>
      </c>
      <c r="AC3" s="276" t="s">
        <v>47</v>
      </c>
      <c r="AD3" s="277" t="s">
        <v>49</v>
      </c>
      <c r="AE3" s="278" t="s">
        <v>370</v>
      </c>
      <c r="AF3" s="279" t="s">
        <v>60</v>
      </c>
      <c r="AR3" t="s">
        <v>11</v>
      </c>
      <c r="AS3" t="s">
        <v>62</v>
      </c>
    </row>
    <row r="4" spans="1:45">
      <c r="A4" s="280">
        <v>106899135</v>
      </c>
      <c r="B4" s="281">
        <v>44606</v>
      </c>
      <c r="C4" s="282">
        <v>30</v>
      </c>
      <c r="D4" s="282">
        <v>1</v>
      </c>
      <c r="E4" s="282">
        <v>0</v>
      </c>
      <c r="F4" s="282">
        <v>1</v>
      </c>
      <c r="G4" s="283" t="s">
        <v>7</v>
      </c>
      <c r="H4" s="285" t="s">
        <v>715</v>
      </c>
      <c r="I4" s="284" t="s">
        <v>1003</v>
      </c>
      <c r="J4" s="295" t="s">
        <v>768</v>
      </c>
      <c r="K4" s="285" t="s">
        <v>997</v>
      </c>
      <c r="L4" s="587" t="s">
        <v>61</v>
      </c>
      <c r="M4" s="588"/>
      <c r="N4" s="288"/>
      <c r="P4" s="190" t="n">
        <f>IF(R4 = "", "", COUNT(R$4:$R4))</f>
        <v>1</v>
      </c>
      <c r="Q4" s="190" t="n">
        <f t="shared" ref="Q4:Q67" si="0">IF(C4 &gt; 0, YEAR(B4), "")</f>
        <v>2022</v>
      </c>
      <c r="R4" s="191" t="n">
        <f t="shared" ref="R4:R67" si="1">IF(A4="", "", IF(G4="",1,IF(G4="O",1,IF(G4="C",8.4,IF(G4="B",8.4,IF(G4="A",76.8,IF(G4="K",76.8,"ERR")))))))</f>
        <v>1</v>
      </c>
      <c r="S4" s="192" t="n">
        <f>IF(L4&lt;&gt;"",R4,"")</f>
        <v>1</v>
      </c>
      <c r="T4" s="193" t="str">
        <f>IF(IF(L4&lt;&gt;"",G4,"")=0, "O", IF(L4&lt;&gt;"",G4,""))</f>
        <v>O</v>
      </c>
      <c r="U4" s="194" t="str">
        <f>IF(M4&lt;&gt;"",R4,"")</f>
        <v/>
      </c>
      <c r="V4" s="195" t="str">
        <f t="shared" ref="V4:V67" si="2">IF(IF(M4&lt;&gt;"",G4,"")=0, "O", IF(M4&lt;&gt;"",G4,""))</f>
        <v/>
      </c>
      <c r="W4" s="336" t="str">
        <f>IF(N4="Y",R4,"")</f>
        <v/>
      </c>
      <c r="X4" s="337" t="str">
        <f>IF(IF(N4="Y",F4,"")=0, "O", IF(N4="Y",F4,""))</f>
        <v/>
      </c>
      <c r="Y4" s="274"/>
      <c r="AA4" s="290" t="s">
        <v>9</v>
      </c>
      <c r="AB4" s="323" t="n">
        <f>COUNTIF($G$4:$G$1048576,$AA4)</f>
        <v>0</v>
      </c>
      <c r="AC4" s="324" t="n">
        <f>COUNTIF($T$4:$T$1048576,$AA4)</f>
        <v>0</v>
      </c>
      <c r="AD4" s="325" t="n">
        <f>COUNTIF($V$4:$V$1048576,$AA4)</f>
        <v>0</v>
      </c>
      <c r="AE4" s="326" t="n">
        <f>COUNTIF($X$4:$X$1048576,$AA4)</f>
        <v>0</v>
      </c>
      <c r="AF4" s="327" t="n">
        <f>COUNTIF($T:$T, AA4)+COUNTIF($V:$V, AA4)+COUNTIF($X:$X, AA4)-COUNTIFS($T:$T, AA4, $V:$V, AA4,$X:$X,AA4)</f>
        <v>0</v>
      </c>
      <c r="AR4" t="n">
        <f>IF(P4&gt;0, P4, "")</f>
        <v>1</v>
      </c>
      <c r="AS4" t="str">
        <f>IF(OR(L4="Y",M4="Y",N4="Y"),"Y","")</f>
        <v>Y</v>
      </c>
    </row>
    <row r="5" spans="1:45">
      <c r="A5" s="291">
        <v>107863132</v>
      </c>
      <c r="B5" s="292">
        <v>45555</v>
      </c>
      <c r="C5" s="293">
        <v>28</v>
      </c>
      <c r="D5" s="293">
        <v>1</v>
      </c>
      <c r="E5" s="293">
        <v>10</v>
      </c>
      <c r="F5" s="293">
        <v>1</v>
      </c>
      <c r="G5" s="294" t="s">
        <v>7</v>
      </c>
      <c r="H5" s="285" t="s">
        <v>314</v>
      </c>
      <c r="I5" s="295" t="s">
        <v>768</v>
      </c>
      <c r="J5" s="295" t="s">
        <v>768</v>
      </c>
      <c r="K5" s="296" t="s">
        <v>997</v>
      </c>
      <c r="L5" s="589"/>
      <c r="M5" s="590"/>
      <c r="N5" s="298"/>
      <c r="P5" s="190" t="n">
        <f>IF(R5 = "", "", COUNT(R$4:$R5))</f>
        <v>2</v>
      </c>
      <c r="Q5" s="190" t="n">
        <f t="shared" si="0"/>
        <v>2024</v>
      </c>
      <c r="R5" s="191" t="n">
        <f t="shared" si="1"/>
        <v>1</v>
      </c>
      <c r="S5" s="192" t="str">
        <f t="shared" ref="S5:S68" si="3">IF(L5&lt;&gt;"",R5,"")</f>
        <v/>
      </c>
      <c r="T5" s="193" t="str">
        <f t="shared" ref="T5:T68" si="4">IF(IF(L5&lt;&gt;"",G5,"")=0, "O", IF(L5&lt;&gt;"",G5,""))</f>
        <v/>
      </c>
      <c r="U5" s="194" t="str">
        <f t="shared" ref="U5:U68" si="5">IF(M5&lt;&gt;"",R5,"")</f>
        <v/>
      </c>
      <c r="V5" s="195" t="str">
        <f t="shared" si="2"/>
        <v/>
      </c>
      <c r="W5" s="336" t="str">
        <f t="shared" ref="W5:W68" si="6">IF(N5&lt;&gt;"",R5,"")</f>
        <v/>
      </c>
      <c r="X5" s="338" t="str">
        <f t="shared" ref="X5:X68" si="7">IF(IF(N5&lt;&gt;"",G5,"")=0, "O", IF(N5&lt;&gt;"",G5,""))</f>
        <v/>
      </c>
      <c r="Y5" s="274"/>
      <c r="AA5" s="290" t="s">
        <v>10</v>
      </c>
      <c r="AB5" s="323" t="n">
        <f>COUNTIF($G$4:$G$1048576,$AA5)</f>
        <v>0</v>
      </c>
      <c r="AC5" s="324" t="n">
        <f>COUNTIF($T$4:$T$1048576,$AA5)</f>
        <v>0</v>
      </c>
      <c r="AD5" s="325" t="n">
        <f>COUNTIF($V$4:$V$1048576,$AA5)</f>
        <v>0</v>
      </c>
      <c r="AE5" s="326" t="n">
        <f>COUNTIF($X$4:$X$1048576,$AA5)</f>
        <v>0</v>
      </c>
      <c r="AF5" s="327" t="n">
        <f t="shared" ref="AF5:AF8" si="8">COUNTIF($T:$T, AA5)+COUNTIF($V:$V, AA5)+COUNTIF($X:$X, AA5)-COUNTIFS($T:$T, AA5, $V:$V, AA5,$X:$X,AA5)</f>
        <v>0</v>
      </c>
      <c r="AR5" t="n">
        <f t="shared" ref="AR5:AR68" si="9">IF(P5&gt;0, P5, "")</f>
        <v>2</v>
      </c>
      <c r="AS5" t="str">
        <f t="shared" ref="AS5:AS68" si="10">IF(OR(L5="Y",M5="Y",N5="Y"),"Y","")</f>
        <v/>
      </c>
    </row>
    <row r="6" spans="1:45">
      <c r="A6" s="291">
        <v>107982237</v>
      </c>
      <c r="B6" s="292">
        <v>45665</v>
      </c>
      <c r="C6" s="293">
        <v>26</v>
      </c>
      <c r="D6" s="293">
        <v>1</v>
      </c>
      <c r="E6" s="293">
        <v>10</v>
      </c>
      <c r="F6" s="293">
        <v>1</v>
      </c>
      <c r="G6" s="294"/>
      <c r="H6" s="285" t="s">
        <v>720</v>
      </c>
      <c r="I6" s="295" t="s">
        <v>784</v>
      </c>
      <c r="J6" s="295" t="s">
        <v>1017</v>
      </c>
      <c r="K6" s="296" t="s">
        <v>994</v>
      </c>
      <c r="L6" s="589" t="s">
        <v>61</v>
      </c>
      <c r="M6" s="590"/>
      <c r="N6" s="298"/>
      <c r="P6" s="190" t="n">
        <f>IF(R6 = "", "", COUNT(R$4:$R6))</f>
        <v>3</v>
      </c>
      <c r="Q6" s="190" t="n">
        <f t="shared" si="0"/>
        <v>2025</v>
      </c>
      <c r="R6" s="191" t="n">
        <f t="shared" si="1"/>
        <v>1</v>
      </c>
      <c r="S6" s="192" t="n">
        <f t="shared" si="3"/>
        <v>1</v>
      </c>
      <c r="T6" s="193" t="str">
        <f t="shared" si="4"/>
        <v>O</v>
      </c>
      <c r="U6" s="194" t="str">
        <f t="shared" si="5"/>
        <v/>
      </c>
      <c r="V6" s="195" t="str">
        <f t="shared" si="2"/>
        <v/>
      </c>
      <c r="W6" s="336" t="str">
        <f t="shared" si="6"/>
        <v/>
      </c>
      <c r="X6" s="338" t="str">
        <f t="shared" si="7"/>
        <v/>
      </c>
      <c r="Y6" s="274"/>
      <c r="AA6" s="290" t="s">
        <v>8</v>
      </c>
      <c r="AB6" s="323" t="n">
        <f>COUNTIF($G$4:$G$1048576,$AA6)</f>
        <v>0</v>
      </c>
      <c r="AC6" s="324" t="n">
        <f>COUNTIF($T$4:$T$1048576,$AA6)</f>
        <v>0</v>
      </c>
      <c r="AD6" s="325" t="n">
        <f>COUNTIF($V$4:$V$1048576,$AA6)</f>
        <v>0</v>
      </c>
      <c r="AE6" s="326" t="n">
        <f>COUNTIF($X$4:$X$1048576,$AA6)</f>
        <v>0</v>
      </c>
      <c r="AF6" s="327" t="n">
        <f t="shared" si="8"/>
        <v>0</v>
      </c>
      <c r="AR6" t="n">
        <f t="shared" si="9"/>
        <v>3</v>
      </c>
      <c r="AS6" t="str">
        <f t="shared" si="10"/>
        <v>Y</v>
      </c>
    </row>
    <row r="7" spans="1:45">
      <c r="A7" s="291"/>
      <c r="B7" s="292"/>
      <c r="C7" s="293"/>
      <c r="D7" s="293"/>
      <c r="E7" s="293"/>
      <c r="F7" s="293"/>
      <c r="G7" s="294"/>
      <c r="H7" s="296"/>
      <c r="I7" s="295"/>
      <c r="J7" s="295"/>
      <c r="K7" s="296"/>
      <c r="L7" s="589"/>
      <c r="M7" s="590"/>
      <c r="N7" s="298"/>
      <c r="P7" s="190" t="str">
        <f>IF(R7 = "", "", COUNT(R$4:$R7))</f>
        <v/>
      </c>
      <c r="Q7" s="190" t="str">
        <f t="shared" si="0"/>
        <v/>
      </c>
      <c r="R7" s="191" t="str">
        <f t="shared" si="1"/>
        <v/>
      </c>
      <c r="S7" s="192" t="str">
        <f>IF(L7&lt;&gt;"",R7,"")</f>
        <v/>
      </c>
      <c r="T7" s="193" t="str">
        <f t="shared" si="4"/>
        <v/>
      </c>
      <c r="U7" s="194" t="str">
        <f t="shared" si="5"/>
        <v/>
      </c>
      <c r="V7" s="195" t="str">
        <f t="shared" si="2"/>
        <v/>
      </c>
      <c r="W7" s="336" t="str">
        <f t="shared" si="6"/>
        <v/>
      </c>
      <c r="X7" s="338" t="str">
        <f t="shared" si="7"/>
        <v/>
      </c>
      <c r="Y7" s="274"/>
      <c r="AA7" s="290" t="s">
        <v>3</v>
      </c>
      <c r="AB7" s="323" t="n">
        <f>COUNTIF($G$4:$G$1048576,$AA7)</f>
        <v>0</v>
      </c>
      <c r="AC7" s="324" t="n">
        <f>COUNTIF($T$4:$T$1048576,$AA7)</f>
        <v>0</v>
      </c>
      <c r="AD7" s="325" t="n">
        <f>COUNTIF($V$4:$V$1048576,$AA7)</f>
        <v>0</v>
      </c>
      <c r="AE7" s="326" t="n">
        <f>COUNTIF($X$4:$X$1048576,$AA7)</f>
        <v>0</v>
      </c>
      <c r="AF7" s="327" t="n">
        <f t="shared" si="8"/>
        <v>0</v>
      </c>
      <c r="AR7" t="str">
        <f t="shared" si="9"/>
        <v/>
      </c>
      <c r="AS7" t="str">
        <f t="shared" si="10"/>
        <v/>
      </c>
    </row>
    <row r="8" spans="1:45">
      <c r="A8" s="291"/>
      <c r="B8" s="292"/>
      <c r="C8" s="293"/>
      <c r="D8" s="293"/>
      <c r="E8" s="293"/>
      <c r="F8" s="293"/>
      <c r="G8" s="294"/>
      <c r="H8" s="285"/>
      <c r="I8" s="295"/>
      <c r="J8" s="295"/>
      <c r="K8" s="296"/>
      <c r="L8" s="589"/>
      <c r="M8" s="590"/>
      <c r="N8" s="298"/>
      <c r="P8" s="190" t="str">
        <f>IF(R8 = "", "", COUNT(R$4:$R8))</f>
        <v/>
      </c>
      <c r="Q8" s="190" t="str">
        <f t="shared" si="0"/>
        <v/>
      </c>
      <c r="R8" s="191" t="str">
        <f t="shared" si="1"/>
        <v/>
      </c>
      <c r="S8" s="192" t="str">
        <f t="shared" si="3"/>
        <v/>
      </c>
      <c r="T8" s="193" t="str">
        <f t="shared" si="4"/>
        <v/>
      </c>
      <c r="U8" s="194" t="str">
        <f t="shared" si="5"/>
        <v/>
      </c>
      <c r="V8" s="195" t="str">
        <f t="shared" si="2"/>
        <v/>
      </c>
      <c r="W8" s="336" t="str">
        <f t="shared" si="6"/>
        <v/>
      </c>
      <c r="X8" s="338" t="str">
        <f t="shared" si="7"/>
        <v/>
      </c>
      <c r="Y8" s="274"/>
      <c r="AA8" s="290" t="s">
        <v>7</v>
      </c>
      <c r="AB8" s="323" t="n">
        <f>COUNTIF($G$4:$G$1048576,$AA8)+COUNTIFS($G$4:$G$1048576, "", $P$4:$P$1048576, "&gt;0")</f>
        <v>3</v>
      </c>
      <c r="AC8" s="324" t="n">
        <f>COUNTIF($T$4:$T$1048576,$AA8)</f>
        <v>2</v>
      </c>
      <c r="AD8" s="325" t="n">
        <f>COUNTIF($V$4:$V$1048576,$AA8)</f>
        <v>0</v>
      </c>
      <c r="AE8" s="326" t="n">
        <f>COUNTIF($X$4:$X$1048576,$AA8)</f>
        <v>0</v>
      </c>
      <c r="AF8" s="327" t="n">
        <f t="shared" si="8"/>
        <v>2</v>
      </c>
      <c r="AR8" t="str">
        <f t="shared" si="9"/>
        <v/>
      </c>
      <c r="AS8" t="str">
        <f t="shared" si="10"/>
        <v/>
      </c>
    </row>
    <row r="9" spans="1:45">
      <c r="A9" s="291"/>
      <c r="B9" s="292"/>
      <c r="C9" s="293"/>
      <c r="D9" s="293"/>
      <c r="E9" s="293"/>
      <c r="F9" s="293"/>
      <c r="G9" s="294"/>
      <c r="H9" s="285"/>
      <c r="I9" s="295"/>
      <c r="J9" s="295"/>
      <c r="K9" s="296"/>
      <c r="L9" s="589"/>
      <c r="M9" s="590"/>
      <c r="N9" s="298"/>
      <c r="P9" s="190" t="str">
        <f>IF(R9 = "", "", COUNT(R$4:$R9))</f>
        <v/>
      </c>
      <c r="Q9" s="190" t="str">
        <f t="shared" si="0"/>
        <v/>
      </c>
      <c r="R9" s="191" t="str">
        <f t="shared" si="1"/>
        <v/>
      </c>
      <c r="S9" s="192" t="str">
        <f t="shared" si="3"/>
        <v/>
      </c>
      <c r="T9" s="193" t="str">
        <f t="shared" si="4"/>
        <v/>
      </c>
      <c r="U9" s="194" t="str">
        <f t="shared" si="5"/>
        <v/>
      </c>
      <c r="V9" s="195" t="str">
        <f t="shared" si="2"/>
        <v/>
      </c>
      <c r="W9" s="336" t="str">
        <f t="shared" si="6"/>
        <v/>
      </c>
      <c r="X9" s="338" t="str">
        <f t="shared" si="7"/>
        <v/>
      </c>
      <c r="Y9" s="274"/>
      <c r="AA9" s="290" t="s">
        <v>13</v>
      </c>
      <c r="AB9" s="323" t="n">
        <f>COUNTIF(P4:P1048576, "&gt;0")</f>
        <v>3</v>
      </c>
      <c r="AC9" s="324" t="n">
        <f>COUNT(S4:S1048576)</f>
        <v>2</v>
      </c>
      <c r="AD9" s="325" t="n">
        <f>COUNT(U4:U1048576)</f>
        <v>0</v>
      </c>
      <c r="AE9" s="326" t="n">
        <f>COUNT(W4:W1048576)</f>
        <v>0</v>
      </c>
      <c r="AF9" s="327" t="n">
        <f>SUM(AF4:AF8)</f>
        <v>2</v>
      </c>
      <c r="AR9" t="str">
        <f t="shared" si="9"/>
        <v/>
      </c>
      <c r="AS9" t="str">
        <f t="shared" si="10"/>
        <v/>
      </c>
    </row>
    <row r="10" spans="1:45">
      <c r="A10" s="291"/>
      <c r="B10" s="292"/>
      <c r="C10" s="293"/>
      <c r="D10" s="293"/>
      <c r="E10" s="293"/>
      <c r="F10" s="293"/>
      <c r="G10" s="294"/>
      <c r="H10" s="285"/>
      <c r="I10" s="295"/>
      <c r="J10" s="295"/>
      <c r="K10" s="296"/>
      <c r="L10" s="589"/>
      <c r="M10" s="590"/>
      <c r="N10" s="298"/>
      <c r="P10" s="190" t="str">
        <f>IF(R10 = "", "", COUNT(R$4:$R10))</f>
        <v/>
      </c>
      <c r="Q10" s="190" t="str">
        <f t="shared" si="0"/>
        <v/>
      </c>
      <c r="R10" s="191" t="str">
        <f t="shared" si="1"/>
        <v/>
      </c>
      <c r="S10" s="192" t="str">
        <f t="shared" si="3"/>
        <v/>
      </c>
      <c r="T10" s="193" t="str">
        <f t="shared" si="4"/>
        <v/>
      </c>
      <c r="U10" s="194" t="str">
        <f t="shared" si="5"/>
        <v/>
      </c>
      <c r="V10" s="195" t="str">
        <f t="shared" si="2"/>
        <v/>
      </c>
      <c r="W10" s="336" t="str">
        <f t="shared" si="6"/>
        <v/>
      </c>
      <c r="X10" s="338" t="str">
        <f t="shared" si="7"/>
        <v/>
      </c>
      <c r="Y10" s="274"/>
      <c r="AA10" s="290" t="s">
        <v>14</v>
      </c>
      <c r="AB10" s="328" t="n">
        <f>IFERROR(AVERAGE(R4:R1048576), 0)</f>
        <v>1</v>
      </c>
      <c r="AC10" s="329" t="n">
        <f>IFERROR(AVERAGE(S4:S1048576),0)</f>
        <v>1</v>
      </c>
      <c r="AD10" s="330" t="n">
        <f>IFERROR(AVERAGE(U4:U1048576),0)</f>
        <v>0</v>
      </c>
      <c r="AE10" s="331" t="n">
        <f>IFERROR(AVERAGE(W4:W1048576),0)</f>
        <v>0</v>
      </c>
      <c r="AF10" s="332" t="n">
        <f>IFERROR(AVERAGEIF($AS$4:$AS$1048576,"Y", R4:R1048576 ),0)</f>
        <v>1</v>
      </c>
      <c r="AR10" t="str">
        <f t="shared" si="9"/>
        <v/>
      </c>
      <c r="AS10" t="str">
        <f t="shared" si="10"/>
        <v/>
      </c>
    </row>
    <row r="11" spans="1:45">
      <c r="A11" s="291"/>
      <c r="B11" s="292"/>
      <c r="C11" s="293"/>
      <c r="D11" s="293"/>
      <c r="E11" s="293"/>
      <c r="F11" s="293"/>
      <c r="G11" s="294"/>
      <c r="H11" s="285"/>
      <c r="I11" s="295"/>
      <c r="J11" s="295"/>
      <c r="K11" s="296"/>
      <c r="L11" s="589"/>
      <c r="M11" s="590"/>
      <c r="N11" s="298"/>
      <c r="P11" s="190" t="str">
        <f>IF(R11 = "", "", COUNT(R$4:$R11))</f>
        <v/>
      </c>
      <c r="Q11" s="190" t="str">
        <f t="shared" si="0"/>
        <v/>
      </c>
      <c r="R11" s="191" t="str">
        <f t="shared" si="1"/>
        <v/>
      </c>
      <c r="S11" s="192" t="str">
        <f t="shared" si="3"/>
        <v/>
      </c>
      <c r="T11" s="193" t="str">
        <f t="shared" si="4"/>
        <v/>
      </c>
      <c r="U11" s="194" t="str">
        <f t="shared" si="5"/>
        <v/>
      </c>
      <c r="V11" s="195" t="str">
        <f t="shared" si="2"/>
        <v/>
      </c>
      <c r="W11" s="336" t="str">
        <f t="shared" si="6"/>
        <v/>
      </c>
      <c r="X11" s="338" t="str">
        <f t="shared" si="7"/>
        <v/>
      </c>
      <c r="Y11" s="274"/>
      <c r="AR11" t="str">
        <f t="shared" si="9"/>
        <v/>
      </c>
      <c r="AS11" t="str">
        <f t="shared" si="10"/>
        <v/>
      </c>
    </row>
    <row r="12" spans="1:45">
      <c r="A12" s="291"/>
      <c r="B12" s="292"/>
      <c r="C12" s="293"/>
      <c r="D12" s="293"/>
      <c r="E12" s="293"/>
      <c r="F12" s="293"/>
      <c r="G12" s="294"/>
      <c r="H12" s="285"/>
      <c r="I12" s="295"/>
      <c r="J12" s="295"/>
      <c r="K12" s="296"/>
      <c r="L12" s="589"/>
      <c r="M12" s="590"/>
      <c r="N12" s="298"/>
      <c r="P12" s="190" t="str">
        <f>IF(R12 = "", "", COUNT(R$4:$R12))</f>
        <v/>
      </c>
      <c r="Q12" s="190" t="str">
        <f t="shared" si="0"/>
        <v/>
      </c>
      <c r="R12" s="191" t="str">
        <f t="shared" si="1"/>
        <v/>
      </c>
      <c r="S12" s="192" t="str">
        <f t="shared" si="3"/>
        <v/>
      </c>
      <c r="T12" s="193" t="str">
        <f t="shared" si="4"/>
        <v/>
      </c>
      <c r="U12" s="194" t="str">
        <f t="shared" si="5"/>
        <v/>
      </c>
      <c r="V12" s="195" t="str">
        <f t="shared" si="2"/>
        <v/>
      </c>
      <c r="W12" s="336" t="str">
        <f t="shared" si="6"/>
        <v/>
      </c>
      <c r="X12" s="338" t="str">
        <f t="shared" si="7"/>
        <v/>
      </c>
      <c r="Y12" s="274"/>
      <c r="AR12" t="str">
        <f t="shared" si="9"/>
        <v/>
      </c>
      <c r="AS12" t="str">
        <f t="shared" si="10"/>
        <v/>
      </c>
    </row>
    <row r="13" spans="1:45" ht="14.7" thickBot="1">
      <c r="A13" s="291"/>
      <c r="B13" s="292"/>
      <c r="C13" s="293"/>
      <c r="D13" s="293"/>
      <c r="E13" s="293"/>
      <c r="F13" s="293"/>
      <c r="G13" s="294"/>
      <c r="H13" s="285"/>
      <c r="I13" s="295"/>
      <c r="J13" s="295"/>
      <c r="K13" s="296"/>
      <c r="L13" s="589"/>
      <c r="M13" s="590"/>
      <c r="N13" s="298"/>
      <c r="P13" s="190" t="str">
        <f>IF(R13 = "", "", COUNT(R$4:$R13))</f>
        <v/>
      </c>
      <c r="Q13" s="190" t="str">
        <f t="shared" si="0"/>
        <v/>
      </c>
      <c r="R13" s="191" t="str">
        <f t="shared" si="1"/>
        <v/>
      </c>
      <c r="S13" s="192" t="str">
        <f t="shared" si="3"/>
        <v/>
      </c>
      <c r="T13" s="193" t="str">
        <f t="shared" si="4"/>
        <v/>
      </c>
      <c r="U13" s="194" t="str">
        <f t="shared" si="5"/>
        <v/>
      </c>
      <c r="V13" s="195" t="str">
        <f t="shared" si="2"/>
        <v/>
      </c>
      <c r="W13" s="336" t="str">
        <f t="shared" si="6"/>
        <v/>
      </c>
      <c r="X13" s="338" t="str">
        <f t="shared" si="7"/>
        <v/>
      </c>
      <c r="Y13" s="274"/>
      <c r="AR13" t="str">
        <f t="shared" si="9"/>
        <v/>
      </c>
      <c r="AS13" t="str">
        <f t="shared" si="10"/>
        <v/>
      </c>
    </row>
    <row r="14" spans="1:45" ht="14.7" thickBot="1">
      <c r="A14" s="291"/>
      <c r="B14" s="292"/>
      <c r="C14" s="293"/>
      <c r="D14" s="293"/>
      <c r="E14" s="293"/>
      <c r="F14" s="293"/>
      <c r="G14" s="294"/>
      <c r="H14" s="296"/>
      <c r="I14" s="295"/>
      <c r="J14" s="295"/>
      <c r="K14" s="296"/>
      <c r="L14" s="589"/>
      <c r="M14" s="590"/>
      <c r="N14" s="298"/>
      <c r="P14" s="190" t="str">
        <f>IF(R14 = "", "", COUNT(R$4:$R14))</f>
        <v/>
      </c>
      <c r="Q14" s="190" t="str">
        <f t="shared" si="0"/>
        <v/>
      </c>
      <c r="R14" s="191" t="str">
        <f t="shared" si="1"/>
        <v/>
      </c>
      <c r="S14" s="192" t="str">
        <f t="shared" si="3"/>
        <v/>
      </c>
      <c r="T14" s="193" t="str">
        <f t="shared" si="4"/>
        <v/>
      </c>
      <c r="U14" s="194" t="str">
        <f t="shared" si="5"/>
        <v/>
      </c>
      <c r="V14" s="195" t="str">
        <f t="shared" si="2"/>
        <v/>
      </c>
      <c r="W14" s="336" t="str">
        <f t="shared" si="6"/>
        <v/>
      </c>
      <c r="X14" s="338" t="str">
        <f t="shared" si="7"/>
        <v/>
      </c>
      <c r="Y14" s="274"/>
      <c r="Z14" s="744" t="s">
        <v>40</v>
      </c>
      <c r="AA14" s="745"/>
      <c r="AB14" s="745"/>
      <c r="AC14" s="745"/>
      <c r="AD14" s="745"/>
      <c r="AE14" s="745"/>
      <c r="AF14" s="745"/>
      <c r="AG14" s="746"/>
      <c r="AR14" t="str">
        <f t="shared" si="9"/>
        <v/>
      </c>
      <c r="AS14" t="str">
        <f t="shared" si="10"/>
        <v/>
      </c>
    </row>
    <row r="15" spans="1:45" ht="15" customHeight="1">
      <c r="A15" s="291"/>
      <c r="B15" s="292"/>
      <c r="C15" s="293"/>
      <c r="D15" s="293"/>
      <c r="E15" s="293"/>
      <c r="F15" s="293"/>
      <c r="G15" s="294"/>
      <c r="H15" s="296"/>
      <c r="I15" s="295"/>
      <c r="J15" s="295"/>
      <c r="K15" s="296"/>
      <c r="L15" s="589"/>
      <c r="M15" s="590"/>
      <c r="N15" s="298"/>
      <c r="P15" s="190" t="str">
        <f>IF(R15 = "", "", COUNT(R$4:$R15))</f>
        <v/>
      </c>
      <c r="Q15" s="190" t="str">
        <f t="shared" si="0"/>
        <v/>
      </c>
      <c r="R15" s="191" t="str">
        <f t="shared" si="1"/>
        <v/>
      </c>
      <c r="S15" s="192" t="str">
        <f t="shared" si="3"/>
        <v/>
      </c>
      <c r="T15" s="193" t="str">
        <f t="shared" si="4"/>
        <v/>
      </c>
      <c r="U15" s="194" t="str">
        <f t="shared" si="5"/>
        <v/>
      </c>
      <c r="V15" s="195" t="str">
        <f t="shared" si="2"/>
        <v/>
      </c>
      <c r="W15" s="336" t="str">
        <f t="shared" si="6"/>
        <v/>
      </c>
      <c r="X15" s="338" t="str">
        <f t="shared" si="7"/>
        <v/>
      </c>
      <c r="Y15" s="274"/>
      <c r="Z15" s="752">
        <v>1</v>
      </c>
      <c r="AA15" s="747" t="s">
        <v>724</v>
      </c>
      <c r="AB15" s="748"/>
      <c r="AC15" s="748"/>
      <c r="AD15" s="748"/>
      <c r="AE15" s="748"/>
      <c r="AF15" s="748"/>
      <c r="AG15" s="749"/>
      <c r="AR15" t="str">
        <f t="shared" si="9"/>
        <v/>
      </c>
      <c r="AS15" t="str">
        <f t="shared" si="10"/>
        <v/>
      </c>
    </row>
    <row r="16" spans="1:45" ht="15" customHeight="1">
      <c r="A16" s="291"/>
      <c r="B16" s="292"/>
      <c r="C16" s="293"/>
      <c r="D16" s="293"/>
      <c r="E16" s="293"/>
      <c r="F16" s="293"/>
      <c r="G16" s="294"/>
      <c r="H16" s="296"/>
      <c r="I16" s="295"/>
      <c r="J16" s="295"/>
      <c r="K16" s="296"/>
      <c r="L16" s="589"/>
      <c r="M16" s="590"/>
      <c r="N16" s="298"/>
      <c r="P16" s="190" t="str">
        <f>IF(R16 = "", "", COUNT(R$4:$R16))</f>
        <v/>
      </c>
      <c r="Q16" s="190" t="str">
        <f t="shared" si="0"/>
        <v/>
      </c>
      <c r="R16" s="191" t="str">
        <f t="shared" si="1"/>
        <v/>
      </c>
      <c r="S16" s="192" t="str">
        <f t="shared" si="3"/>
        <v/>
      </c>
      <c r="T16" s="193" t="str">
        <f t="shared" si="4"/>
        <v/>
      </c>
      <c r="U16" s="194" t="str">
        <f t="shared" si="5"/>
        <v/>
      </c>
      <c r="V16" s="195" t="str">
        <f t="shared" si="2"/>
        <v/>
      </c>
      <c r="W16" s="336" t="str">
        <f t="shared" si="6"/>
        <v/>
      </c>
      <c r="X16" s="338" t="str">
        <f t="shared" si="7"/>
        <v/>
      </c>
      <c r="Y16" s="274"/>
      <c r="Z16" s="753"/>
      <c r="AA16" s="750"/>
      <c r="AB16" s="659"/>
      <c r="AC16" s="659"/>
      <c r="AD16" s="659"/>
      <c r="AE16" s="659"/>
      <c r="AF16" s="659"/>
      <c r="AG16" s="751"/>
      <c r="AR16" t="str">
        <f t="shared" si="9"/>
        <v/>
      </c>
      <c r="AS16" t="str">
        <f t="shared" si="10"/>
        <v/>
      </c>
    </row>
    <row r="17" spans="1:45">
      <c r="A17" s="291"/>
      <c r="B17" s="292"/>
      <c r="C17" s="293"/>
      <c r="D17" s="293"/>
      <c r="E17" s="293"/>
      <c r="F17" s="293"/>
      <c r="G17" s="294"/>
      <c r="H17" s="296"/>
      <c r="I17" s="295"/>
      <c r="J17" s="295"/>
      <c r="K17" s="296"/>
      <c r="L17" s="589"/>
      <c r="M17" s="590"/>
      <c r="N17" s="298"/>
      <c r="P17" s="190" t="str">
        <f>IF(R17 = "", "", COUNT(R$4:$R17))</f>
        <v/>
      </c>
      <c r="Q17" s="190" t="str">
        <f t="shared" si="0"/>
        <v/>
      </c>
      <c r="R17" s="191" t="str">
        <f t="shared" si="1"/>
        <v/>
      </c>
      <c r="S17" s="192" t="str">
        <f t="shared" si="3"/>
        <v/>
      </c>
      <c r="T17" s="193" t="str">
        <f t="shared" si="4"/>
        <v/>
      </c>
      <c r="U17" s="194" t="str">
        <f t="shared" si="5"/>
        <v/>
      </c>
      <c r="V17" s="195" t="str">
        <f t="shared" si="2"/>
        <v/>
      </c>
      <c r="W17" s="336" t="str">
        <f t="shared" si="6"/>
        <v/>
      </c>
      <c r="X17" s="338" t="str">
        <f t="shared" si="7"/>
        <v/>
      </c>
      <c r="Y17" s="274"/>
      <c r="Z17" s="753"/>
      <c r="AA17" s="750"/>
      <c r="AB17" s="659"/>
      <c r="AC17" s="659"/>
      <c r="AD17" s="659"/>
      <c r="AE17" s="659"/>
      <c r="AF17" s="659"/>
      <c r="AG17" s="751"/>
      <c r="AR17" t="str">
        <f t="shared" si="9"/>
        <v/>
      </c>
      <c r="AS17" t="str">
        <f t="shared" si="10"/>
        <v/>
      </c>
    </row>
    <row r="18" spans="1:45" ht="15" customHeight="1">
      <c r="A18" s="291"/>
      <c r="B18" s="292"/>
      <c r="C18" s="293"/>
      <c r="D18" s="293"/>
      <c r="E18" s="293"/>
      <c r="F18" s="293"/>
      <c r="G18" s="294"/>
      <c r="H18" s="296"/>
      <c r="I18" s="295"/>
      <c r="J18" s="295"/>
      <c r="K18" s="296"/>
      <c r="L18" s="589"/>
      <c r="M18" s="590"/>
      <c r="N18" s="298"/>
      <c r="P18" s="190" t="str">
        <f>IF(R18 = "", "", COUNT(R$4:$R18))</f>
        <v/>
      </c>
      <c r="Q18" s="190" t="str">
        <f t="shared" si="0"/>
        <v/>
      </c>
      <c r="R18" s="191" t="str">
        <f t="shared" si="1"/>
        <v/>
      </c>
      <c r="S18" s="192" t="str">
        <f t="shared" si="3"/>
        <v/>
      </c>
      <c r="T18" s="193" t="str">
        <f t="shared" si="4"/>
        <v/>
      </c>
      <c r="U18" s="194" t="str">
        <f t="shared" si="5"/>
        <v/>
      </c>
      <c r="V18" s="195" t="str">
        <f t="shared" si="2"/>
        <v/>
      </c>
      <c r="W18" s="336" t="str">
        <f t="shared" si="6"/>
        <v/>
      </c>
      <c r="X18" s="338" t="str">
        <f t="shared" si="7"/>
        <v/>
      </c>
      <c r="Y18" s="274"/>
      <c r="Z18" s="753"/>
      <c r="AA18" s="750"/>
      <c r="AB18" s="659"/>
      <c r="AC18" s="659"/>
      <c r="AD18" s="659"/>
      <c r="AE18" s="659"/>
      <c r="AF18" s="659"/>
      <c r="AG18" s="751"/>
      <c r="AR18" t="str">
        <f t="shared" si="9"/>
        <v/>
      </c>
      <c r="AS18" t="str">
        <f t="shared" si="10"/>
        <v/>
      </c>
    </row>
    <row r="19" spans="1:45">
      <c r="A19" s="291"/>
      <c r="B19" s="292"/>
      <c r="C19" s="293"/>
      <c r="D19" s="293"/>
      <c r="E19" s="293"/>
      <c r="F19" s="293"/>
      <c r="G19" s="294"/>
      <c r="H19" s="296"/>
      <c r="I19" s="295"/>
      <c r="J19" s="295"/>
      <c r="K19" s="296"/>
      <c r="L19" s="589"/>
      <c r="M19" s="590"/>
      <c r="N19" s="298"/>
      <c r="P19" s="190" t="str">
        <f>IF(R19 = "", "", COUNT(R$4:$R19))</f>
        <v/>
      </c>
      <c r="Q19" s="190" t="str">
        <f t="shared" si="0"/>
        <v/>
      </c>
      <c r="R19" s="191" t="str">
        <f t="shared" si="1"/>
        <v/>
      </c>
      <c r="S19" s="192" t="str">
        <f t="shared" si="3"/>
        <v/>
      </c>
      <c r="T19" s="193" t="str">
        <f t="shared" si="4"/>
        <v/>
      </c>
      <c r="U19" s="194" t="str">
        <f t="shared" si="5"/>
        <v/>
      </c>
      <c r="V19" s="195" t="str">
        <f t="shared" si="2"/>
        <v/>
      </c>
      <c r="W19" s="336" t="str">
        <f t="shared" si="6"/>
        <v/>
      </c>
      <c r="X19" s="338" t="str">
        <f t="shared" si="7"/>
        <v/>
      </c>
      <c r="Y19" s="274"/>
      <c r="Z19" s="753"/>
      <c r="AA19" s="299" t="s">
        <v>45</v>
      </c>
      <c r="AB19" s="659" t="s">
        <v>704</v>
      </c>
      <c r="AC19" s="659"/>
      <c r="AD19" s="659"/>
      <c r="AE19" s="659"/>
      <c r="AF19" s="659"/>
      <c r="AG19" s="751"/>
      <c r="AR19" t="str">
        <f t="shared" si="9"/>
        <v/>
      </c>
      <c r="AS19" t="str">
        <f t="shared" si="10"/>
        <v/>
      </c>
    </row>
    <row r="20" spans="1:45" ht="14.5" customHeight="1">
      <c r="A20" s="291"/>
      <c r="B20" s="292"/>
      <c r="C20" s="293"/>
      <c r="D20" s="293"/>
      <c r="E20" s="293"/>
      <c r="F20" s="293"/>
      <c r="G20" s="294"/>
      <c r="H20" s="296"/>
      <c r="I20" s="295"/>
      <c r="J20" s="295"/>
      <c r="K20" s="296"/>
      <c r="L20" s="589"/>
      <c r="M20" s="590"/>
      <c r="N20" s="298"/>
      <c r="P20" s="190" t="str">
        <f>IF(R20 = "", "", COUNT(R$4:$R20))</f>
        <v/>
      </c>
      <c r="Q20" s="190" t="str">
        <f t="shared" si="0"/>
        <v/>
      </c>
      <c r="R20" s="191" t="str">
        <f t="shared" si="1"/>
        <v/>
      </c>
      <c r="S20" s="192" t="str">
        <f t="shared" si="3"/>
        <v/>
      </c>
      <c r="T20" s="193" t="str">
        <f t="shared" si="4"/>
        <v/>
      </c>
      <c r="U20" s="194" t="str">
        <f t="shared" si="5"/>
        <v/>
      </c>
      <c r="V20" s="195" t="str">
        <f t="shared" si="2"/>
        <v/>
      </c>
      <c r="W20" s="336" t="str">
        <f t="shared" si="6"/>
        <v/>
      </c>
      <c r="X20" s="338" t="str">
        <f t="shared" si="7"/>
        <v/>
      </c>
      <c r="Y20" s="274"/>
      <c r="Z20" s="753"/>
      <c r="AA20" s="299"/>
      <c r="AB20" s="659"/>
      <c r="AC20" s="659"/>
      <c r="AD20" s="659"/>
      <c r="AE20" s="659"/>
      <c r="AF20" s="659"/>
      <c r="AG20" s="751"/>
      <c r="AR20" t="str">
        <f t="shared" si="9"/>
        <v/>
      </c>
      <c r="AS20" t="str">
        <f t="shared" si="10"/>
        <v/>
      </c>
    </row>
    <row r="21" spans="1:45" ht="15" customHeight="1">
      <c r="A21" s="291"/>
      <c r="B21" s="292"/>
      <c r="C21" s="293"/>
      <c r="D21" s="293"/>
      <c r="E21" s="293"/>
      <c r="F21" s="293"/>
      <c r="G21" s="294"/>
      <c r="H21" s="296"/>
      <c r="I21" s="295"/>
      <c r="J21" s="295"/>
      <c r="K21" s="296"/>
      <c r="L21" s="589"/>
      <c r="M21" s="590"/>
      <c r="N21" s="298"/>
      <c r="P21" s="190" t="str">
        <f>IF(R21 = "", "", COUNT(R$4:$R21))</f>
        <v/>
      </c>
      <c r="Q21" s="190" t="str">
        <f t="shared" si="0"/>
        <v/>
      </c>
      <c r="R21" s="191" t="str">
        <f t="shared" si="1"/>
        <v/>
      </c>
      <c r="S21" s="192" t="str">
        <f t="shared" si="3"/>
        <v/>
      </c>
      <c r="T21" s="193" t="str">
        <f t="shared" si="4"/>
        <v/>
      </c>
      <c r="U21" s="194" t="str">
        <f t="shared" si="5"/>
        <v/>
      </c>
      <c r="V21" s="195" t="str">
        <f t="shared" si="2"/>
        <v/>
      </c>
      <c r="W21" s="336" t="str">
        <f t="shared" si="6"/>
        <v/>
      </c>
      <c r="X21" s="338" t="str">
        <f t="shared" si="7"/>
        <v/>
      </c>
      <c r="Y21" s="274"/>
      <c r="Z21" s="753"/>
      <c r="AA21" s="302"/>
      <c r="AB21" s="659"/>
      <c r="AC21" s="659"/>
      <c r="AD21" s="659"/>
      <c r="AE21" s="659"/>
      <c r="AF21" s="659"/>
      <c r="AG21" s="751"/>
      <c r="AR21" t="str">
        <f t="shared" si="9"/>
        <v/>
      </c>
      <c r="AS21" t="str">
        <f t="shared" si="10"/>
        <v/>
      </c>
    </row>
    <row r="22" spans="1:45">
      <c r="A22" s="291"/>
      <c r="B22" s="292"/>
      <c r="C22" s="293"/>
      <c r="D22" s="293"/>
      <c r="E22" s="293"/>
      <c r="F22" s="293"/>
      <c r="G22" s="294"/>
      <c r="H22" s="296"/>
      <c r="I22" s="295"/>
      <c r="J22" s="295"/>
      <c r="K22" s="296"/>
      <c r="L22" s="589"/>
      <c r="M22" s="590"/>
      <c r="N22" s="298"/>
      <c r="P22" s="190" t="str">
        <f>IF(R22 = "", "", COUNT(R$4:$R22))</f>
        <v/>
      </c>
      <c r="Q22" s="190" t="str">
        <f t="shared" si="0"/>
        <v/>
      </c>
      <c r="R22" s="191" t="str">
        <f t="shared" si="1"/>
        <v/>
      </c>
      <c r="S22" s="192" t="str">
        <f t="shared" si="3"/>
        <v/>
      </c>
      <c r="T22" s="193" t="str">
        <f t="shared" si="4"/>
        <v/>
      </c>
      <c r="U22" s="194" t="str">
        <f t="shared" si="5"/>
        <v/>
      </c>
      <c r="V22" s="195" t="str">
        <f t="shared" si="2"/>
        <v/>
      </c>
      <c r="W22" s="336" t="str">
        <f t="shared" si="6"/>
        <v/>
      </c>
      <c r="X22" s="338" t="str">
        <f t="shared" si="7"/>
        <v/>
      </c>
      <c r="Y22" s="274"/>
      <c r="Z22" s="753"/>
      <c r="AA22" s="303"/>
      <c r="AB22" s="659"/>
      <c r="AC22" s="659"/>
      <c r="AD22" s="659"/>
      <c r="AE22" s="659"/>
      <c r="AF22" s="659"/>
      <c r="AG22" s="751"/>
      <c r="AR22" t="str">
        <f t="shared" si="9"/>
        <v/>
      </c>
      <c r="AS22" t="str">
        <f t="shared" si="10"/>
        <v/>
      </c>
    </row>
    <row r="23" spans="1:45" ht="15" customHeight="1">
      <c r="A23" s="291"/>
      <c r="B23" s="292"/>
      <c r="C23" s="293"/>
      <c r="D23" s="293"/>
      <c r="E23" s="293"/>
      <c r="F23" s="293"/>
      <c r="G23" s="294"/>
      <c r="H23" s="296"/>
      <c r="I23" s="295"/>
      <c r="J23" s="295"/>
      <c r="K23" s="296"/>
      <c r="L23" s="589"/>
      <c r="M23" s="590"/>
      <c r="N23" s="298"/>
      <c r="P23" s="190" t="str">
        <f>IF(R23 = "", "", COUNT(R$4:$R23))</f>
        <v/>
      </c>
      <c r="Q23" s="190" t="str">
        <f t="shared" si="0"/>
        <v/>
      </c>
      <c r="R23" s="191" t="str">
        <f t="shared" si="1"/>
        <v/>
      </c>
      <c r="S23" s="192" t="str">
        <f t="shared" si="3"/>
        <v/>
      </c>
      <c r="T23" s="193" t="str">
        <f t="shared" si="4"/>
        <v/>
      </c>
      <c r="U23" s="194" t="str">
        <f t="shared" si="5"/>
        <v/>
      </c>
      <c r="V23" s="195" t="str">
        <f t="shared" si="2"/>
        <v/>
      </c>
      <c r="W23" s="336" t="str">
        <f t="shared" si="6"/>
        <v/>
      </c>
      <c r="X23" s="338" t="str">
        <f t="shared" si="7"/>
        <v/>
      </c>
      <c r="Y23" s="274"/>
      <c r="Z23" s="753"/>
      <c r="AA23" s="303"/>
      <c r="AB23" s="659"/>
      <c r="AC23" s="659"/>
      <c r="AD23" s="659"/>
      <c r="AE23" s="659"/>
      <c r="AF23" s="659"/>
      <c r="AG23" s="751"/>
      <c r="AR23" t="str">
        <f t="shared" si="9"/>
        <v/>
      </c>
      <c r="AS23" t="str">
        <f t="shared" si="10"/>
        <v/>
      </c>
    </row>
    <row r="24" spans="1:45">
      <c r="A24" s="291"/>
      <c r="B24" s="292"/>
      <c r="C24" s="293"/>
      <c r="D24" s="293"/>
      <c r="E24" s="293"/>
      <c r="F24" s="293"/>
      <c r="G24" s="294"/>
      <c r="H24" s="296"/>
      <c r="I24" s="295"/>
      <c r="J24" s="295"/>
      <c r="K24" s="296"/>
      <c r="L24" s="589"/>
      <c r="M24" s="590"/>
      <c r="N24" s="298"/>
      <c r="P24" s="190" t="str">
        <f>IF(R24 = "", "", COUNT(R$4:$R24))</f>
        <v/>
      </c>
      <c r="Q24" s="190" t="str">
        <f t="shared" si="0"/>
        <v/>
      </c>
      <c r="R24" s="191" t="str">
        <f t="shared" si="1"/>
        <v/>
      </c>
      <c r="S24" s="192" t="str">
        <f t="shared" si="3"/>
        <v/>
      </c>
      <c r="T24" s="193" t="str">
        <f t="shared" si="4"/>
        <v/>
      </c>
      <c r="U24" s="194" t="str">
        <f t="shared" si="5"/>
        <v/>
      </c>
      <c r="V24" s="195" t="str">
        <f t="shared" si="2"/>
        <v/>
      </c>
      <c r="W24" s="336" t="str">
        <f t="shared" si="6"/>
        <v/>
      </c>
      <c r="X24" s="338" t="str">
        <f t="shared" si="7"/>
        <v/>
      </c>
      <c r="Y24" s="274"/>
      <c r="Z24" s="753"/>
      <c r="AA24" s="299" t="s">
        <v>45</v>
      </c>
      <c r="AB24" s="659" t="s">
        <v>702</v>
      </c>
      <c r="AC24" s="659"/>
      <c r="AD24" s="659"/>
      <c r="AE24" s="659"/>
      <c r="AF24" s="659"/>
      <c r="AG24" s="751"/>
      <c r="AR24" t="str">
        <f t="shared" si="9"/>
        <v/>
      </c>
      <c r="AS24" t="str">
        <f t="shared" si="10"/>
        <v/>
      </c>
    </row>
    <row r="25" spans="1:45" ht="14.5" customHeight="1">
      <c r="A25" s="291"/>
      <c r="B25" s="292"/>
      <c r="C25" s="293"/>
      <c r="D25" s="293"/>
      <c r="E25" s="293"/>
      <c r="F25" s="293"/>
      <c r="G25" s="294"/>
      <c r="H25" s="296"/>
      <c r="I25" s="295"/>
      <c r="J25" s="295"/>
      <c r="K25" s="296"/>
      <c r="L25" s="589"/>
      <c r="M25" s="590"/>
      <c r="N25" s="298"/>
      <c r="P25" s="190" t="str">
        <f>IF(R25 = "", "", COUNT(R$4:$R25))</f>
        <v/>
      </c>
      <c r="Q25" s="190" t="str">
        <f t="shared" si="0"/>
        <v/>
      </c>
      <c r="R25" s="191" t="str">
        <f t="shared" si="1"/>
        <v/>
      </c>
      <c r="S25" s="192" t="str">
        <f t="shared" si="3"/>
        <v/>
      </c>
      <c r="T25" s="193" t="str">
        <f t="shared" si="4"/>
        <v/>
      </c>
      <c r="U25" s="194" t="str">
        <f t="shared" si="5"/>
        <v/>
      </c>
      <c r="V25" s="195" t="str">
        <f t="shared" si="2"/>
        <v/>
      </c>
      <c r="W25" s="336" t="str">
        <f t="shared" si="6"/>
        <v/>
      </c>
      <c r="X25" s="338" t="str">
        <f t="shared" si="7"/>
        <v/>
      </c>
      <c r="Y25" s="274"/>
      <c r="Z25" s="753"/>
      <c r="AA25" s="299"/>
      <c r="AB25" s="659"/>
      <c r="AC25" s="659"/>
      <c r="AD25" s="659"/>
      <c r="AE25" s="659"/>
      <c r="AF25" s="659"/>
      <c r="AG25" s="751"/>
      <c r="AR25" t="str">
        <f t="shared" si="9"/>
        <v/>
      </c>
      <c r="AS25" t="str">
        <f t="shared" si="10"/>
        <v/>
      </c>
    </row>
    <row r="26" spans="1:45" ht="15" customHeight="1">
      <c r="A26" s="291"/>
      <c r="B26" s="292"/>
      <c r="C26" s="293"/>
      <c r="D26" s="293"/>
      <c r="E26" s="293"/>
      <c r="F26" s="293"/>
      <c r="G26" s="294"/>
      <c r="H26" s="296"/>
      <c r="I26" s="295"/>
      <c r="J26" s="295"/>
      <c r="K26" s="296"/>
      <c r="L26" s="589"/>
      <c r="M26" s="590"/>
      <c r="N26" s="298"/>
      <c r="P26" s="190" t="str">
        <f>IF(R26 = "", "", COUNT(R$4:$R26))</f>
        <v/>
      </c>
      <c r="Q26" s="190" t="str">
        <f t="shared" si="0"/>
        <v/>
      </c>
      <c r="R26" s="191" t="str">
        <f t="shared" si="1"/>
        <v/>
      </c>
      <c r="S26" s="192" t="str">
        <f t="shared" si="3"/>
        <v/>
      </c>
      <c r="T26" s="193" t="str">
        <f t="shared" si="4"/>
        <v/>
      </c>
      <c r="U26" s="194" t="str">
        <f t="shared" si="5"/>
        <v/>
      </c>
      <c r="V26" s="195" t="str">
        <f t="shared" si="2"/>
        <v/>
      </c>
      <c r="W26" s="336" t="str">
        <f t="shared" si="6"/>
        <v/>
      </c>
      <c r="X26" s="338" t="str">
        <f t="shared" si="7"/>
        <v/>
      </c>
      <c r="Y26" s="274"/>
      <c r="Z26" s="753"/>
      <c r="AA26" s="303"/>
      <c r="AB26" s="659"/>
      <c r="AC26" s="659"/>
      <c r="AD26" s="659"/>
      <c r="AE26" s="659"/>
      <c r="AF26" s="659"/>
      <c r="AG26" s="751"/>
      <c r="AR26" t="str">
        <f t="shared" si="9"/>
        <v/>
      </c>
      <c r="AS26" t="str">
        <f t="shared" si="10"/>
        <v/>
      </c>
    </row>
    <row r="27" spans="1:45" ht="14.5" customHeight="1">
      <c r="A27" s="291"/>
      <c r="B27" s="292"/>
      <c r="C27" s="293"/>
      <c r="D27" s="293"/>
      <c r="E27" s="293"/>
      <c r="F27" s="293"/>
      <c r="G27" s="294"/>
      <c r="H27" s="296"/>
      <c r="I27" s="295"/>
      <c r="J27" s="295"/>
      <c r="K27" s="296"/>
      <c r="L27" s="589"/>
      <c r="M27" s="590"/>
      <c r="N27" s="298"/>
      <c r="P27" s="190" t="str">
        <f>IF(R27 = "", "", COUNT(R$4:$R27))</f>
        <v/>
      </c>
      <c r="Q27" s="190" t="str">
        <f t="shared" si="0"/>
        <v/>
      </c>
      <c r="R27" s="191" t="str">
        <f t="shared" si="1"/>
        <v/>
      </c>
      <c r="S27" s="192" t="str">
        <f t="shared" si="3"/>
        <v/>
      </c>
      <c r="T27" s="193" t="str">
        <f t="shared" si="4"/>
        <v/>
      </c>
      <c r="U27" s="194" t="str">
        <f t="shared" si="5"/>
        <v/>
      </c>
      <c r="V27" s="195" t="str">
        <f t="shared" si="2"/>
        <v/>
      </c>
      <c r="W27" s="336" t="str">
        <f t="shared" si="6"/>
        <v/>
      </c>
      <c r="X27" s="338" t="str">
        <f t="shared" si="7"/>
        <v/>
      </c>
      <c r="Y27" s="274"/>
      <c r="Z27" s="753"/>
      <c r="AA27" s="304"/>
      <c r="AB27" s="659"/>
      <c r="AC27" s="659"/>
      <c r="AD27" s="659"/>
      <c r="AE27" s="659"/>
      <c r="AF27" s="659"/>
      <c r="AG27" s="751"/>
      <c r="AR27" t="str">
        <f t="shared" si="9"/>
        <v/>
      </c>
      <c r="AS27" t="str">
        <f t="shared" si="10"/>
        <v/>
      </c>
    </row>
    <row r="28" spans="1:45" ht="15" customHeight="1">
      <c r="A28" s="291"/>
      <c r="B28" s="292"/>
      <c r="C28" s="293"/>
      <c r="D28" s="293"/>
      <c r="E28" s="293"/>
      <c r="F28" s="293"/>
      <c r="G28" s="294"/>
      <c r="H28" s="296"/>
      <c r="I28" s="295"/>
      <c r="J28" s="295"/>
      <c r="K28" s="296"/>
      <c r="L28" s="589"/>
      <c r="M28" s="590"/>
      <c r="N28" s="298"/>
      <c r="P28" s="190" t="str">
        <f>IF(R28 = "", "", COUNT(R$4:$R28))</f>
        <v/>
      </c>
      <c r="Q28" s="190" t="str">
        <f t="shared" si="0"/>
        <v/>
      </c>
      <c r="R28" s="191" t="str">
        <f t="shared" si="1"/>
        <v/>
      </c>
      <c r="S28" s="192" t="str">
        <f t="shared" si="3"/>
        <v/>
      </c>
      <c r="T28" s="193" t="str">
        <f t="shared" si="4"/>
        <v/>
      </c>
      <c r="U28" s="194" t="str">
        <f t="shared" si="5"/>
        <v/>
      </c>
      <c r="V28" s="195" t="str">
        <f t="shared" si="2"/>
        <v/>
      </c>
      <c r="W28" s="336" t="str">
        <f t="shared" si="6"/>
        <v/>
      </c>
      <c r="X28" s="338" t="str">
        <f t="shared" si="7"/>
        <v/>
      </c>
      <c r="Y28" s="274"/>
      <c r="Z28" s="715">
        <v>2</v>
      </c>
      <c r="AA28" s="721" t="s">
        <v>131</v>
      </c>
      <c r="AB28" s="721"/>
      <c r="AC28" s="721"/>
      <c r="AD28" s="721"/>
      <c r="AE28" s="721"/>
      <c r="AF28" s="721"/>
      <c r="AG28" s="722"/>
      <c r="AR28" t="str">
        <f t="shared" si="9"/>
        <v/>
      </c>
      <c r="AS28" t="str">
        <f t="shared" si="10"/>
        <v/>
      </c>
    </row>
    <row r="29" spans="1:45">
      <c r="A29" s="291"/>
      <c r="B29" s="292"/>
      <c r="C29" s="293"/>
      <c r="D29" s="293"/>
      <c r="E29" s="293"/>
      <c r="F29" s="293"/>
      <c r="G29" s="294"/>
      <c r="H29" s="296"/>
      <c r="I29" s="295"/>
      <c r="J29" s="295"/>
      <c r="K29" s="296"/>
      <c r="L29" s="589"/>
      <c r="M29" s="590"/>
      <c r="N29" s="298"/>
      <c r="P29" s="190" t="str">
        <f>IF(R29 = "", "", COUNT(R$4:$R29))</f>
        <v/>
      </c>
      <c r="Q29" s="190" t="str">
        <f t="shared" si="0"/>
        <v/>
      </c>
      <c r="R29" s="191" t="str">
        <f t="shared" si="1"/>
        <v/>
      </c>
      <c r="S29" s="192" t="str">
        <f t="shared" si="3"/>
        <v/>
      </c>
      <c r="T29" s="193" t="str">
        <f t="shared" si="4"/>
        <v/>
      </c>
      <c r="U29" s="194" t="str">
        <f t="shared" si="5"/>
        <v/>
      </c>
      <c r="V29" s="195" t="str">
        <f t="shared" si="2"/>
        <v/>
      </c>
      <c r="W29" s="336" t="str">
        <f t="shared" si="6"/>
        <v/>
      </c>
      <c r="X29" s="338" t="str">
        <f t="shared" si="7"/>
        <v/>
      </c>
      <c r="Y29" s="274"/>
      <c r="Z29" s="728"/>
      <c r="AA29" s="215" t="s">
        <v>45</v>
      </c>
      <c r="AB29" s="111" t="s">
        <v>132</v>
      </c>
      <c r="AC29" s="111"/>
      <c r="AD29" s="111"/>
      <c r="AE29" s="111"/>
      <c r="AF29" s="111"/>
      <c r="AG29" s="112"/>
      <c r="AR29" t="str">
        <f t="shared" si="9"/>
        <v/>
      </c>
      <c r="AS29" t="str">
        <f t="shared" si="10"/>
        <v/>
      </c>
    </row>
    <row r="30" spans="1:45" ht="14.5" customHeight="1">
      <c r="A30" s="291"/>
      <c r="B30" s="292"/>
      <c r="C30" s="293"/>
      <c r="D30" s="293"/>
      <c r="E30" s="293"/>
      <c r="F30" s="293"/>
      <c r="G30" s="294"/>
      <c r="H30" s="296"/>
      <c r="I30" s="295"/>
      <c r="J30" s="295"/>
      <c r="K30" s="296"/>
      <c r="L30" s="589"/>
      <c r="M30" s="590"/>
      <c r="N30" s="298"/>
      <c r="P30" s="190" t="str">
        <f>IF(R30 = "", "", COUNT(R$4:$R30))</f>
        <v/>
      </c>
      <c r="Q30" s="190" t="str">
        <f t="shared" si="0"/>
        <v/>
      </c>
      <c r="R30" s="191" t="str">
        <f t="shared" si="1"/>
        <v/>
      </c>
      <c r="S30" s="192" t="str">
        <f t="shared" si="3"/>
        <v/>
      </c>
      <c r="T30" s="193" t="str">
        <f t="shared" si="4"/>
        <v/>
      </c>
      <c r="U30" s="194" t="str">
        <f t="shared" si="5"/>
        <v/>
      </c>
      <c r="V30" s="195" t="str">
        <f t="shared" si="2"/>
        <v/>
      </c>
      <c r="W30" s="336" t="str">
        <f t="shared" si="6"/>
        <v/>
      </c>
      <c r="X30" s="338" t="str">
        <f t="shared" si="7"/>
        <v/>
      </c>
      <c r="Y30" s="274"/>
      <c r="Z30" s="728"/>
      <c r="AA30" s="215" t="s">
        <v>45</v>
      </c>
      <c r="AB30" s="111" t="s">
        <v>133</v>
      </c>
      <c r="AC30" s="111"/>
      <c r="AD30" s="111"/>
      <c r="AE30" s="111"/>
      <c r="AF30" s="111"/>
      <c r="AG30" s="112"/>
      <c r="AR30" t="str">
        <f t="shared" si="9"/>
        <v/>
      </c>
      <c r="AS30" t="str">
        <f t="shared" si="10"/>
        <v/>
      </c>
    </row>
    <row r="31" spans="1:45" ht="15" customHeight="1">
      <c r="A31" s="291"/>
      <c r="B31" s="292"/>
      <c r="C31" s="293"/>
      <c r="D31" s="293"/>
      <c r="E31" s="293"/>
      <c r="F31" s="293"/>
      <c r="G31" s="294"/>
      <c r="H31" s="296"/>
      <c r="I31" s="295"/>
      <c r="J31" s="295"/>
      <c r="K31" s="296"/>
      <c r="L31" s="589"/>
      <c r="M31" s="590"/>
      <c r="N31" s="298"/>
      <c r="P31" s="190" t="str">
        <f>IF(R31 = "", "", COUNT(R$4:$R31))</f>
        <v/>
      </c>
      <c r="Q31" s="190" t="str">
        <f t="shared" si="0"/>
        <v/>
      </c>
      <c r="R31" s="191" t="str">
        <f t="shared" si="1"/>
        <v/>
      </c>
      <c r="S31" s="192" t="str">
        <f t="shared" si="3"/>
        <v/>
      </c>
      <c r="T31" s="193" t="str">
        <f t="shared" si="4"/>
        <v/>
      </c>
      <c r="U31" s="194" t="str">
        <f t="shared" si="5"/>
        <v/>
      </c>
      <c r="V31" s="195" t="str">
        <f t="shared" si="2"/>
        <v/>
      </c>
      <c r="W31" s="336" t="str">
        <f t="shared" si="6"/>
        <v/>
      </c>
      <c r="X31" s="338" t="str">
        <f t="shared" si="7"/>
        <v/>
      </c>
      <c r="Y31" s="274"/>
      <c r="Z31" s="728"/>
      <c r="AA31" s="215" t="s">
        <v>45</v>
      </c>
      <c r="AB31" s="111" t="s">
        <v>59</v>
      </c>
      <c r="AC31" s="111"/>
      <c r="AD31" s="111"/>
      <c r="AE31" s="111"/>
      <c r="AF31" s="111"/>
      <c r="AG31" s="112"/>
      <c r="AR31" t="str">
        <f t="shared" si="9"/>
        <v/>
      </c>
      <c r="AS31" t="str">
        <f t="shared" si="10"/>
        <v/>
      </c>
    </row>
    <row r="32" spans="1:45">
      <c r="A32" s="291"/>
      <c r="B32" s="292"/>
      <c r="C32" s="293"/>
      <c r="D32" s="293"/>
      <c r="E32" s="293"/>
      <c r="F32" s="293"/>
      <c r="G32" s="294"/>
      <c r="H32" s="296"/>
      <c r="I32" s="295"/>
      <c r="J32" s="295"/>
      <c r="K32" s="296"/>
      <c r="L32" s="589"/>
      <c r="M32" s="590"/>
      <c r="N32" s="298"/>
      <c r="P32" s="190" t="str">
        <f>IF(R32 = "", "", COUNT(R$4:$R32))</f>
        <v/>
      </c>
      <c r="Q32" s="190" t="str">
        <f t="shared" si="0"/>
        <v/>
      </c>
      <c r="R32" s="191" t="str">
        <f t="shared" si="1"/>
        <v/>
      </c>
      <c r="S32" s="192" t="str">
        <f t="shared" si="3"/>
        <v/>
      </c>
      <c r="T32" s="193" t="str">
        <f t="shared" si="4"/>
        <v/>
      </c>
      <c r="U32" s="194" t="str">
        <f t="shared" si="5"/>
        <v/>
      </c>
      <c r="V32" s="195" t="str">
        <f t="shared" si="2"/>
        <v/>
      </c>
      <c r="W32" s="336" t="str">
        <f t="shared" si="6"/>
        <v/>
      </c>
      <c r="X32" s="338" t="str">
        <f t="shared" si="7"/>
        <v/>
      </c>
      <c r="Y32" s="274"/>
      <c r="Z32" s="728"/>
      <c r="AA32" s="215" t="s">
        <v>45</v>
      </c>
      <c r="AB32" s="723" t="s">
        <v>181</v>
      </c>
      <c r="AC32" s="723"/>
      <c r="AD32" s="723"/>
      <c r="AE32" s="723"/>
      <c r="AF32" s="723"/>
      <c r="AG32" s="724"/>
      <c r="AR32" t="str">
        <f t="shared" si="9"/>
        <v/>
      </c>
      <c r="AS32" t="str">
        <f t="shared" si="10"/>
        <v/>
      </c>
    </row>
    <row r="33" spans="1:45">
      <c r="A33" s="291"/>
      <c r="B33" s="292"/>
      <c r="C33" s="293"/>
      <c r="D33" s="293"/>
      <c r="E33" s="293"/>
      <c r="F33" s="293"/>
      <c r="G33" s="294"/>
      <c r="H33" s="296"/>
      <c r="I33" s="295"/>
      <c r="J33" s="295"/>
      <c r="K33" s="296"/>
      <c r="L33" s="589"/>
      <c r="M33" s="590"/>
      <c r="N33" s="298"/>
      <c r="P33" s="190" t="str">
        <f>IF(R33 = "", "", COUNT(R$4:$R33))</f>
        <v/>
      </c>
      <c r="Q33" s="190" t="str">
        <f t="shared" si="0"/>
        <v/>
      </c>
      <c r="R33" s="191" t="str">
        <f t="shared" si="1"/>
        <v/>
      </c>
      <c r="S33" s="192" t="str">
        <f t="shared" si="3"/>
        <v/>
      </c>
      <c r="T33" s="193" t="str">
        <f t="shared" si="4"/>
        <v/>
      </c>
      <c r="U33" s="194" t="str">
        <f t="shared" si="5"/>
        <v/>
      </c>
      <c r="V33" s="195" t="str">
        <f t="shared" si="2"/>
        <v/>
      </c>
      <c r="W33" s="336" t="str">
        <f t="shared" si="6"/>
        <v/>
      </c>
      <c r="X33" s="338" t="str">
        <f t="shared" si="7"/>
        <v/>
      </c>
      <c r="Y33" s="274"/>
      <c r="Z33" s="728"/>
      <c r="AA33" s="111"/>
      <c r="AB33" s="723"/>
      <c r="AC33" s="723"/>
      <c r="AD33" s="723"/>
      <c r="AE33" s="723"/>
      <c r="AF33" s="723"/>
      <c r="AG33" s="724"/>
      <c r="AR33" t="str">
        <f t="shared" si="9"/>
        <v/>
      </c>
      <c r="AS33" t="str">
        <f t="shared" si="10"/>
        <v/>
      </c>
    </row>
    <row r="34" spans="1:45">
      <c r="A34" s="291"/>
      <c r="B34" s="292"/>
      <c r="C34" s="293"/>
      <c r="D34" s="293"/>
      <c r="E34" s="293"/>
      <c r="F34" s="293"/>
      <c r="G34" s="294"/>
      <c r="H34" s="296"/>
      <c r="I34" s="295"/>
      <c r="J34" s="295"/>
      <c r="K34" s="296"/>
      <c r="L34" s="589"/>
      <c r="M34" s="590"/>
      <c r="N34" s="298"/>
      <c r="P34" s="190" t="str">
        <f>IF(R34 = "", "", COUNT(R$4:$R34))</f>
        <v/>
      </c>
      <c r="Q34" s="190" t="str">
        <f t="shared" si="0"/>
        <v/>
      </c>
      <c r="R34" s="191" t="str">
        <f t="shared" si="1"/>
        <v/>
      </c>
      <c r="S34" s="192" t="str">
        <f t="shared" si="3"/>
        <v/>
      </c>
      <c r="T34" s="193" t="str">
        <f t="shared" si="4"/>
        <v/>
      </c>
      <c r="U34" s="194" t="str">
        <f t="shared" si="5"/>
        <v/>
      </c>
      <c r="V34" s="195" t="str">
        <f t="shared" si="2"/>
        <v/>
      </c>
      <c r="W34" s="336" t="str">
        <f t="shared" si="6"/>
        <v/>
      </c>
      <c r="X34" s="338" t="str">
        <f t="shared" si="7"/>
        <v/>
      </c>
      <c r="Y34" s="274"/>
      <c r="Z34" s="728"/>
      <c r="AA34" s="111"/>
      <c r="AB34" s="723"/>
      <c r="AC34" s="723"/>
      <c r="AD34" s="723"/>
      <c r="AE34" s="723"/>
      <c r="AF34" s="723"/>
      <c r="AG34" s="724"/>
      <c r="AR34" t="str">
        <f t="shared" si="9"/>
        <v/>
      </c>
      <c r="AS34" t="str">
        <f t="shared" si="10"/>
        <v/>
      </c>
    </row>
    <row r="35" spans="1:45">
      <c r="A35" s="291"/>
      <c r="B35" s="292"/>
      <c r="C35" s="293"/>
      <c r="D35" s="293"/>
      <c r="E35" s="293"/>
      <c r="F35" s="293"/>
      <c r="G35" s="294"/>
      <c r="H35" s="296"/>
      <c r="I35" s="295"/>
      <c r="J35" s="295"/>
      <c r="K35" s="296"/>
      <c r="L35" s="589"/>
      <c r="M35" s="590"/>
      <c r="N35" s="298"/>
      <c r="P35" s="190" t="str">
        <f>IF(R35 = "", "", COUNT(R$4:$R35))</f>
        <v/>
      </c>
      <c r="Q35" s="190" t="str">
        <f t="shared" si="0"/>
        <v/>
      </c>
      <c r="R35" s="191" t="str">
        <f t="shared" si="1"/>
        <v/>
      </c>
      <c r="S35" s="192" t="str">
        <f t="shared" si="3"/>
        <v/>
      </c>
      <c r="T35" s="193" t="str">
        <f t="shared" si="4"/>
        <v/>
      </c>
      <c r="U35" s="194" t="str">
        <f t="shared" si="5"/>
        <v/>
      </c>
      <c r="V35" s="195" t="str">
        <f t="shared" si="2"/>
        <v/>
      </c>
      <c r="W35" s="336" t="str">
        <f t="shared" si="6"/>
        <v/>
      </c>
      <c r="X35" s="338" t="str">
        <f t="shared" si="7"/>
        <v/>
      </c>
      <c r="Y35" s="274"/>
      <c r="Z35" s="728"/>
      <c r="AA35" s="111"/>
      <c r="AB35" s="723"/>
      <c r="AC35" s="723"/>
      <c r="AD35" s="723"/>
      <c r="AE35" s="723"/>
      <c r="AF35" s="723"/>
      <c r="AG35" s="724"/>
      <c r="AR35" t="str">
        <f t="shared" si="9"/>
        <v/>
      </c>
      <c r="AS35" t="str">
        <f t="shared" si="10"/>
        <v/>
      </c>
    </row>
    <row r="36" spans="1:45">
      <c r="A36" s="291"/>
      <c r="B36" s="292"/>
      <c r="C36" s="293"/>
      <c r="D36" s="293"/>
      <c r="E36" s="293"/>
      <c r="F36" s="293"/>
      <c r="G36" s="294"/>
      <c r="H36" s="296"/>
      <c r="I36" s="295"/>
      <c r="J36" s="295"/>
      <c r="K36" s="296"/>
      <c r="L36" s="589"/>
      <c r="M36" s="590"/>
      <c r="N36" s="298"/>
      <c r="P36" s="190" t="str">
        <f>IF(R36 = "", "", COUNT(R$4:$R36))</f>
        <v/>
      </c>
      <c r="Q36" s="190" t="str">
        <f t="shared" si="0"/>
        <v/>
      </c>
      <c r="R36" s="191" t="str">
        <f t="shared" si="1"/>
        <v/>
      </c>
      <c r="S36" s="192" t="str">
        <f t="shared" si="3"/>
        <v/>
      </c>
      <c r="T36" s="193" t="str">
        <f t="shared" si="4"/>
        <v/>
      </c>
      <c r="U36" s="194" t="str">
        <f t="shared" si="5"/>
        <v/>
      </c>
      <c r="V36" s="195" t="str">
        <f t="shared" si="2"/>
        <v/>
      </c>
      <c r="W36" s="336" t="str">
        <f t="shared" si="6"/>
        <v/>
      </c>
      <c r="X36" s="338" t="str">
        <f t="shared" si="7"/>
        <v/>
      </c>
      <c r="Y36" s="274"/>
      <c r="Z36" s="728"/>
      <c r="AA36" s="215" t="s">
        <v>45</v>
      </c>
      <c r="AB36" s="667" t="s">
        <v>703</v>
      </c>
      <c r="AC36" s="667"/>
      <c r="AD36" s="667"/>
      <c r="AE36" s="667"/>
      <c r="AF36" s="667"/>
      <c r="AG36" s="725"/>
      <c r="AR36" t="str">
        <f t="shared" si="9"/>
        <v/>
      </c>
      <c r="AS36" t="str">
        <f t="shared" si="10"/>
        <v/>
      </c>
    </row>
    <row r="37" spans="1:45" ht="15" customHeight="1">
      <c r="A37" s="291"/>
      <c r="B37" s="292"/>
      <c r="C37" s="293"/>
      <c r="D37" s="293"/>
      <c r="E37" s="293"/>
      <c r="F37" s="293"/>
      <c r="G37" s="294"/>
      <c r="H37" s="296"/>
      <c r="I37" s="295"/>
      <c r="J37" s="295"/>
      <c r="K37" s="296"/>
      <c r="L37" s="589"/>
      <c r="M37" s="590"/>
      <c r="N37" s="298"/>
      <c r="P37" s="190" t="str">
        <f>IF(R37 = "", "", COUNT(R$4:$R37))</f>
        <v/>
      </c>
      <c r="Q37" s="190" t="str">
        <f t="shared" si="0"/>
        <v/>
      </c>
      <c r="R37" s="191" t="str">
        <f t="shared" si="1"/>
        <v/>
      </c>
      <c r="S37" s="192" t="str">
        <f t="shared" si="3"/>
        <v/>
      </c>
      <c r="T37" s="193" t="str">
        <f t="shared" si="4"/>
        <v/>
      </c>
      <c r="U37" s="194" t="str">
        <f t="shared" si="5"/>
        <v/>
      </c>
      <c r="V37" s="195" t="str">
        <f t="shared" si="2"/>
        <v/>
      </c>
      <c r="W37" s="336" t="str">
        <f t="shared" si="6"/>
        <v/>
      </c>
      <c r="X37" s="338" t="str">
        <f t="shared" si="7"/>
        <v/>
      </c>
      <c r="Y37" s="274"/>
      <c r="Z37" s="728"/>
      <c r="AA37" s="111"/>
      <c r="AB37" s="667"/>
      <c r="AC37" s="667"/>
      <c r="AD37" s="667"/>
      <c r="AE37" s="667"/>
      <c r="AF37" s="667"/>
      <c r="AG37" s="725"/>
      <c r="AR37" t="str">
        <f t="shared" si="9"/>
        <v/>
      </c>
      <c r="AS37" t="str">
        <f t="shared" si="10"/>
        <v/>
      </c>
    </row>
    <row r="38" spans="1:45" ht="14.5" customHeight="1">
      <c r="A38" s="291"/>
      <c r="B38" s="292"/>
      <c r="C38" s="293"/>
      <c r="D38" s="293"/>
      <c r="E38" s="293"/>
      <c r="F38" s="293"/>
      <c r="G38" s="294"/>
      <c r="H38" s="296"/>
      <c r="I38" s="295"/>
      <c r="J38" s="295"/>
      <c r="K38" s="296"/>
      <c r="L38" s="589"/>
      <c r="M38" s="590"/>
      <c r="N38" s="298"/>
      <c r="P38" s="190" t="str">
        <f>IF(R38 = "", "", COUNT(R$4:$R38))</f>
        <v/>
      </c>
      <c r="Q38" s="190" t="str">
        <f t="shared" si="0"/>
        <v/>
      </c>
      <c r="R38" s="191" t="str">
        <f t="shared" si="1"/>
        <v/>
      </c>
      <c r="S38" s="192" t="str">
        <f t="shared" si="3"/>
        <v/>
      </c>
      <c r="T38" s="193" t="str">
        <f t="shared" si="4"/>
        <v/>
      </c>
      <c r="U38" s="194" t="str">
        <f t="shared" si="5"/>
        <v/>
      </c>
      <c r="V38" s="195" t="str">
        <f t="shared" si="2"/>
        <v/>
      </c>
      <c r="W38" s="336" t="str">
        <f t="shared" si="6"/>
        <v/>
      </c>
      <c r="X38" s="338" t="str">
        <f t="shared" si="7"/>
        <v/>
      </c>
      <c r="Y38" s="274"/>
      <c r="Z38" s="728"/>
      <c r="AA38" s="215" t="s">
        <v>45</v>
      </c>
      <c r="AB38" s="667" t="s">
        <v>705</v>
      </c>
      <c r="AC38" s="667"/>
      <c r="AD38" s="667"/>
      <c r="AE38" s="667"/>
      <c r="AF38" s="667"/>
      <c r="AG38" s="725"/>
      <c r="AR38" t="str">
        <f t="shared" si="9"/>
        <v/>
      </c>
      <c r="AS38" t="str">
        <f t="shared" si="10"/>
        <v/>
      </c>
    </row>
    <row r="39" spans="1:45">
      <c r="A39" s="291"/>
      <c r="B39" s="292"/>
      <c r="C39" s="293"/>
      <c r="D39" s="293"/>
      <c r="E39" s="293"/>
      <c r="F39" s="293"/>
      <c r="G39" s="294"/>
      <c r="H39" s="296"/>
      <c r="I39" s="295"/>
      <c r="J39" s="295"/>
      <c r="K39" s="296"/>
      <c r="L39" s="589"/>
      <c r="M39" s="590"/>
      <c r="N39" s="298"/>
      <c r="P39" s="190" t="str">
        <f>IF(R39 = "", "", COUNT(R$4:$R39))</f>
        <v/>
      </c>
      <c r="Q39" s="190" t="str">
        <f t="shared" si="0"/>
        <v/>
      </c>
      <c r="R39" s="191" t="str">
        <f t="shared" si="1"/>
        <v/>
      </c>
      <c r="S39" s="192" t="str">
        <f t="shared" si="3"/>
        <v/>
      </c>
      <c r="T39" s="193" t="str">
        <f t="shared" si="4"/>
        <v/>
      </c>
      <c r="U39" s="194" t="str">
        <f t="shared" si="5"/>
        <v/>
      </c>
      <c r="V39" s="195" t="str">
        <f t="shared" si="2"/>
        <v/>
      </c>
      <c r="W39" s="336" t="str">
        <f t="shared" si="6"/>
        <v/>
      </c>
      <c r="X39" s="338" t="str">
        <f t="shared" si="7"/>
        <v/>
      </c>
      <c r="Y39" s="274"/>
      <c r="Z39" s="729"/>
      <c r="AA39" s="305"/>
      <c r="AB39" s="726"/>
      <c r="AC39" s="726"/>
      <c r="AD39" s="726"/>
      <c r="AE39" s="726"/>
      <c r="AF39" s="726"/>
      <c r="AG39" s="727"/>
      <c r="AR39" t="str">
        <f t="shared" si="9"/>
        <v/>
      </c>
      <c r="AS39" t="str">
        <f t="shared" si="10"/>
        <v/>
      </c>
    </row>
    <row r="40" spans="1:45">
      <c r="A40" s="291"/>
      <c r="B40" s="292"/>
      <c r="C40" s="293"/>
      <c r="D40" s="293"/>
      <c r="E40" s="293"/>
      <c r="F40" s="293"/>
      <c r="G40" s="294"/>
      <c r="H40" s="296"/>
      <c r="I40" s="295"/>
      <c r="J40" s="295"/>
      <c r="K40" s="296"/>
      <c r="L40" s="589"/>
      <c r="M40" s="590"/>
      <c r="N40" s="298"/>
      <c r="P40" s="190" t="str">
        <f>IF(R40 = "", "", COUNT(R$4:$R40))</f>
        <v/>
      </c>
      <c r="Q40" s="190" t="str">
        <f t="shared" si="0"/>
        <v/>
      </c>
      <c r="R40" s="191" t="str">
        <f t="shared" si="1"/>
        <v/>
      </c>
      <c r="S40" s="192" t="str">
        <f t="shared" si="3"/>
        <v/>
      </c>
      <c r="T40" s="193" t="str">
        <f t="shared" si="4"/>
        <v/>
      </c>
      <c r="U40" s="194" t="str">
        <f t="shared" si="5"/>
        <v/>
      </c>
      <c r="V40" s="195" t="str">
        <f t="shared" si="2"/>
        <v/>
      </c>
      <c r="W40" s="336" t="str">
        <f t="shared" si="6"/>
        <v/>
      </c>
      <c r="X40" s="338" t="str">
        <f t="shared" si="7"/>
        <v/>
      </c>
      <c r="Y40" s="274"/>
      <c r="Z40" s="715">
        <v>4</v>
      </c>
      <c r="AA40" s="717" t="s">
        <v>706</v>
      </c>
      <c r="AB40" s="717"/>
      <c r="AC40" s="717"/>
      <c r="AD40" s="717"/>
      <c r="AE40" s="717"/>
      <c r="AF40" s="717"/>
      <c r="AG40" s="718"/>
      <c r="AR40" t="str">
        <f t="shared" si="9"/>
        <v/>
      </c>
      <c r="AS40" t="str">
        <f t="shared" si="10"/>
        <v/>
      </c>
    </row>
    <row r="41" spans="1:45" ht="15" customHeight="1" thickBot="1">
      <c r="A41" s="291"/>
      <c r="B41" s="292"/>
      <c r="C41" s="293"/>
      <c r="D41" s="293"/>
      <c r="E41" s="293"/>
      <c r="F41" s="293"/>
      <c r="G41" s="294"/>
      <c r="H41" s="296"/>
      <c r="I41" s="295"/>
      <c r="J41" s="295"/>
      <c r="K41" s="296"/>
      <c r="L41" s="589"/>
      <c r="M41" s="590"/>
      <c r="N41" s="298"/>
      <c r="P41" s="190" t="str">
        <f>IF(R41 = "", "", COUNT(R$4:$R41))</f>
        <v/>
      </c>
      <c r="Q41" s="190" t="str">
        <f t="shared" si="0"/>
        <v/>
      </c>
      <c r="R41" s="191" t="str">
        <f t="shared" si="1"/>
        <v/>
      </c>
      <c r="S41" s="192" t="str">
        <f t="shared" si="3"/>
        <v/>
      </c>
      <c r="T41" s="193" t="str">
        <f t="shared" si="4"/>
        <v/>
      </c>
      <c r="U41" s="194" t="str">
        <f t="shared" si="5"/>
        <v/>
      </c>
      <c r="V41" s="195" t="str">
        <f t="shared" si="2"/>
        <v/>
      </c>
      <c r="W41" s="336" t="str">
        <f t="shared" si="6"/>
        <v/>
      </c>
      <c r="X41" s="338" t="str">
        <f t="shared" si="7"/>
        <v/>
      </c>
      <c r="Y41" s="274"/>
      <c r="Z41" s="716"/>
      <c r="AA41" s="719"/>
      <c r="AB41" s="719"/>
      <c r="AC41" s="719"/>
      <c r="AD41" s="719"/>
      <c r="AE41" s="719"/>
      <c r="AF41" s="719"/>
      <c r="AG41" s="720"/>
      <c r="AR41" t="str">
        <f t="shared" si="9"/>
        <v/>
      </c>
      <c r="AS41" t="str">
        <f t="shared" si="10"/>
        <v/>
      </c>
    </row>
    <row r="42" spans="1:45">
      <c r="A42" s="291"/>
      <c r="B42" s="292"/>
      <c r="C42" s="293"/>
      <c r="D42" s="293"/>
      <c r="E42" s="293"/>
      <c r="F42" s="293"/>
      <c r="G42" s="294"/>
      <c r="H42" s="296"/>
      <c r="I42" s="295"/>
      <c r="J42" s="295"/>
      <c r="K42" s="296"/>
      <c r="L42" s="589"/>
      <c r="M42" s="590"/>
      <c r="N42" s="298"/>
      <c r="P42" s="190" t="str">
        <f>IF(R42 = "", "", COUNT(R$4:$R42))</f>
        <v/>
      </c>
      <c r="Q42" s="190" t="str">
        <f t="shared" si="0"/>
        <v/>
      </c>
      <c r="R42" s="191" t="str">
        <f t="shared" si="1"/>
        <v/>
      </c>
      <c r="S42" s="192" t="str">
        <f t="shared" si="3"/>
        <v/>
      </c>
      <c r="T42" s="193" t="str">
        <f t="shared" si="4"/>
        <v/>
      </c>
      <c r="U42" s="194" t="str">
        <f t="shared" si="5"/>
        <v/>
      </c>
      <c r="V42" s="195" t="str">
        <f t="shared" si="2"/>
        <v/>
      </c>
      <c r="W42" s="336" t="str">
        <f t="shared" si="6"/>
        <v/>
      </c>
      <c r="X42" s="338" t="str">
        <f t="shared" si="7"/>
        <v/>
      </c>
      <c r="Y42" s="274"/>
      <c r="AR42" t="str">
        <f t="shared" si="9"/>
        <v/>
      </c>
      <c r="AS42" t="str">
        <f t="shared" si="10"/>
        <v/>
      </c>
    </row>
    <row r="43" spans="1:45">
      <c r="A43" s="291"/>
      <c r="B43" s="292"/>
      <c r="C43" s="293"/>
      <c r="D43" s="293"/>
      <c r="E43" s="293"/>
      <c r="F43" s="293"/>
      <c r="G43" s="294"/>
      <c r="H43" s="296"/>
      <c r="I43" s="295"/>
      <c r="J43" s="295"/>
      <c r="K43" s="296"/>
      <c r="L43" s="589"/>
      <c r="M43" s="590"/>
      <c r="N43" s="298"/>
      <c r="P43" s="190" t="str">
        <f>IF(R43 = "", "", COUNT(R$4:$R43))</f>
        <v/>
      </c>
      <c r="Q43" s="190" t="str">
        <f t="shared" si="0"/>
        <v/>
      </c>
      <c r="R43" s="191" t="str">
        <f t="shared" si="1"/>
        <v/>
      </c>
      <c r="S43" s="192" t="str">
        <f t="shared" si="3"/>
        <v/>
      </c>
      <c r="T43" s="193" t="str">
        <f t="shared" si="4"/>
        <v/>
      </c>
      <c r="U43" s="194" t="str">
        <f t="shared" si="5"/>
        <v/>
      </c>
      <c r="V43" s="195" t="str">
        <f t="shared" si="2"/>
        <v/>
      </c>
      <c r="W43" s="336" t="str">
        <f t="shared" si="6"/>
        <v/>
      </c>
      <c r="X43" s="338" t="str">
        <f t="shared" si="7"/>
        <v/>
      </c>
      <c r="Y43" s="274"/>
      <c r="AR43" t="str">
        <f t="shared" si="9"/>
        <v/>
      </c>
      <c r="AS43" t="str">
        <f t="shared" si="10"/>
        <v/>
      </c>
    </row>
    <row r="44" spans="1:45">
      <c r="A44" s="291"/>
      <c r="B44" s="292"/>
      <c r="C44" s="293"/>
      <c r="D44" s="293"/>
      <c r="E44" s="293"/>
      <c r="F44" s="293"/>
      <c r="G44" s="294"/>
      <c r="H44" s="296"/>
      <c r="I44" s="295"/>
      <c r="J44" s="295"/>
      <c r="K44" s="296"/>
      <c r="L44" s="589"/>
      <c r="M44" s="590"/>
      <c r="N44" s="298"/>
      <c r="P44" s="190" t="str">
        <f>IF(R44 = "", "", COUNT(R$4:$R44))</f>
        <v/>
      </c>
      <c r="Q44" s="190" t="str">
        <f t="shared" si="0"/>
        <v/>
      </c>
      <c r="R44" s="191" t="str">
        <f t="shared" si="1"/>
        <v/>
      </c>
      <c r="S44" s="192" t="str">
        <f t="shared" si="3"/>
        <v/>
      </c>
      <c r="T44" s="193" t="str">
        <f t="shared" si="4"/>
        <v/>
      </c>
      <c r="U44" s="194" t="str">
        <f t="shared" si="5"/>
        <v/>
      </c>
      <c r="V44" s="195" t="str">
        <f t="shared" si="2"/>
        <v/>
      </c>
      <c r="W44" s="336" t="str">
        <f t="shared" si="6"/>
        <v/>
      </c>
      <c r="X44" s="338" t="str">
        <f t="shared" si="7"/>
        <v/>
      </c>
      <c r="Y44" s="274"/>
      <c r="AR44" t="str">
        <f t="shared" si="9"/>
        <v/>
      </c>
      <c r="AS44" t="str">
        <f t="shared" si="10"/>
        <v/>
      </c>
    </row>
    <row r="45" spans="1:45">
      <c r="A45" s="291"/>
      <c r="B45" s="292"/>
      <c r="C45" s="293"/>
      <c r="D45" s="293"/>
      <c r="E45" s="293"/>
      <c r="F45" s="293"/>
      <c r="G45" s="294"/>
      <c r="H45" s="296"/>
      <c r="I45" s="295"/>
      <c r="J45" s="295"/>
      <c r="K45" s="296"/>
      <c r="L45" s="589"/>
      <c r="M45" s="590"/>
      <c r="N45" s="298"/>
      <c r="P45" s="190" t="str">
        <f>IF(R45 = "", "", COUNT(R$4:$R45))</f>
        <v/>
      </c>
      <c r="Q45" s="190" t="str">
        <f t="shared" si="0"/>
        <v/>
      </c>
      <c r="R45" s="191" t="str">
        <f t="shared" si="1"/>
        <v/>
      </c>
      <c r="S45" s="192" t="str">
        <f t="shared" si="3"/>
        <v/>
      </c>
      <c r="T45" s="193" t="str">
        <f t="shared" si="4"/>
        <v/>
      </c>
      <c r="U45" s="194" t="str">
        <f t="shared" si="5"/>
        <v/>
      </c>
      <c r="V45" s="195" t="str">
        <f t="shared" si="2"/>
        <v/>
      </c>
      <c r="W45" s="336" t="str">
        <f t="shared" si="6"/>
        <v/>
      </c>
      <c r="X45" s="338" t="str">
        <f t="shared" si="7"/>
        <v/>
      </c>
      <c r="Y45" s="274"/>
      <c r="AR45" t="str">
        <f t="shared" si="9"/>
        <v/>
      </c>
      <c r="AS45" t="str">
        <f t="shared" si="10"/>
        <v/>
      </c>
    </row>
    <row r="46" spans="1:45">
      <c r="A46" s="291"/>
      <c r="B46" s="292"/>
      <c r="C46" s="293"/>
      <c r="D46" s="293"/>
      <c r="E46" s="293"/>
      <c r="F46" s="293"/>
      <c r="G46" s="294"/>
      <c r="H46" s="296"/>
      <c r="I46" s="295"/>
      <c r="J46" s="295"/>
      <c r="K46" s="296"/>
      <c r="L46" s="589"/>
      <c r="M46" s="590"/>
      <c r="N46" s="298"/>
      <c r="P46" s="190" t="str">
        <f>IF(R46 = "", "", COUNT(R$4:$R46))</f>
        <v/>
      </c>
      <c r="Q46" s="190" t="str">
        <f t="shared" si="0"/>
        <v/>
      </c>
      <c r="R46" s="191" t="str">
        <f t="shared" si="1"/>
        <v/>
      </c>
      <c r="S46" s="192" t="str">
        <f t="shared" si="3"/>
        <v/>
      </c>
      <c r="T46" s="193" t="str">
        <f t="shared" si="4"/>
        <v/>
      </c>
      <c r="U46" s="194" t="str">
        <f t="shared" si="5"/>
        <v/>
      </c>
      <c r="V46" s="195" t="str">
        <f t="shared" si="2"/>
        <v/>
      </c>
      <c r="W46" s="336" t="str">
        <f t="shared" si="6"/>
        <v/>
      </c>
      <c r="X46" s="338" t="str">
        <f t="shared" si="7"/>
        <v/>
      </c>
      <c r="Y46" s="274"/>
      <c r="AR46" t="str">
        <f t="shared" si="9"/>
        <v/>
      </c>
      <c r="AS46" t="str">
        <f t="shared" si="10"/>
        <v/>
      </c>
    </row>
    <row r="47" spans="1:45">
      <c r="A47" s="291"/>
      <c r="B47" s="292"/>
      <c r="C47" s="293"/>
      <c r="D47" s="293"/>
      <c r="E47" s="293"/>
      <c r="F47" s="293"/>
      <c r="G47" s="294"/>
      <c r="H47" s="296"/>
      <c r="I47" s="295"/>
      <c r="J47" s="295"/>
      <c r="K47" s="296"/>
      <c r="L47" s="589"/>
      <c r="M47" s="590"/>
      <c r="N47" s="298"/>
      <c r="P47" s="190" t="str">
        <f>IF(R47 = "", "", COUNT(R$4:$R47))</f>
        <v/>
      </c>
      <c r="Q47" s="190" t="str">
        <f t="shared" si="0"/>
        <v/>
      </c>
      <c r="R47" s="191" t="str">
        <f t="shared" si="1"/>
        <v/>
      </c>
      <c r="S47" s="192" t="str">
        <f t="shared" si="3"/>
        <v/>
      </c>
      <c r="T47" s="193" t="str">
        <f t="shared" si="4"/>
        <v/>
      </c>
      <c r="U47" s="194" t="str">
        <f t="shared" si="5"/>
        <v/>
      </c>
      <c r="V47" s="195" t="str">
        <f t="shared" si="2"/>
        <v/>
      </c>
      <c r="W47" s="336" t="str">
        <f t="shared" si="6"/>
        <v/>
      </c>
      <c r="X47" s="338" t="str">
        <f t="shared" si="7"/>
        <v/>
      </c>
      <c r="Y47" s="274"/>
      <c r="AR47" t="str">
        <f t="shared" si="9"/>
        <v/>
      </c>
      <c r="AS47" t="str">
        <f t="shared" si="10"/>
        <v/>
      </c>
    </row>
    <row r="48" spans="1:45">
      <c r="A48" s="291"/>
      <c r="B48" s="292"/>
      <c r="C48" s="293"/>
      <c r="D48" s="293"/>
      <c r="E48" s="293"/>
      <c r="F48" s="293"/>
      <c r="G48" s="294"/>
      <c r="H48" s="296"/>
      <c r="I48" s="295"/>
      <c r="J48" s="295"/>
      <c r="K48" s="296"/>
      <c r="L48" s="589"/>
      <c r="M48" s="590"/>
      <c r="N48" s="298"/>
      <c r="P48" s="190" t="str">
        <f>IF(R48 = "", "", COUNT(R$4:$R48))</f>
        <v/>
      </c>
      <c r="Q48" s="190" t="str">
        <f t="shared" si="0"/>
        <v/>
      </c>
      <c r="R48" s="191" t="str">
        <f t="shared" si="1"/>
        <v/>
      </c>
      <c r="S48" s="192" t="str">
        <f t="shared" si="3"/>
        <v/>
      </c>
      <c r="T48" s="193" t="str">
        <f t="shared" si="4"/>
        <v/>
      </c>
      <c r="U48" s="194" t="str">
        <f t="shared" si="5"/>
        <v/>
      </c>
      <c r="V48" s="195" t="str">
        <f t="shared" si="2"/>
        <v/>
      </c>
      <c r="W48" s="336" t="str">
        <f t="shared" si="6"/>
        <v/>
      </c>
      <c r="X48" s="338" t="str">
        <f t="shared" si="7"/>
        <v/>
      </c>
      <c r="Y48" s="274"/>
      <c r="AR48" t="str">
        <f t="shared" si="9"/>
        <v/>
      </c>
      <c r="AS48" t="str">
        <f t="shared" si="10"/>
        <v/>
      </c>
    </row>
    <row r="49" spans="1:45">
      <c r="A49" s="291"/>
      <c r="B49" s="292"/>
      <c r="C49" s="293"/>
      <c r="D49" s="293"/>
      <c r="E49" s="293"/>
      <c r="F49" s="293"/>
      <c r="G49" s="294"/>
      <c r="H49" s="296"/>
      <c r="I49" s="295"/>
      <c r="J49" s="295"/>
      <c r="K49" s="296"/>
      <c r="L49" s="589"/>
      <c r="M49" s="590"/>
      <c r="N49" s="298"/>
      <c r="P49" s="190" t="str">
        <f>IF(R49 = "", "", COUNT(R$4:$R49))</f>
        <v/>
      </c>
      <c r="Q49" s="190" t="str">
        <f t="shared" si="0"/>
        <v/>
      </c>
      <c r="R49" s="191" t="str">
        <f t="shared" si="1"/>
        <v/>
      </c>
      <c r="S49" s="192" t="str">
        <f t="shared" si="3"/>
        <v/>
      </c>
      <c r="T49" s="193" t="str">
        <f t="shared" si="4"/>
        <v/>
      </c>
      <c r="U49" s="194" t="str">
        <f t="shared" si="5"/>
        <v/>
      </c>
      <c r="V49" s="195" t="str">
        <f t="shared" si="2"/>
        <v/>
      </c>
      <c r="W49" s="336" t="str">
        <f t="shared" si="6"/>
        <v/>
      </c>
      <c r="X49" s="338" t="str">
        <f t="shared" si="7"/>
        <v/>
      </c>
      <c r="Y49" s="274"/>
      <c r="AR49" t="str">
        <f t="shared" si="9"/>
        <v/>
      </c>
      <c r="AS49" t="str">
        <f t="shared" si="10"/>
        <v/>
      </c>
    </row>
    <row r="50" spans="1:45">
      <c r="A50" s="291"/>
      <c r="B50" s="292"/>
      <c r="C50" s="293"/>
      <c r="D50" s="293"/>
      <c r="E50" s="293"/>
      <c r="F50" s="293"/>
      <c r="G50" s="294"/>
      <c r="H50" s="296"/>
      <c r="I50" s="295"/>
      <c r="J50" s="295"/>
      <c r="K50" s="296"/>
      <c r="L50" s="589"/>
      <c r="M50" s="590"/>
      <c r="N50" s="298"/>
      <c r="P50" s="190" t="str">
        <f>IF(R50 = "", "", COUNT(R$4:$R50))</f>
        <v/>
      </c>
      <c r="Q50" s="190" t="str">
        <f t="shared" si="0"/>
        <v/>
      </c>
      <c r="R50" s="191" t="str">
        <f t="shared" si="1"/>
        <v/>
      </c>
      <c r="S50" s="192" t="str">
        <f t="shared" si="3"/>
        <v/>
      </c>
      <c r="T50" s="193" t="str">
        <f t="shared" si="4"/>
        <v/>
      </c>
      <c r="U50" s="194" t="str">
        <f t="shared" si="5"/>
        <v/>
      </c>
      <c r="V50" s="195" t="str">
        <f t="shared" si="2"/>
        <v/>
      </c>
      <c r="W50" s="336" t="str">
        <f t="shared" si="6"/>
        <v/>
      </c>
      <c r="X50" s="338" t="str">
        <f t="shared" si="7"/>
        <v/>
      </c>
      <c r="Y50" s="274"/>
      <c r="AR50" t="str">
        <f t="shared" si="9"/>
        <v/>
      </c>
      <c r="AS50" t="str">
        <f t="shared" si="10"/>
        <v/>
      </c>
    </row>
    <row r="51" spans="1:45">
      <c r="A51" s="291"/>
      <c r="B51" s="292"/>
      <c r="C51" s="293"/>
      <c r="D51" s="293"/>
      <c r="E51" s="293"/>
      <c r="F51" s="293"/>
      <c r="G51" s="294"/>
      <c r="H51" s="296"/>
      <c r="I51" s="295"/>
      <c r="J51" s="295"/>
      <c r="K51" s="296"/>
      <c r="L51" s="589"/>
      <c r="M51" s="590"/>
      <c r="N51" s="298"/>
      <c r="P51" s="190" t="str">
        <f>IF(R51 = "", "", COUNT(R$4:$R51))</f>
        <v/>
      </c>
      <c r="Q51" s="190" t="str">
        <f t="shared" si="0"/>
        <v/>
      </c>
      <c r="R51" s="191" t="str">
        <f t="shared" si="1"/>
        <v/>
      </c>
      <c r="S51" s="192" t="str">
        <f t="shared" si="3"/>
        <v/>
      </c>
      <c r="T51" s="193" t="str">
        <f t="shared" si="4"/>
        <v/>
      </c>
      <c r="U51" s="194" t="str">
        <f t="shared" si="5"/>
        <v/>
      </c>
      <c r="V51" s="195" t="str">
        <f t="shared" si="2"/>
        <v/>
      </c>
      <c r="W51" s="336" t="str">
        <f t="shared" si="6"/>
        <v/>
      </c>
      <c r="X51" s="338" t="str">
        <f t="shared" si="7"/>
        <v/>
      </c>
      <c r="Y51" s="274"/>
      <c r="AR51" t="str">
        <f t="shared" si="9"/>
        <v/>
      </c>
      <c r="AS51" t="str">
        <f t="shared" si="10"/>
        <v/>
      </c>
    </row>
    <row r="52" spans="1:45">
      <c r="A52" s="291"/>
      <c r="B52" s="292"/>
      <c r="C52" s="293"/>
      <c r="D52" s="293"/>
      <c r="E52" s="293"/>
      <c r="F52" s="293"/>
      <c r="G52" s="294"/>
      <c r="H52" s="296"/>
      <c r="I52" s="295"/>
      <c r="J52" s="295"/>
      <c r="K52" s="296"/>
      <c r="L52" s="589"/>
      <c r="M52" s="590"/>
      <c r="N52" s="298"/>
      <c r="P52" s="190" t="str">
        <f>IF(R52 = "", "", COUNT(R$4:$R52))</f>
        <v/>
      </c>
      <c r="Q52" s="190" t="str">
        <f t="shared" si="0"/>
        <v/>
      </c>
      <c r="R52" s="191" t="str">
        <f t="shared" si="1"/>
        <v/>
      </c>
      <c r="S52" s="192" t="str">
        <f t="shared" si="3"/>
        <v/>
      </c>
      <c r="T52" s="193" t="str">
        <f t="shared" si="4"/>
        <v/>
      </c>
      <c r="U52" s="194" t="str">
        <f t="shared" si="5"/>
        <v/>
      </c>
      <c r="V52" s="195" t="str">
        <f t="shared" si="2"/>
        <v/>
      </c>
      <c r="W52" s="336" t="str">
        <f t="shared" si="6"/>
        <v/>
      </c>
      <c r="X52" s="338" t="str">
        <f t="shared" si="7"/>
        <v/>
      </c>
      <c r="Y52" s="274"/>
      <c r="AR52" t="str">
        <f t="shared" si="9"/>
        <v/>
      </c>
      <c r="AS52" t="str">
        <f t="shared" si="10"/>
        <v/>
      </c>
    </row>
    <row r="53" spans="1:45">
      <c r="A53" s="291"/>
      <c r="B53" s="292"/>
      <c r="C53" s="293"/>
      <c r="D53" s="293"/>
      <c r="E53" s="293"/>
      <c r="F53" s="293"/>
      <c r="G53" s="294"/>
      <c r="H53" s="296"/>
      <c r="I53" s="295"/>
      <c r="J53" s="295"/>
      <c r="K53" s="296"/>
      <c r="L53" s="589"/>
      <c r="M53" s="590"/>
      <c r="N53" s="298"/>
      <c r="P53" s="190" t="str">
        <f>IF(R53 = "", "", COUNT(R$4:$R53))</f>
        <v/>
      </c>
      <c r="Q53" s="190" t="str">
        <f t="shared" si="0"/>
        <v/>
      </c>
      <c r="R53" s="191" t="str">
        <f t="shared" si="1"/>
        <v/>
      </c>
      <c r="S53" s="192" t="str">
        <f t="shared" si="3"/>
        <v/>
      </c>
      <c r="T53" s="193" t="str">
        <f t="shared" si="4"/>
        <v/>
      </c>
      <c r="U53" s="194" t="str">
        <f t="shared" si="5"/>
        <v/>
      </c>
      <c r="V53" s="195" t="str">
        <f t="shared" si="2"/>
        <v/>
      </c>
      <c r="W53" s="336" t="str">
        <f t="shared" si="6"/>
        <v/>
      </c>
      <c r="X53" s="338" t="str">
        <f t="shared" si="7"/>
        <v/>
      </c>
      <c r="Y53" s="274"/>
      <c r="AR53" t="str">
        <f t="shared" si="9"/>
        <v/>
      </c>
      <c r="AS53" t="str">
        <f t="shared" si="10"/>
        <v/>
      </c>
    </row>
    <row r="54" spans="1:45">
      <c r="A54" s="291"/>
      <c r="B54" s="292"/>
      <c r="C54" s="293"/>
      <c r="D54" s="293"/>
      <c r="E54" s="293"/>
      <c r="F54" s="293"/>
      <c r="G54" s="294"/>
      <c r="H54" s="296"/>
      <c r="I54" s="295"/>
      <c r="J54" s="295"/>
      <c r="K54" s="296"/>
      <c r="L54" s="589"/>
      <c r="M54" s="590"/>
      <c r="N54" s="298"/>
      <c r="P54" s="190" t="str">
        <f>IF(R54 = "", "", COUNT(R$4:$R54))</f>
        <v/>
      </c>
      <c r="Q54" s="190" t="str">
        <f t="shared" si="0"/>
        <v/>
      </c>
      <c r="R54" s="191" t="str">
        <f t="shared" si="1"/>
        <v/>
      </c>
      <c r="S54" s="192" t="str">
        <f t="shared" si="3"/>
        <v/>
      </c>
      <c r="T54" s="193" t="str">
        <f t="shared" si="4"/>
        <v/>
      </c>
      <c r="U54" s="194" t="str">
        <f t="shared" si="5"/>
        <v/>
      </c>
      <c r="V54" s="195" t="str">
        <f t="shared" si="2"/>
        <v/>
      </c>
      <c r="W54" s="336" t="str">
        <f t="shared" si="6"/>
        <v/>
      </c>
      <c r="X54" s="338" t="str">
        <f t="shared" si="7"/>
        <v/>
      </c>
      <c r="Y54" s="274"/>
      <c r="AR54" t="str">
        <f t="shared" si="9"/>
        <v/>
      </c>
      <c r="AS54" t="str">
        <f t="shared" si="10"/>
        <v/>
      </c>
    </row>
    <row r="55" spans="1:45">
      <c r="A55" s="291"/>
      <c r="B55" s="292"/>
      <c r="C55" s="293"/>
      <c r="D55" s="293"/>
      <c r="E55" s="293"/>
      <c r="F55" s="293"/>
      <c r="G55" s="294"/>
      <c r="H55" s="296"/>
      <c r="I55" s="295"/>
      <c r="J55" s="295"/>
      <c r="K55" s="296"/>
      <c r="L55" s="589"/>
      <c r="M55" s="590"/>
      <c r="N55" s="298"/>
      <c r="P55" s="190" t="str">
        <f>IF(R55 = "", "", COUNT(R$4:$R55))</f>
        <v/>
      </c>
      <c r="Q55" s="190" t="str">
        <f t="shared" si="0"/>
        <v/>
      </c>
      <c r="R55" s="191" t="str">
        <f t="shared" si="1"/>
        <v/>
      </c>
      <c r="S55" s="192" t="str">
        <f t="shared" si="3"/>
        <v/>
      </c>
      <c r="T55" s="193" t="str">
        <f t="shared" si="4"/>
        <v/>
      </c>
      <c r="U55" s="194" t="str">
        <f t="shared" si="5"/>
        <v/>
      </c>
      <c r="V55" s="195" t="str">
        <f t="shared" si="2"/>
        <v/>
      </c>
      <c r="W55" s="336" t="str">
        <f t="shared" si="6"/>
        <v/>
      </c>
      <c r="X55" s="338" t="str">
        <f t="shared" si="7"/>
        <v/>
      </c>
      <c r="Y55" s="274"/>
      <c r="AR55" t="str">
        <f t="shared" si="9"/>
        <v/>
      </c>
      <c r="AS55" t="str">
        <f t="shared" si="10"/>
        <v/>
      </c>
    </row>
    <row r="56" spans="1:45">
      <c r="A56" s="291"/>
      <c r="B56" s="292"/>
      <c r="C56" s="293"/>
      <c r="D56" s="293"/>
      <c r="E56" s="293"/>
      <c r="F56" s="293"/>
      <c r="G56" s="294"/>
      <c r="H56" s="296"/>
      <c r="I56" s="295"/>
      <c r="J56" s="295"/>
      <c r="K56" s="296"/>
      <c r="L56" s="589"/>
      <c r="M56" s="590"/>
      <c r="N56" s="298"/>
      <c r="P56" s="190" t="str">
        <f>IF(R56 = "", "", COUNT(R$4:$R56))</f>
        <v/>
      </c>
      <c r="Q56" s="190" t="str">
        <f t="shared" si="0"/>
        <v/>
      </c>
      <c r="R56" s="191" t="str">
        <f t="shared" si="1"/>
        <v/>
      </c>
      <c r="S56" s="192" t="str">
        <f t="shared" si="3"/>
        <v/>
      </c>
      <c r="T56" s="193" t="str">
        <f t="shared" si="4"/>
        <v/>
      </c>
      <c r="U56" s="194" t="str">
        <f t="shared" si="5"/>
        <v/>
      </c>
      <c r="V56" s="195" t="str">
        <f t="shared" si="2"/>
        <v/>
      </c>
      <c r="W56" s="336" t="str">
        <f t="shared" si="6"/>
        <v/>
      </c>
      <c r="X56" s="338" t="str">
        <f t="shared" si="7"/>
        <v/>
      </c>
      <c r="Y56" s="274"/>
      <c r="AR56" t="str">
        <f t="shared" si="9"/>
        <v/>
      </c>
      <c r="AS56" t="str">
        <f t="shared" si="10"/>
        <v/>
      </c>
    </row>
    <row r="57" spans="1:45">
      <c r="A57" s="291"/>
      <c r="B57" s="292"/>
      <c r="C57" s="293"/>
      <c r="D57" s="293"/>
      <c r="E57" s="293"/>
      <c r="F57" s="293"/>
      <c r="G57" s="294"/>
      <c r="H57" s="296"/>
      <c r="I57" s="295"/>
      <c r="J57" s="295"/>
      <c r="K57" s="296"/>
      <c r="L57" s="589"/>
      <c r="M57" s="590"/>
      <c r="N57" s="298"/>
      <c r="P57" s="190" t="str">
        <f>IF(R57 = "", "", COUNT(R$4:$R57))</f>
        <v/>
      </c>
      <c r="Q57" s="190" t="str">
        <f t="shared" si="0"/>
        <v/>
      </c>
      <c r="R57" s="191" t="str">
        <f t="shared" si="1"/>
        <v/>
      </c>
      <c r="S57" s="192" t="str">
        <f t="shared" si="3"/>
        <v/>
      </c>
      <c r="T57" s="193" t="str">
        <f t="shared" si="4"/>
        <v/>
      </c>
      <c r="U57" s="194" t="str">
        <f t="shared" si="5"/>
        <v/>
      </c>
      <c r="V57" s="195" t="str">
        <f t="shared" si="2"/>
        <v/>
      </c>
      <c r="W57" s="336" t="str">
        <f t="shared" si="6"/>
        <v/>
      </c>
      <c r="X57" s="338" t="str">
        <f t="shared" si="7"/>
        <v/>
      </c>
      <c r="Y57" s="274"/>
      <c r="AR57" t="str">
        <f t="shared" si="9"/>
        <v/>
      </c>
      <c r="AS57" t="str">
        <f t="shared" si="10"/>
        <v/>
      </c>
    </row>
    <row r="58" spans="1:45">
      <c r="A58" s="291"/>
      <c r="B58" s="292"/>
      <c r="C58" s="293"/>
      <c r="D58" s="293"/>
      <c r="E58" s="293"/>
      <c r="F58" s="293"/>
      <c r="G58" s="294"/>
      <c r="H58" s="296"/>
      <c r="I58" s="295"/>
      <c r="J58" s="295"/>
      <c r="K58" s="296"/>
      <c r="L58" s="589"/>
      <c r="M58" s="590"/>
      <c r="N58" s="298"/>
      <c r="P58" s="190" t="str">
        <f>IF(R58 = "", "", COUNT(R$4:$R58))</f>
        <v/>
      </c>
      <c r="Q58" s="190" t="str">
        <f t="shared" si="0"/>
        <v/>
      </c>
      <c r="R58" s="191" t="str">
        <f t="shared" si="1"/>
        <v/>
      </c>
      <c r="S58" s="192" t="str">
        <f t="shared" si="3"/>
        <v/>
      </c>
      <c r="T58" s="193" t="str">
        <f t="shared" si="4"/>
        <v/>
      </c>
      <c r="U58" s="194" t="str">
        <f t="shared" si="5"/>
        <v/>
      </c>
      <c r="V58" s="195" t="str">
        <f t="shared" si="2"/>
        <v/>
      </c>
      <c r="W58" s="336" t="str">
        <f t="shared" si="6"/>
        <v/>
      </c>
      <c r="X58" s="338" t="str">
        <f t="shared" si="7"/>
        <v/>
      </c>
      <c r="Y58" s="274"/>
      <c r="AR58" t="str">
        <f t="shared" si="9"/>
        <v/>
      </c>
      <c r="AS58" t="str">
        <f t="shared" si="10"/>
        <v/>
      </c>
    </row>
    <row r="59" spans="1:45">
      <c r="A59" s="291"/>
      <c r="B59" s="292"/>
      <c r="C59" s="293"/>
      <c r="D59" s="293"/>
      <c r="E59" s="293"/>
      <c r="F59" s="293"/>
      <c r="G59" s="294"/>
      <c r="H59" s="296"/>
      <c r="I59" s="295"/>
      <c r="J59" s="295"/>
      <c r="K59" s="296"/>
      <c r="L59" s="589"/>
      <c r="M59" s="590"/>
      <c r="N59" s="298"/>
      <c r="P59" s="190" t="str">
        <f>IF(R59 = "", "", COUNT(R$4:$R59))</f>
        <v/>
      </c>
      <c r="Q59" s="190" t="str">
        <f t="shared" si="0"/>
        <v/>
      </c>
      <c r="R59" s="191" t="str">
        <f t="shared" si="1"/>
        <v/>
      </c>
      <c r="S59" s="192" t="str">
        <f t="shared" si="3"/>
        <v/>
      </c>
      <c r="T59" s="193" t="str">
        <f t="shared" si="4"/>
        <v/>
      </c>
      <c r="U59" s="194" t="str">
        <f t="shared" si="5"/>
        <v/>
      </c>
      <c r="V59" s="195" t="str">
        <f t="shared" si="2"/>
        <v/>
      </c>
      <c r="W59" s="336" t="str">
        <f t="shared" si="6"/>
        <v/>
      </c>
      <c r="X59" s="338" t="str">
        <f t="shared" si="7"/>
        <v/>
      </c>
      <c r="Y59" s="274"/>
      <c r="AR59" t="str">
        <f t="shared" si="9"/>
        <v/>
      </c>
      <c r="AS59" t="str">
        <f t="shared" si="10"/>
        <v/>
      </c>
    </row>
    <row r="60" spans="1:45">
      <c r="A60" s="291"/>
      <c r="B60" s="292"/>
      <c r="C60" s="293"/>
      <c r="D60" s="293"/>
      <c r="E60" s="293"/>
      <c r="F60" s="293"/>
      <c r="G60" s="294"/>
      <c r="H60" s="296"/>
      <c r="I60" s="295"/>
      <c r="J60" s="295"/>
      <c r="K60" s="296"/>
      <c r="L60" s="589"/>
      <c r="M60" s="590"/>
      <c r="N60" s="298"/>
      <c r="P60" s="190" t="str">
        <f>IF(R60 = "", "", COUNT(R$4:$R60))</f>
        <v/>
      </c>
      <c r="Q60" s="190" t="str">
        <f t="shared" si="0"/>
        <v/>
      </c>
      <c r="R60" s="191" t="str">
        <f t="shared" si="1"/>
        <v/>
      </c>
      <c r="S60" s="192" t="str">
        <f t="shared" si="3"/>
        <v/>
      </c>
      <c r="T60" s="193" t="str">
        <f t="shared" si="4"/>
        <v/>
      </c>
      <c r="U60" s="194" t="str">
        <f t="shared" si="5"/>
        <v/>
      </c>
      <c r="V60" s="195" t="str">
        <f t="shared" si="2"/>
        <v/>
      </c>
      <c r="W60" s="336" t="str">
        <f t="shared" si="6"/>
        <v/>
      </c>
      <c r="X60" s="338" t="str">
        <f t="shared" si="7"/>
        <v/>
      </c>
      <c r="Y60" s="274"/>
      <c r="AR60" t="str">
        <f t="shared" si="9"/>
        <v/>
      </c>
      <c r="AS60" t="str">
        <f t="shared" si="10"/>
        <v/>
      </c>
    </row>
    <row r="61" spans="1:45">
      <c r="A61" s="291"/>
      <c r="B61" s="292"/>
      <c r="C61" s="293"/>
      <c r="D61" s="293"/>
      <c r="E61" s="293"/>
      <c r="F61" s="293"/>
      <c r="G61" s="294"/>
      <c r="H61" s="296"/>
      <c r="I61" s="295"/>
      <c r="J61" s="295"/>
      <c r="K61" s="296"/>
      <c r="L61" s="589"/>
      <c r="M61" s="590"/>
      <c r="N61" s="298"/>
      <c r="P61" s="190" t="str">
        <f>IF(R61 = "", "", COUNT(R$4:$R61))</f>
        <v/>
      </c>
      <c r="Q61" s="190" t="str">
        <f t="shared" si="0"/>
        <v/>
      </c>
      <c r="R61" s="191" t="str">
        <f t="shared" si="1"/>
        <v/>
      </c>
      <c r="S61" s="192" t="str">
        <f t="shared" si="3"/>
        <v/>
      </c>
      <c r="T61" s="193" t="str">
        <f t="shared" si="4"/>
        <v/>
      </c>
      <c r="U61" s="194" t="str">
        <f t="shared" si="5"/>
        <v/>
      </c>
      <c r="V61" s="195" t="str">
        <f t="shared" si="2"/>
        <v/>
      </c>
      <c r="W61" s="336" t="str">
        <f t="shared" si="6"/>
        <v/>
      </c>
      <c r="X61" s="338" t="str">
        <f t="shared" si="7"/>
        <v/>
      </c>
      <c r="Y61" s="274"/>
      <c r="AR61" t="str">
        <f t="shared" si="9"/>
        <v/>
      </c>
      <c r="AS61" t="str">
        <f t="shared" si="10"/>
        <v/>
      </c>
    </row>
    <row r="62" spans="1:45">
      <c r="A62" s="291"/>
      <c r="B62" s="292"/>
      <c r="C62" s="293"/>
      <c r="D62" s="293"/>
      <c r="E62" s="293"/>
      <c r="F62" s="293"/>
      <c r="G62" s="294"/>
      <c r="H62" s="296"/>
      <c r="I62" s="295"/>
      <c r="J62" s="295"/>
      <c r="K62" s="296"/>
      <c r="L62" s="589"/>
      <c r="M62" s="590"/>
      <c r="N62" s="298"/>
      <c r="P62" s="190" t="str">
        <f>IF(R62 = "", "", COUNT(R$4:$R62))</f>
        <v/>
      </c>
      <c r="Q62" s="190" t="str">
        <f t="shared" si="0"/>
        <v/>
      </c>
      <c r="R62" s="191" t="str">
        <f t="shared" si="1"/>
        <v/>
      </c>
      <c r="S62" s="192" t="str">
        <f t="shared" si="3"/>
        <v/>
      </c>
      <c r="T62" s="193" t="str">
        <f t="shared" si="4"/>
        <v/>
      </c>
      <c r="U62" s="194" t="str">
        <f t="shared" si="5"/>
        <v/>
      </c>
      <c r="V62" s="195" t="str">
        <f t="shared" si="2"/>
        <v/>
      </c>
      <c r="W62" s="336" t="str">
        <f t="shared" si="6"/>
        <v/>
      </c>
      <c r="X62" s="338" t="str">
        <f t="shared" si="7"/>
        <v/>
      </c>
      <c r="Y62" s="274"/>
      <c r="AR62" t="str">
        <f t="shared" si="9"/>
        <v/>
      </c>
      <c r="AS62" t="str">
        <f t="shared" si="10"/>
        <v/>
      </c>
    </row>
    <row r="63" spans="1:45">
      <c r="A63" s="291"/>
      <c r="B63" s="292"/>
      <c r="C63" s="293"/>
      <c r="D63" s="293"/>
      <c r="E63" s="293"/>
      <c r="F63" s="293"/>
      <c r="G63" s="294"/>
      <c r="H63" s="296"/>
      <c r="I63" s="295"/>
      <c r="J63" s="295"/>
      <c r="K63" s="296"/>
      <c r="L63" s="589"/>
      <c r="M63" s="590"/>
      <c r="N63" s="298"/>
      <c r="P63" s="190" t="str">
        <f>IF(R63 = "", "", COUNT(R$4:$R63))</f>
        <v/>
      </c>
      <c r="Q63" s="190" t="str">
        <f t="shared" si="0"/>
        <v/>
      </c>
      <c r="R63" s="191" t="str">
        <f t="shared" si="1"/>
        <v/>
      </c>
      <c r="S63" s="192" t="str">
        <f t="shared" si="3"/>
        <v/>
      </c>
      <c r="T63" s="193" t="str">
        <f t="shared" si="4"/>
        <v/>
      </c>
      <c r="U63" s="194" t="str">
        <f t="shared" si="5"/>
        <v/>
      </c>
      <c r="V63" s="195" t="str">
        <f t="shared" si="2"/>
        <v/>
      </c>
      <c r="W63" s="336" t="str">
        <f t="shared" si="6"/>
        <v/>
      </c>
      <c r="X63" s="338" t="str">
        <f t="shared" si="7"/>
        <v/>
      </c>
      <c r="Y63" s="274"/>
      <c r="AR63" t="str">
        <f t="shared" si="9"/>
        <v/>
      </c>
      <c r="AS63" t="str">
        <f t="shared" si="10"/>
        <v/>
      </c>
    </row>
    <row r="64" spans="1:45">
      <c r="A64" s="291"/>
      <c r="B64" s="292"/>
      <c r="C64" s="293"/>
      <c r="D64" s="293"/>
      <c r="E64" s="293"/>
      <c r="F64" s="293"/>
      <c r="G64" s="294"/>
      <c r="H64" s="296"/>
      <c r="I64" s="295"/>
      <c r="J64" s="295"/>
      <c r="K64" s="296"/>
      <c r="L64" s="589"/>
      <c r="M64" s="590"/>
      <c r="N64" s="298"/>
      <c r="P64" s="190" t="str">
        <f>IF(R64 = "", "", COUNT(R$4:$R64))</f>
        <v/>
      </c>
      <c r="Q64" s="190" t="str">
        <f t="shared" si="0"/>
        <v/>
      </c>
      <c r="R64" s="191" t="str">
        <f t="shared" si="1"/>
        <v/>
      </c>
      <c r="S64" s="192" t="str">
        <f t="shared" si="3"/>
        <v/>
      </c>
      <c r="T64" s="193" t="str">
        <f t="shared" si="4"/>
        <v/>
      </c>
      <c r="U64" s="194" t="str">
        <f t="shared" si="5"/>
        <v/>
      </c>
      <c r="V64" s="195" t="str">
        <f t="shared" si="2"/>
        <v/>
      </c>
      <c r="W64" s="336" t="str">
        <f t="shared" si="6"/>
        <v/>
      </c>
      <c r="X64" s="338" t="str">
        <f t="shared" si="7"/>
        <v/>
      </c>
      <c r="Y64" s="274"/>
      <c r="AR64" t="str">
        <f t="shared" si="9"/>
        <v/>
      </c>
      <c r="AS64" t="str">
        <f t="shared" si="10"/>
        <v/>
      </c>
    </row>
    <row r="65" spans="1:45">
      <c r="A65" s="291"/>
      <c r="B65" s="292"/>
      <c r="C65" s="293"/>
      <c r="D65" s="293"/>
      <c r="E65" s="293"/>
      <c r="F65" s="293"/>
      <c r="G65" s="294"/>
      <c r="H65" s="296"/>
      <c r="I65" s="295"/>
      <c r="J65" s="295"/>
      <c r="K65" s="296"/>
      <c r="L65" s="589"/>
      <c r="M65" s="590"/>
      <c r="N65" s="298"/>
      <c r="P65" s="190" t="str">
        <f>IF(R65 = "", "", COUNT(R$4:$R65))</f>
        <v/>
      </c>
      <c r="Q65" s="190" t="str">
        <f t="shared" si="0"/>
        <v/>
      </c>
      <c r="R65" s="191" t="str">
        <f t="shared" si="1"/>
        <v/>
      </c>
      <c r="S65" s="192" t="str">
        <f t="shared" si="3"/>
        <v/>
      </c>
      <c r="T65" s="193" t="str">
        <f t="shared" si="4"/>
        <v/>
      </c>
      <c r="U65" s="194" t="str">
        <f t="shared" si="5"/>
        <v/>
      </c>
      <c r="V65" s="195" t="str">
        <f t="shared" si="2"/>
        <v/>
      </c>
      <c r="W65" s="336" t="str">
        <f t="shared" si="6"/>
        <v/>
      </c>
      <c r="X65" s="338" t="str">
        <f t="shared" si="7"/>
        <v/>
      </c>
      <c r="Y65" s="274"/>
      <c r="AR65" t="str">
        <f t="shared" si="9"/>
        <v/>
      </c>
      <c r="AS65" t="str">
        <f t="shared" si="10"/>
        <v/>
      </c>
    </row>
    <row r="66" spans="1:45">
      <c r="A66" s="291"/>
      <c r="B66" s="292"/>
      <c r="C66" s="293"/>
      <c r="D66" s="293"/>
      <c r="E66" s="293"/>
      <c r="F66" s="293"/>
      <c r="G66" s="294"/>
      <c r="H66" s="296"/>
      <c r="I66" s="295"/>
      <c r="J66" s="295"/>
      <c r="K66" s="296"/>
      <c r="L66" s="589"/>
      <c r="M66" s="590"/>
      <c r="N66" s="298"/>
      <c r="P66" s="190" t="str">
        <f>IF(R66 = "", "", COUNT(R$4:$R66))</f>
        <v/>
      </c>
      <c r="Q66" s="190" t="str">
        <f t="shared" si="0"/>
        <v/>
      </c>
      <c r="R66" s="191" t="str">
        <f t="shared" si="1"/>
        <v/>
      </c>
      <c r="S66" s="192" t="str">
        <f t="shared" si="3"/>
        <v/>
      </c>
      <c r="T66" s="193" t="str">
        <f t="shared" si="4"/>
        <v/>
      </c>
      <c r="U66" s="194" t="str">
        <f t="shared" si="5"/>
        <v/>
      </c>
      <c r="V66" s="195" t="str">
        <f t="shared" si="2"/>
        <v/>
      </c>
      <c r="W66" s="336" t="str">
        <f t="shared" si="6"/>
        <v/>
      </c>
      <c r="X66" s="338" t="str">
        <f t="shared" si="7"/>
        <v/>
      </c>
      <c r="Y66" s="274"/>
      <c r="AR66" t="str">
        <f t="shared" si="9"/>
        <v/>
      </c>
      <c r="AS66" t="str">
        <f t="shared" si="10"/>
        <v/>
      </c>
    </row>
    <row r="67" spans="1:45">
      <c r="A67" s="291"/>
      <c r="B67" s="292"/>
      <c r="C67" s="293"/>
      <c r="D67" s="293"/>
      <c r="E67" s="293"/>
      <c r="F67" s="293"/>
      <c r="G67" s="294"/>
      <c r="H67" s="296"/>
      <c r="I67" s="295"/>
      <c r="J67" s="295"/>
      <c r="K67" s="296"/>
      <c r="L67" s="589"/>
      <c r="M67" s="590"/>
      <c r="N67" s="298"/>
      <c r="P67" s="190" t="str">
        <f>IF(R67 = "", "", COUNT(R$4:$R67))</f>
        <v/>
      </c>
      <c r="Q67" s="190" t="str">
        <f t="shared" si="0"/>
        <v/>
      </c>
      <c r="R67" s="191" t="str">
        <f t="shared" si="1"/>
        <v/>
      </c>
      <c r="S67" s="192" t="str">
        <f t="shared" si="3"/>
        <v/>
      </c>
      <c r="T67" s="193" t="str">
        <f t="shared" si="4"/>
        <v/>
      </c>
      <c r="U67" s="194" t="str">
        <f t="shared" si="5"/>
        <v/>
      </c>
      <c r="V67" s="195" t="str">
        <f t="shared" si="2"/>
        <v/>
      </c>
      <c r="W67" s="336" t="str">
        <f t="shared" si="6"/>
        <v/>
      </c>
      <c r="X67" s="338" t="str">
        <f t="shared" si="7"/>
        <v/>
      </c>
      <c r="Y67" s="274"/>
      <c r="AR67" t="str">
        <f t="shared" si="9"/>
        <v/>
      </c>
      <c r="AS67" t="str">
        <f t="shared" si="10"/>
        <v/>
      </c>
    </row>
    <row r="68" spans="1:45">
      <c r="A68" s="291"/>
      <c r="B68" s="292"/>
      <c r="C68" s="293"/>
      <c r="D68" s="293"/>
      <c r="E68" s="293"/>
      <c r="F68" s="293"/>
      <c r="G68" s="294"/>
      <c r="H68" s="296"/>
      <c r="I68" s="295"/>
      <c r="J68" s="295"/>
      <c r="K68" s="296"/>
      <c r="L68" s="589"/>
      <c r="M68" s="590"/>
      <c r="N68" s="298"/>
      <c r="P68" s="190" t="str">
        <f>IF(R68 = "", "", COUNT(R$4:$R68))</f>
        <v/>
      </c>
      <c r="Q68" s="190" t="str">
        <f t="shared" ref="Q68:Q131" si="11">IF(C68 &gt; 0, YEAR(B68), "")</f>
        <v/>
      </c>
      <c r="R68" s="191" t="str">
        <f t="shared" ref="R68:R131" si="12">IF(A68="", "", IF(G68="",1,IF(G68="O",1,IF(G68="C",8.4,IF(G68="B",8.4,IF(G68="A",76.8,IF(G68="K",76.8,"ERR")))))))</f>
        <v/>
      </c>
      <c r="S68" s="192" t="str">
        <f t="shared" si="3"/>
        <v/>
      </c>
      <c r="T68" s="193" t="str">
        <f t="shared" si="4"/>
        <v/>
      </c>
      <c r="U68" s="194" t="str">
        <f t="shared" si="5"/>
        <v/>
      </c>
      <c r="V68" s="195" t="str">
        <f t="shared" ref="V68:V131" si="13">IF(IF(M68&lt;&gt;"",G68,"")=0, "O", IF(M68&lt;&gt;"",G68,""))</f>
        <v/>
      </c>
      <c r="W68" s="336" t="str">
        <f t="shared" si="6"/>
        <v/>
      </c>
      <c r="X68" s="338" t="str">
        <f t="shared" si="7"/>
        <v/>
      </c>
      <c r="Y68" s="274"/>
      <c r="AR68" t="str">
        <f t="shared" si="9"/>
        <v/>
      </c>
      <c r="AS68" t="str">
        <f t="shared" si="10"/>
        <v/>
      </c>
    </row>
    <row r="69" spans="1:45">
      <c r="A69" s="291"/>
      <c r="B69" s="292"/>
      <c r="C69" s="293"/>
      <c r="D69" s="293"/>
      <c r="E69" s="293"/>
      <c r="F69" s="293"/>
      <c r="G69" s="294"/>
      <c r="H69" s="296"/>
      <c r="I69" s="295"/>
      <c r="J69" s="295"/>
      <c r="K69" s="296"/>
      <c r="L69" s="589"/>
      <c r="M69" s="590"/>
      <c r="N69" s="298"/>
      <c r="P69" s="190" t="str">
        <f>IF(R69 = "", "", COUNT(R$4:$R69))</f>
        <v/>
      </c>
      <c r="Q69" s="190" t="str">
        <f t="shared" si="11"/>
        <v/>
      </c>
      <c r="R69" s="191" t="str">
        <f t="shared" si="12"/>
        <v/>
      </c>
      <c r="S69" s="192" t="str">
        <f t="shared" ref="S69:S132" si="14">IF(L69&lt;&gt;"",R69,"")</f>
        <v/>
      </c>
      <c r="T69" s="193" t="str">
        <f t="shared" ref="T69:T132" si="15">IF(IF(L69&lt;&gt;"",G69,"")=0, "O", IF(L69&lt;&gt;"",G69,""))</f>
        <v/>
      </c>
      <c r="U69" s="194" t="str">
        <f t="shared" ref="U69:U132" si="16">IF(M69&lt;&gt;"",R69,"")</f>
        <v/>
      </c>
      <c r="V69" s="195" t="str">
        <f t="shared" si="13"/>
        <v/>
      </c>
      <c r="W69" s="336" t="str">
        <f t="shared" ref="W69:W132" si="17">IF(N69&lt;&gt;"",R69,"")</f>
        <v/>
      </c>
      <c r="X69" s="338" t="str">
        <f t="shared" ref="X69:X132" si="18">IF(IF(N69&lt;&gt;"",G69,"")=0, "O", IF(N69&lt;&gt;"",G69,""))</f>
        <v/>
      </c>
      <c r="Y69" s="274"/>
      <c r="AR69" t="str">
        <f t="shared" ref="AR69:AR132" si="19">IF(P69&gt;0, P69, "")</f>
        <v/>
      </c>
      <c r="AS69" t="str">
        <f t="shared" ref="AS69:AS132" si="20">IF(OR(L69="Y",M69="Y",N69="Y"),"Y","")</f>
        <v/>
      </c>
    </row>
    <row r="70" spans="1:45">
      <c r="A70" s="291"/>
      <c r="B70" s="292"/>
      <c r="C70" s="293"/>
      <c r="D70" s="293"/>
      <c r="E70" s="293"/>
      <c r="F70" s="293"/>
      <c r="G70" s="294"/>
      <c r="H70" s="296"/>
      <c r="I70" s="295"/>
      <c r="J70" s="295"/>
      <c r="K70" s="296"/>
      <c r="L70" s="589"/>
      <c r="M70" s="590"/>
      <c r="N70" s="298"/>
      <c r="P70" s="190" t="str">
        <f>IF(R70 = "", "", COUNT(R$4:$R70))</f>
        <v/>
      </c>
      <c r="Q70" s="190" t="str">
        <f t="shared" si="11"/>
        <v/>
      </c>
      <c r="R70" s="191" t="str">
        <f t="shared" si="12"/>
        <v/>
      </c>
      <c r="S70" s="192" t="str">
        <f t="shared" si="14"/>
        <v/>
      </c>
      <c r="T70" s="193" t="str">
        <f t="shared" si="15"/>
        <v/>
      </c>
      <c r="U70" s="194" t="str">
        <f t="shared" si="16"/>
        <v/>
      </c>
      <c r="V70" s="195" t="str">
        <f t="shared" si="13"/>
        <v/>
      </c>
      <c r="W70" s="336" t="str">
        <f t="shared" si="17"/>
        <v/>
      </c>
      <c r="X70" s="338" t="str">
        <f t="shared" si="18"/>
        <v/>
      </c>
      <c r="Y70" s="274"/>
      <c r="AR70" t="str">
        <f t="shared" si="19"/>
        <v/>
      </c>
      <c r="AS70" t="str">
        <f t="shared" si="20"/>
        <v/>
      </c>
    </row>
    <row r="71" spans="1:45">
      <c r="A71" s="291"/>
      <c r="B71" s="292"/>
      <c r="C71" s="293"/>
      <c r="D71" s="293"/>
      <c r="E71" s="293"/>
      <c r="F71" s="293"/>
      <c r="G71" s="294"/>
      <c r="H71" s="296"/>
      <c r="I71" s="295"/>
      <c r="J71" s="295"/>
      <c r="K71" s="296"/>
      <c r="L71" s="589"/>
      <c r="M71" s="590"/>
      <c r="N71" s="298"/>
      <c r="P71" s="190" t="str">
        <f>IF(R71 = "", "", COUNT(R$4:$R71))</f>
        <v/>
      </c>
      <c r="Q71" s="190" t="str">
        <f t="shared" si="11"/>
        <v/>
      </c>
      <c r="R71" s="191" t="str">
        <f t="shared" si="12"/>
        <v/>
      </c>
      <c r="S71" s="192" t="str">
        <f t="shared" si="14"/>
        <v/>
      </c>
      <c r="T71" s="193" t="str">
        <f t="shared" si="15"/>
        <v/>
      </c>
      <c r="U71" s="194" t="str">
        <f t="shared" si="16"/>
        <v/>
      </c>
      <c r="V71" s="195" t="str">
        <f t="shared" si="13"/>
        <v/>
      </c>
      <c r="W71" s="336" t="str">
        <f t="shared" si="17"/>
        <v/>
      </c>
      <c r="X71" s="338" t="str">
        <f t="shared" si="18"/>
        <v/>
      </c>
      <c r="Y71" s="274"/>
      <c r="AR71" t="str">
        <f t="shared" si="19"/>
        <v/>
      </c>
      <c r="AS71" t="str">
        <f t="shared" si="20"/>
        <v/>
      </c>
    </row>
    <row r="72" spans="1:45">
      <c r="A72" s="291"/>
      <c r="B72" s="292"/>
      <c r="C72" s="293"/>
      <c r="D72" s="293"/>
      <c r="E72" s="293"/>
      <c r="F72" s="293"/>
      <c r="G72" s="294"/>
      <c r="H72" s="296"/>
      <c r="I72" s="295"/>
      <c r="J72" s="295"/>
      <c r="K72" s="296"/>
      <c r="L72" s="589"/>
      <c r="M72" s="590"/>
      <c r="N72" s="298"/>
      <c r="P72" s="190" t="str">
        <f>IF(R72 = "", "", COUNT(R$4:$R72))</f>
        <v/>
      </c>
      <c r="Q72" s="190" t="str">
        <f t="shared" si="11"/>
        <v/>
      </c>
      <c r="R72" s="191" t="str">
        <f t="shared" si="12"/>
        <v/>
      </c>
      <c r="S72" s="192" t="str">
        <f t="shared" si="14"/>
        <v/>
      </c>
      <c r="T72" s="193" t="str">
        <f t="shared" si="15"/>
        <v/>
      </c>
      <c r="U72" s="194" t="str">
        <f t="shared" si="16"/>
        <v/>
      </c>
      <c r="V72" s="195" t="str">
        <f t="shared" si="13"/>
        <v/>
      </c>
      <c r="W72" s="336" t="str">
        <f t="shared" si="17"/>
        <v/>
      </c>
      <c r="X72" s="338" t="str">
        <f t="shared" si="18"/>
        <v/>
      </c>
      <c r="Y72" s="274"/>
      <c r="AR72" t="str">
        <f t="shared" si="19"/>
        <v/>
      </c>
      <c r="AS72" t="str">
        <f t="shared" si="20"/>
        <v/>
      </c>
    </row>
    <row r="73" spans="1:45">
      <c r="A73" s="291"/>
      <c r="B73" s="292"/>
      <c r="C73" s="293"/>
      <c r="D73" s="293"/>
      <c r="E73" s="293"/>
      <c r="F73" s="293"/>
      <c r="G73" s="294"/>
      <c r="H73" s="296"/>
      <c r="I73" s="295"/>
      <c r="J73" s="295"/>
      <c r="K73" s="296"/>
      <c r="L73" s="589"/>
      <c r="M73" s="590"/>
      <c r="N73" s="298"/>
      <c r="P73" s="190" t="str">
        <f>IF(R73 = "", "", COUNT(R$4:$R73))</f>
        <v/>
      </c>
      <c r="Q73" s="190" t="str">
        <f t="shared" si="11"/>
        <v/>
      </c>
      <c r="R73" s="191" t="str">
        <f t="shared" si="12"/>
        <v/>
      </c>
      <c r="S73" s="192" t="str">
        <f t="shared" si="14"/>
        <v/>
      </c>
      <c r="T73" s="193" t="str">
        <f t="shared" si="15"/>
        <v/>
      </c>
      <c r="U73" s="194" t="str">
        <f t="shared" si="16"/>
        <v/>
      </c>
      <c r="V73" s="195" t="str">
        <f t="shared" si="13"/>
        <v/>
      </c>
      <c r="W73" s="336" t="str">
        <f t="shared" si="17"/>
        <v/>
      </c>
      <c r="X73" s="338" t="str">
        <f t="shared" si="18"/>
        <v/>
      </c>
      <c r="Y73" s="274"/>
      <c r="AR73" t="str">
        <f t="shared" si="19"/>
        <v/>
      </c>
      <c r="AS73" t="str">
        <f t="shared" si="20"/>
        <v/>
      </c>
    </row>
    <row r="74" spans="1:45">
      <c r="A74" s="291"/>
      <c r="B74" s="292"/>
      <c r="C74" s="293"/>
      <c r="D74" s="293"/>
      <c r="E74" s="293"/>
      <c r="F74" s="293"/>
      <c r="G74" s="294"/>
      <c r="H74" s="296"/>
      <c r="I74" s="295"/>
      <c r="J74" s="295"/>
      <c r="K74" s="296"/>
      <c r="L74" s="589"/>
      <c r="M74" s="590"/>
      <c r="N74" s="298"/>
      <c r="P74" s="190" t="str">
        <f>IF(R74 = "", "", COUNT(R$4:$R74))</f>
        <v/>
      </c>
      <c r="Q74" s="190" t="str">
        <f t="shared" si="11"/>
        <v/>
      </c>
      <c r="R74" s="191" t="str">
        <f t="shared" si="12"/>
        <v/>
      </c>
      <c r="S74" s="192" t="str">
        <f t="shared" si="14"/>
        <v/>
      </c>
      <c r="T74" s="193" t="str">
        <f t="shared" si="15"/>
        <v/>
      </c>
      <c r="U74" s="194" t="str">
        <f t="shared" si="16"/>
        <v/>
      </c>
      <c r="V74" s="195" t="str">
        <f t="shared" si="13"/>
        <v/>
      </c>
      <c r="W74" s="336" t="str">
        <f t="shared" si="17"/>
        <v/>
      </c>
      <c r="X74" s="338" t="str">
        <f t="shared" si="18"/>
        <v/>
      </c>
      <c r="Y74" s="274"/>
      <c r="AR74" t="str">
        <f t="shared" si="19"/>
        <v/>
      </c>
      <c r="AS74" t="str">
        <f t="shared" si="20"/>
        <v/>
      </c>
    </row>
    <row r="75" spans="1:45">
      <c r="A75" s="291"/>
      <c r="B75" s="292"/>
      <c r="C75" s="293"/>
      <c r="D75" s="293"/>
      <c r="E75" s="293"/>
      <c r="F75" s="293"/>
      <c r="G75" s="294"/>
      <c r="H75" s="296"/>
      <c r="I75" s="295"/>
      <c r="J75" s="295"/>
      <c r="K75" s="296"/>
      <c r="L75" s="589"/>
      <c r="M75" s="590"/>
      <c r="N75" s="298"/>
      <c r="P75" s="190" t="str">
        <f>IF(R75 = "", "", COUNT(R$4:$R75))</f>
        <v/>
      </c>
      <c r="Q75" s="190" t="str">
        <f t="shared" si="11"/>
        <v/>
      </c>
      <c r="R75" s="191" t="str">
        <f t="shared" si="12"/>
        <v/>
      </c>
      <c r="S75" s="192" t="str">
        <f t="shared" si="14"/>
        <v/>
      </c>
      <c r="T75" s="193" t="str">
        <f t="shared" si="15"/>
        <v/>
      </c>
      <c r="U75" s="194" t="str">
        <f t="shared" si="16"/>
        <v/>
      </c>
      <c r="V75" s="195" t="str">
        <f t="shared" si="13"/>
        <v/>
      </c>
      <c r="W75" s="336" t="str">
        <f t="shared" si="17"/>
        <v/>
      </c>
      <c r="X75" s="338" t="str">
        <f t="shared" si="18"/>
        <v/>
      </c>
      <c r="Y75" s="274"/>
      <c r="AR75" t="str">
        <f t="shared" si="19"/>
        <v/>
      </c>
      <c r="AS75" t="str">
        <f t="shared" si="20"/>
        <v/>
      </c>
    </row>
    <row r="76" spans="1:45">
      <c r="A76" s="291"/>
      <c r="B76" s="292"/>
      <c r="C76" s="293"/>
      <c r="D76" s="293"/>
      <c r="E76" s="293"/>
      <c r="F76" s="293"/>
      <c r="G76" s="294"/>
      <c r="H76" s="296"/>
      <c r="I76" s="295"/>
      <c r="J76" s="295"/>
      <c r="K76" s="296"/>
      <c r="L76" s="589"/>
      <c r="M76" s="590"/>
      <c r="N76" s="298"/>
      <c r="P76" s="190" t="str">
        <f>IF(R76 = "", "", COUNT(R$4:$R76))</f>
        <v/>
      </c>
      <c r="Q76" s="190" t="str">
        <f t="shared" si="11"/>
        <v/>
      </c>
      <c r="R76" s="191" t="str">
        <f t="shared" si="12"/>
        <v/>
      </c>
      <c r="S76" s="192" t="str">
        <f t="shared" si="14"/>
        <v/>
      </c>
      <c r="T76" s="193" t="str">
        <f t="shared" si="15"/>
        <v/>
      </c>
      <c r="U76" s="194" t="str">
        <f t="shared" si="16"/>
        <v/>
      </c>
      <c r="V76" s="195" t="str">
        <f t="shared" si="13"/>
        <v/>
      </c>
      <c r="W76" s="336" t="str">
        <f t="shared" si="17"/>
        <v/>
      </c>
      <c r="X76" s="338" t="str">
        <f t="shared" si="18"/>
        <v/>
      </c>
      <c r="Y76" s="274"/>
      <c r="AR76" t="str">
        <f t="shared" si="19"/>
        <v/>
      </c>
      <c r="AS76" t="str">
        <f t="shared" si="20"/>
        <v/>
      </c>
    </row>
    <row r="77" spans="1:45">
      <c r="A77" s="291"/>
      <c r="B77" s="292"/>
      <c r="C77" s="293"/>
      <c r="D77" s="293"/>
      <c r="E77" s="293"/>
      <c r="F77" s="293"/>
      <c r="G77" s="294"/>
      <c r="H77" s="296"/>
      <c r="I77" s="295"/>
      <c r="J77" s="295"/>
      <c r="K77" s="296"/>
      <c r="L77" s="589"/>
      <c r="M77" s="590"/>
      <c r="N77" s="298"/>
      <c r="P77" s="190" t="str">
        <f>IF(R77 = "", "", COUNT(R$4:$R77))</f>
        <v/>
      </c>
      <c r="Q77" s="190" t="str">
        <f t="shared" si="11"/>
        <v/>
      </c>
      <c r="R77" s="191" t="str">
        <f t="shared" si="12"/>
        <v/>
      </c>
      <c r="S77" s="192" t="str">
        <f t="shared" si="14"/>
        <v/>
      </c>
      <c r="T77" s="193" t="str">
        <f t="shared" si="15"/>
        <v/>
      </c>
      <c r="U77" s="194" t="str">
        <f t="shared" si="16"/>
        <v/>
      </c>
      <c r="V77" s="195" t="str">
        <f t="shared" si="13"/>
        <v/>
      </c>
      <c r="W77" s="336" t="str">
        <f t="shared" si="17"/>
        <v/>
      </c>
      <c r="X77" s="338" t="str">
        <f t="shared" si="18"/>
        <v/>
      </c>
      <c r="Y77" s="274"/>
      <c r="AR77" t="str">
        <f t="shared" si="19"/>
        <v/>
      </c>
      <c r="AS77" t="str">
        <f t="shared" si="20"/>
        <v/>
      </c>
    </row>
    <row r="78" spans="1:45">
      <c r="A78" s="291"/>
      <c r="B78" s="292"/>
      <c r="C78" s="293"/>
      <c r="D78" s="293"/>
      <c r="E78" s="293"/>
      <c r="F78" s="293"/>
      <c r="G78" s="294"/>
      <c r="H78" s="296"/>
      <c r="I78" s="295"/>
      <c r="J78" s="295"/>
      <c r="K78" s="296"/>
      <c r="L78" s="301"/>
      <c r="M78" s="297"/>
      <c r="N78" s="298"/>
      <c r="P78" s="190" t="str">
        <f>IF(R78 = "", "", COUNT(R$4:$R78))</f>
        <v/>
      </c>
      <c r="Q78" s="190" t="str">
        <f t="shared" si="11"/>
        <v/>
      </c>
      <c r="R78" s="191" t="str">
        <f t="shared" si="12"/>
        <v/>
      </c>
      <c r="S78" s="192" t="str">
        <f t="shared" si="14"/>
        <v/>
      </c>
      <c r="T78" s="193" t="str">
        <f t="shared" si="15"/>
        <v/>
      </c>
      <c r="U78" s="194" t="str">
        <f t="shared" si="16"/>
        <v/>
      </c>
      <c r="V78" s="195" t="str">
        <f t="shared" si="13"/>
        <v/>
      </c>
      <c r="W78" s="336" t="str">
        <f t="shared" si="17"/>
        <v/>
      </c>
      <c r="X78" s="338" t="str">
        <f t="shared" si="18"/>
        <v/>
      </c>
      <c r="Y78" s="274"/>
      <c r="AR78" t="str">
        <f t="shared" si="19"/>
        <v/>
      </c>
      <c r="AS78" t="str">
        <f t="shared" si="20"/>
        <v/>
      </c>
    </row>
    <row r="79" spans="1:45">
      <c r="A79" s="291"/>
      <c r="B79" s="292"/>
      <c r="C79" s="293"/>
      <c r="D79" s="293"/>
      <c r="E79" s="293"/>
      <c r="F79" s="293"/>
      <c r="G79" s="294"/>
      <c r="H79" s="296"/>
      <c r="I79" s="295"/>
      <c r="J79" s="295"/>
      <c r="K79" s="296"/>
      <c r="L79" s="301"/>
      <c r="M79" s="297"/>
      <c r="N79" s="298"/>
      <c r="P79" s="190" t="str">
        <f>IF(R79 = "", "", COUNT(R$4:$R79))</f>
        <v/>
      </c>
      <c r="Q79" s="190" t="str">
        <f t="shared" si="11"/>
        <v/>
      </c>
      <c r="R79" s="191" t="str">
        <f t="shared" si="12"/>
        <v/>
      </c>
      <c r="S79" s="192" t="str">
        <f t="shared" si="14"/>
        <v/>
      </c>
      <c r="T79" s="193" t="str">
        <f t="shared" si="15"/>
        <v/>
      </c>
      <c r="U79" s="194" t="str">
        <f t="shared" si="16"/>
        <v/>
      </c>
      <c r="V79" s="195" t="str">
        <f t="shared" si="13"/>
        <v/>
      </c>
      <c r="W79" s="336" t="str">
        <f t="shared" si="17"/>
        <v/>
      </c>
      <c r="X79" s="338" t="str">
        <f t="shared" si="18"/>
        <v/>
      </c>
      <c r="Y79" s="274"/>
      <c r="AR79" t="str">
        <f t="shared" si="19"/>
        <v/>
      </c>
      <c r="AS79" t="str">
        <f t="shared" si="20"/>
        <v/>
      </c>
    </row>
    <row r="80" spans="1:45">
      <c r="A80" s="291"/>
      <c r="B80" s="292"/>
      <c r="C80" s="293"/>
      <c r="D80" s="293"/>
      <c r="E80" s="293"/>
      <c r="F80" s="293"/>
      <c r="G80" s="294"/>
      <c r="H80" s="300"/>
      <c r="I80" s="295"/>
      <c r="J80" s="295"/>
      <c r="K80" s="296"/>
      <c r="L80" s="301"/>
      <c r="M80" s="297"/>
      <c r="N80" s="298"/>
      <c r="P80" s="190" t="str">
        <f>IF(R80 = "", "", COUNT(R$4:$R80))</f>
        <v/>
      </c>
      <c r="Q80" s="190" t="str">
        <f t="shared" si="11"/>
        <v/>
      </c>
      <c r="R80" s="191" t="str">
        <f t="shared" si="12"/>
        <v/>
      </c>
      <c r="S80" s="192" t="str">
        <f t="shared" si="14"/>
        <v/>
      </c>
      <c r="T80" s="193" t="str">
        <f t="shared" si="15"/>
        <v/>
      </c>
      <c r="U80" s="194" t="str">
        <f t="shared" si="16"/>
        <v/>
      </c>
      <c r="V80" s="195" t="str">
        <f t="shared" si="13"/>
        <v/>
      </c>
      <c r="W80" s="336" t="str">
        <f t="shared" si="17"/>
        <v/>
      </c>
      <c r="X80" s="338" t="str">
        <f t="shared" si="18"/>
        <v/>
      </c>
      <c r="Y80" s="274"/>
      <c r="AR80" t="str">
        <f t="shared" si="19"/>
        <v/>
      </c>
      <c r="AS80" t="str">
        <f t="shared" si="20"/>
        <v/>
      </c>
    </row>
    <row r="81" spans="1:45">
      <c r="A81" s="291"/>
      <c r="B81" s="292"/>
      <c r="C81" s="293"/>
      <c r="D81" s="293"/>
      <c r="E81" s="293"/>
      <c r="F81" s="293"/>
      <c r="G81" s="294"/>
      <c r="H81" s="300"/>
      <c r="I81" s="295"/>
      <c r="J81" s="295"/>
      <c r="K81" s="296"/>
      <c r="L81" s="301"/>
      <c r="M81" s="297"/>
      <c r="N81" s="298"/>
      <c r="P81" s="190" t="str">
        <f>IF(R81 = "", "", COUNT(R$4:$R81))</f>
        <v/>
      </c>
      <c r="Q81" s="190" t="str">
        <f t="shared" si="11"/>
        <v/>
      </c>
      <c r="R81" s="191" t="str">
        <f t="shared" si="12"/>
        <v/>
      </c>
      <c r="S81" s="192" t="str">
        <f t="shared" si="14"/>
        <v/>
      </c>
      <c r="T81" s="193" t="str">
        <f t="shared" si="15"/>
        <v/>
      </c>
      <c r="U81" s="194" t="str">
        <f t="shared" si="16"/>
        <v/>
      </c>
      <c r="V81" s="195" t="str">
        <f t="shared" si="13"/>
        <v/>
      </c>
      <c r="W81" s="336" t="str">
        <f t="shared" si="17"/>
        <v/>
      </c>
      <c r="X81" s="338" t="str">
        <f t="shared" si="18"/>
        <v/>
      </c>
      <c r="Y81" s="274"/>
      <c r="AR81" t="str">
        <f t="shared" si="19"/>
        <v/>
      </c>
      <c r="AS81" t="str">
        <f t="shared" si="20"/>
        <v/>
      </c>
    </row>
    <row r="82" spans="1:45">
      <c r="A82" s="291"/>
      <c r="B82" s="292"/>
      <c r="C82" s="293"/>
      <c r="D82" s="293"/>
      <c r="E82" s="293"/>
      <c r="F82" s="293"/>
      <c r="G82" s="294"/>
      <c r="H82" s="300"/>
      <c r="I82" s="295"/>
      <c r="J82" s="295"/>
      <c r="K82" s="296"/>
      <c r="L82" s="301"/>
      <c r="M82" s="297"/>
      <c r="N82" s="298"/>
      <c r="P82" s="190" t="str">
        <f>IF(R82 = "", "", COUNT(R$4:$R82))</f>
        <v/>
      </c>
      <c r="Q82" s="190" t="str">
        <f t="shared" si="11"/>
        <v/>
      </c>
      <c r="R82" s="191" t="str">
        <f t="shared" si="12"/>
        <v/>
      </c>
      <c r="S82" s="192" t="str">
        <f t="shared" si="14"/>
        <v/>
      </c>
      <c r="T82" s="193" t="str">
        <f t="shared" si="15"/>
        <v/>
      </c>
      <c r="U82" s="194" t="str">
        <f t="shared" si="16"/>
        <v/>
      </c>
      <c r="V82" s="195" t="str">
        <f t="shared" si="13"/>
        <v/>
      </c>
      <c r="W82" s="336" t="str">
        <f t="shared" si="17"/>
        <v/>
      </c>
      <c r="X82" s="338" t="str">
        <f t="shared" si="18"/>
        <v/>
      </c>
      <c r="Y82" s="274"/>
      <c r="AR82" t="str">
        <f t="shared" si="19"/>
        <v/>
      </c>
      <c r="AS82" t="str">
        <f t="shared" si="20"/>
        <v/>
      </c>
    </row>
    <row r="83" spans="1:45">
      <c r="A83" s="291"/>
      <c r="B83" s="292"/>
      <c r="C83" s="293"/>
      <c r="D83" s="293"/>
      <c r="E83" s="293"/>
      <c r="F83" s="293"/>
      <c r="G83" s="294"/>
      <c r="H83" s="300"/>
      <c r="I83" s="295"/>
      <c r="J83" s="295"/>
      <c r="K83" s="296"/>
      <c r="L83" s="301"/>
      <c r="M83" s="297"/>
      <c r="N83" s="298"/>
      <c r="P83" s="190" t="str">
        <f>IF(R83 = "", "", COUNT(R$4:$R83))</f>
        <v/>
      </c>
      <c r="Q83" s="190" t="str">
        <f t="shared" si="11"/>
        <v/>
      </c>
      <c r="R83" s="191" t="str">
        <f t="shared" si="12"/>
        <v/>
      </c>
      <c r="S83" s="192" t="str">
        <f t="shared" si="14"/>
        <v/>
      </c>
      <c r="T83" s="193" t="str">
        <f t="shared" si="15"/>
        <v/>
      </c>
      <c r="U83" s="194" t="str">
        <f t="shared" si="16"/>
        <v/>
      </c>
      <c r="V83" s="195" t="str">
        <f t="shared" si="13"/>
        <v/>
      </c>
      <c r="W83" s="336" t="str">
        <f t="shared" si="17"/>
        <v/>
      </c>
      <c r="X83" s="338" t="str">
        <f t="shared" si="18"/>
        <v/>
      </c>
      <c r="Y83" s="274"/>
      <c r="AR83" t="str">
        <f t="shared" si="19"/>
        <v/>
      </c>
      <c r="AS83" t="str">
        <f t="shared" si="20"/>
        <v/>
      </c>
    </row>
    <row r="84" spans="1:45">
      <c r="A84" s="291"/>
      <c r="B84" s="292"/>
      <c r="C84" s="293"/>
      <c r="D84" s="293"/>
      <c r="E84" s="293"/>
      <c r="F84" s="293"/>
      <c r="G84" s="294"/>
      <c r="H84" s="300"/>
      <c r="I84" s="295"/>
      <c r="J84" s="295"/>
      <c r="K84" s="296"/>
      <c r="L84" s="301"/>
      <c r="M84" s="297"/>
      <c r="N84" s="298"/>
      <c r="P84" s="190" t="str">
        <f>IF(R84 = "", "", COUNT(R$4:$R84))</f>
        <v/>
      </c>
      <c r="Q84" s="190" t="str">
        <f t="shared" si="11"/>
        <v/>
      </c>
      <c r="R84" s="191" t="str">
        <f t="shared" si="12"/>
        <v/>
      </c>
      <c r="S84" s="192" t="str">
        <f t="shared" si="14"/>
        <v/>
      </c>
      <c r="T84" s="193" t="str">
        <f t="shared" si="15"/>
        <v/>
      </c>
      <c r="U84" s="194" t="str">
        <f t="shared" si="16"/>
        <v/>
      </c>
      <c r="V84" s="195" t="str">
        <f t="shared" si="13"/>
        <v/>
      </c>
      <c r="W84" s="336" t="str">
        <f t="shared" si="17"/>
        <v/>
      </c>
      <c r="X84" s="338" t="str">
        <f t="shared" si="18"/>
        <v/>
      </c>
      <c r="Y84" s="274"/>
      <c r="AR84" t="str">
        <f t="shared" si="19"/>
        <v/>
      </c>
      <c r="AS84" t="str">
        <f t="shared" si="20"/>
        <v/>
      </c>
    </row>
    <row r="85" spans="1:45">
      <c r="A85" s="291"/>
      <c r="B85" s="292"/>
      <c r="C85" s="293"/>
      <c r="D85" s="293"/>
      <c r="E85" s="293"/>
      <c r="F85" s="293"/>
      <c r="G85" s="294"/>
      <c r="H85" s="300"/>
      <c r="I85" s="295"/>
      <c r="J85" s="295"/>
      <c r="K85" s="296"/>
      <c r="L85" s="301"/>
      <c r="M85" s="297"/>
      <c r="N85" s="298"/>
      <c r="P85" s="190" t="str">
        <f>IF(R85 = "", "", COUNT(R$4:$R85))</f>
        <v/>
      </c>
      <c r="Q85" s="190" t="str">
        <f t="shared" si="11"/>
        <v/>
      </c>
      <c r="R85" s="191" t="str">
        <f t="shared" si="12"/>
        <v/>
      </c>
      <c r="S85" s="192" t="str">
        <f t="shared" si="14"/>
        <v/>
      </c>
      <c r="T85" s="193" t="str">
        <f t="shared" si="15"/>
        <v/>
      </c>
      <c r="U85" s="194" t="str">
        <f t="shared" si="16"/>
        <v/>
      </c>
      <c r="V85" s="195" t="str">
        <f t="shared" si="13"/>
        <v/>
      </c>
      <c r="W85" s="336" t="str">
        <f t="shared" si="17"/>
        <v/>
      </c>
      <c r="X85" s="338" t="str">
        <f t="shared" si="18"/>
        <v/>
      </c>
      <c r="Y85" s="274"/>
      <c r="AR85" t="str">
        <f t="shared" si="19"/>
        <v/>
      </c>
      <c r="AS85" t="str">
        <f t="shared" si="20"/>
        <v/>
      </c>
    </row>
    <row r="86" spans="1:45">
      <c r="A86" s="291"/>
      <c r="B86" s="292"/>
      <c r="C86" s="293"/>
      <c r="D86" s="293"/>
      <c r="E86" s="293"/>
      <c r="F86" s="293"/>
      <c r="G86" s="294"/>
      <c r="H86" s="300"/>
      <c r="I86" s="295"/>
      <c r="J86" s="295"/>
      <c r="K86" s="296"/>
      <c r="L86" s="301"/>
      <c r="M86" s="297"/>
      <c r="N86" s="298"/>
      <c r="P86" s="190" t="str">
        <f>IF(R86 = "", "", COUNT(R$4:$R86))</f>
        <v/>
      </c>
      <c r="Q86" s="190" t="str">
        <f t="shared" si="11"/>
        <v/>
      </c>
      <c r="R86" s="191" t="str">
        <f t="shared" si="12"/>
        <v/>
      </c>
      <c r="S86" s="192" t="str">
        <f t="shared" si="14"/>
        <v/>
      </c>
      <c r="T86" s="193" t="str">
        <f t="shared" si="15"/>
        <v/>
      </c>
      <c r="U86" s="194" t="str">
        <f t="shared" si="16"/>
        <v/>
      </c>
      <c r="V86" s="195" t="str">
        <f t="shared" si="13"/>
        <v/>
      </c>
      <c r="W86" s="336" t="str">
        <f t="shared" si="17"/>
        <v/>
      </c>
      <c r="X86" s="338" t="str">
        <f t="shared" si="18"/>
        <v/>
      </c>
      <c r="Y86" s="274"/>
      <c r="AR86" t="str">
        <f t="shared" si="19"/>
        <v/>
      </c>
      <c r="AS86" t="str">
        <f t="shared" si="20"/>
        <v/>
      </c>
    </row>
    <row r="87" spans="1:45">
      <c r="A87" s="291"/>
      <c r="B87" s="292"/>
      <c r="C87" s="293"/>
      <c r="D87" s="293"/>
      <c r="E87" s="293"/>
      <c r="F87" s="293"/>
      <c r="G87" s="294"/>
      <c r="H87" s="300"/>
      <c r="I87" s="295"/>
      <c r="J87" s="295"/>
      <c r="K87" s="296"/>
      <c r="L87" s="301"/>
      <c r="M87" s="297"/>
      <c r="N87" s="298"/>
      <c r="P87" s="190" t="str">
        <f>IF(R87 = "", "", COUNT(R$4:$R87))</f>
        <v/>
      </c>
      <c r="Q87" s="190" t="str">
        <f t="shared" si="11"/>
        <v/>
      </c>
      <c r="R87" s="191" t="str">
        <f t="shared" si="12"/>
        <v/>
      </c>
      <c r="S87" s="192" t="str">
        <f t="shared" si="14"/>
        <v/>
      </c>
      <c r="T87" s="193" t="str">
        <f t="shared" si="15"/>
        <v/>
      </c>
      <c r="U87" s="194" t="str">
        <f t="shared" si="16"/>
        <v/>
      </c>
      <c r="V87" s="195" t="str">
        <f t="shared" si="13"/>
        <v/>
      </c>
      <c r="W87" s="336" t="str">
        <f t="shared" si="17"/>
        <v/>
      </c>
      <c r="X87" s="338" t="str">
        <f t="shared" si="18"/>
        <v/>
      </c>
      <c r="Y87" s="274"/>
      <c r="AR87" t="str">
        <f t="shared" si="19"/>
        <v/>
      </c>
      <c r="AS87" t="str">
        <f t="shared" si="20"/>
        <v/>
      </c>
    </row>
    <row r="88" spans="1:45">
      <c r="A88" s="291"/>
      <c r="B88" s="292"/>
      <c r="C88" s="293"/>
      <c r="D88" s="293"/>
      <c r="E88" s="293"/>
      <c r="F88" s="293"/>
      <c r="G88" s="294"/>
      <c r="H88" s="300"/>
      <c r="I88" s="295"/>
      <c r="J88" s="295"/>
      <c r="K88" s="296"/>
      <c r="L88" s="301"/>
      <c r="M88" s="297"/>
      <c r="N88" s="298"/>
      <c r="P88" s="190" t="str">
        <f>IF(R88 = "", "", COUNT(R$4:$R88))</f>
        <v/>
      </c>
      <c r="Q88" s="190" t="str">
        <f t="shared" si="11"/>
        <v/>
      </c>
      <c r="R88" s="191" t="str">
        <f t="shared" si="12"/>
        <v/>
      </c>
      <c r="S88" s="192" t="str">
        <f t="shared" si="14"/>
        <v/>
      </c>
      <c r="T88" s="193" t="str">
        <f t="shared" si="15"/>
        <v/>
      </c>
      <c r="U88" s="194" t="str">
        <f t="shared" si="16"/>
        <v/>
      </c>
      <c r="V88" s="195" t="str">
        <f t="shared" si="13"/>
        <v/>
      </c>
      <c r="W88" s="336" t="str">
        <f t="shared" si="17"/>
        <v/>
      </c>
      <c r="X88" s="338" t="str">
        <f t="shared" si="18"/>
        <v/>
      </c>
      <c r="Y88" s="274"/>
      <c r="AR88" t="str">
        <f t="shared" si="19"/>
        <v/>
      </c>
      <c r="AS88" t="str">
        <f t="shared" si="20"/>
        <v/>
      </c>
    </row>
    <row r="89" spans="1:45">
      <c r="A89" s="291"/>
      <c r="B89" s="292"/>
      <c r="C89" s="293"/>
      <c r="D89" s="293"/>
      <c r="E89" s="293"/>
      <c r="F89" s="293"/>
      <c r="G89" s="294"/>
      <c r="H89" s="300"/>
      <c r="I89" s="295"/>
      <c r="J89" s="295"/>
      <c r="K89" s="296"/>
      <c r="L89" s="301"/>
      <c r="M89" s="297"/>
      <c r="N89" s="298"/>
      <c r="P89" s="190" t="str">
        <f>IF(R89 = "", "", COUNT(R$4:$R89))</f>
        <v/>
      </c>
      <c r="Q89" s="190" t="str">
        <f t="shared" si="11"/>
        <v/>
      </c>
      <c r="R89" s="191" t="str">
        <f t="shared" si="12"/>
        <v/>
      </c>
      <c r="S89" s="192" t="str">
        <f t="shared" si="14"/>
        <v/>
      </c>
      <c r="T89" s="193" t="str">
        <f t="shared" si="15"/>
        <v/>
      </c>
      <c r="U89" s="194" t="str">
        <f t="shared" si="16"/>
        <v/>
      </c>
      <c r="V89" s="195" t="str">
        <f t="shared" si="13"/>
        <v/>
      </c>
      <c r="W89" s="336" t="str">
        <f t="shared" si="17"/>
        <v/>
      </c>
      <c r="X89" s="338" t="str">
        <f t="shared" si="18"/>
        <v/>
      </c>
      <c r="Y89" s="274"/>
      <c r="AR89" t="str">
        <f t="shared" si="19"/>
        <v/>
      </c>
      <c r="AS89" t="str">
        <f t="shared" si="20"/>
        <v/>
      </c>
    </row>
    <row r="90" spans="1:45">
      <c r="A90" s="291"/>
      <c r="B90" s="292"/>
      <c r="C90" s="293"/>
      <c r="D90" s="293"/>
      <c r="E90" s="293"/>
      <c r="F90" s="293"/>
      <c r="G90" s="294"/>
      <c r="H90" s="300"/>
      <c r="I90" s="295"/>
      <c r="J90" s="295"/>
      <c r="K90" s="296"/>
      <c r="L90" s="301"/>
      <c r="M90" s="297"/>
      <c r="N90" s="298"/>
      <c r="P90" s="190" t="str">
        <f>IF(R90 = "", "", COUNT(R$4:$R90))</f>
        <v/>
      </c>
      <c r="Q90" s="190" t="str">
        <f t="shared" si="11"/>
        <v/>
      </c>
      <c r="R90" s="191" t="str">
        <f t="shared" si="12"/>
        <v/>
      </c>
      <c r="S90" s="192" t="str">
        <f t="shared" si="14"/>
        <v/>
      </c>
      <c r="T90" s="193" t="str">
        <f t="shared" si="15"/>
        <v/>
      </c>
      <c r="U90" s="194" t="str">
        <f t="shared" si="16"/>
        <v/>
      </c>
      <c r="V90" s="195" t="str">
        <f t="shared" si="13"/>
        <v/>
      </c>
      <c r="W90" s="336" t="str">
        <f t="shared" si="17"/>
        <v/>
      </c>
      <c r="X90" s="338" t="str">
        <f t="shared" si="18"/>
        <v/>
      </c>
      <c r="Y90" s="274"/>
      <c r="AR90" t="str">
        <f t="shared" si="19"/>
        <v/>
      </c>
      <c r="AS90" t="str">
        <f t="shared" si="20"/>
        <v/>
      </c>
    </row>
    <row r="91" spans="1:45">
      <c r="A91" s="291"/>
      <c r="B91" s="292"/>
      <c r="C91" s="293"/>
      <c r="D91" s="293"/>
      <c r="E91" s="293"/>
      <c r="F91" s="293"/>
      <c r="G91" s="294"/>
      <c r="H91" s="300"/>
      <c r="I91" s="295"/>
      <c r="J91" s="295"/>
      <c r="K91" s="296"/>
      <c r="L91" s="301"/>
      <c r="M91" s="297"/>
      <c r="N91" s="298"/>
      <c r="P91" s="190" t="str">
        <f>IF(R91 = "", "", COUNT(R$4:$R91))</f>
        <v/>
      </c>
      <c r="Q91" s="190" t="str">
        <f t="shared" si="11"/>
        <v/>
      </c>
      <c r="R91" s="191" t="str">
        <f t="shared" si="12"/>
        <v/>
      </c>
      <c r="S91" s="192" t="str">
        <f t="shared" si="14"/>
        <v/>
      </c>
      <c r="T91" s="193" t="str">
        <f t="shared" si="15"/>
        <v/>
      </c>
      <c r="U91" s="194" t="str">
        <f t="shared" si="16"/>
        <v/>
      </c>
      <c r="V91" s="195" t="str">
        <f t="shared" si="13"/>
        <v/>
      </c>
      <c r="W91" s="336" t="str">
        <f t="shared" si="17"/>
        <v/>
      </c>
      <c r="X91" s="338" t="str">
        <f t="shared" si="18"/>
        <v/>
      </c>
      <c r="Y91" s="274"/>
      <c r="AR91" t="str">
        <f t="shared" si="19"/>
        <v/>
      </c>
      <c r="AS91" t="str">
        <f t="shared" si="20"/>
        <v/>
      </c>
    </row>
    <row r="92" spans="1:45">
      <c r="A92" s="291"/>
      <c r="B92" s="292"/>
      <c r="C92" s="293"/>
      <c r="D92" s="293"/>
      <c r="E92" s="293"/>
      <c r="F92" s="293"/>
      <c r="G92" s="294"/>
      <c r="H92" s="300"/>
      <c r="I92" s="295"/>
      <c r="J92" s="295"/>
      <c r="K92" s="296"/>
      <c r="L92" s="301"/>
      <c r="M92" s="297"/>
      <c r="N92" s="298"/>
      <c r="P92" s="190" t="str">
        <f>IF(R92 = "", "", COUNT(R$4:$R92))</f>
        <v/>
      </c>
      <c r="Q92" s="190" t="str">
        <f t="shared" si="11"/>
        <v/>
      </c>
      <c r="R92" s="191" t="str">
        <f t="shared" si="12"/>
        <v/>
      </c>
      <c r="S92" s="192" t="str">
        <f t="shared" si="14"/>
        <v/>
      </c>
      <c r="T92" s="193" t="str">
        <f t="shared" si="15"/>
        <v/>
      </c>
      <c r="U92" s="194" t="str">
        <f t="shared" si="16"/>
        <v/>
      </c>
      <c r="V92" s="195" t="str">
        <f t="shared" si="13"/>
        <v/>
      </c>
      <c r="W92" s="336" t="str">
        <f t="shared" si="17"/>
        <v/>
      </c>
      <c r="X92" s="338" t="str">
        <f t="shared" si="18"/>
        <v/>
      </c>
      <c r="Y92" s="274"/>
      <c r="AR92" t="str">
        <f t="shared" si="19"/>
        <v/>
      </c>
      <c r="AS92" t="str">
        <f t="shared" si="20"/>
        <v/>
      </c>
    </row>
    <row r="93" spans="1:45">
      <c r="A93" s="291"/>
      <c r="B93" s="292"/>
      <c r="C93" s="293"/>
      <c r="D93" s="293"/>
      <c r="E93" s="293"/>
      <c r="F93" s="293"/>
      <c r="G93" s="294"/>
      <c r="H93" s="300"/>
      <c r="I93" s="295"/>
      <c r="J93" s="295"/>
      <c r="K93" s="296"/>
      <c r="L93" s="301"/>
      <c r="M93" s="297"/>
      <c r="N93" s="298"/>
      <c r="P93" s="190" t="str">
        <f>IF(R93 = "", "", COUNT(R$4:$R93))</f>
        <v/>
      </c>
      <c r="Q93" s="190" t="str">
        <f t="shared" si="11"/>
        <v/>
      </c>
      <c r="R93" s="191" t="str">
        <f t="shared" si="12"/>
        <v/>
      </c>
      <c r="S93" s="192" t="str">
        <f t="shared" si="14"/>
        <v/>
      </c>
      <c r="T93" s="193" t="str">
        <f t="shared" si="15"/>
        <v/>
      </c>
      <c r="U93" s="194" t="str">
        <f t="shared" si="16"/>
        <v/>
      </c>
      <c r="V93" s="195" t="str">
        <f t="shared" si="13"/>
        <v/>
      </c>
      <c r="W93" s="336" t="str">
        <f t="shared" si="17"/>
        <v/>
      </c>
      <c r="X93" s="338" t="str">
        <f t="shared" si="18"/>
        <v/>
      </c>
      <c r="Y93" s="274"/>
      <c r="AR93" t="str">
        <f t="shared" si="19"/>
        <v/>
      </c>
      <c r="AS93" t="str">
        <f t="shared" si="20"/>
        <v/>
      </c>
    </row>
    <row r="94" spans="1:45">
      <c r="A94" s="291"/>
      <c r="B94" s="292"/>
      <c r="C94" s="293"/>
      <c r="D94" s="293"/>
      <c r="E94" s="293"/>
      <c r="F94" s="293"/>
      <c r="G94" s="294"/>
      <c r="H94" s="300"/>
      <c r="I94" s="295"/>
      <c r="J94" s="295"/>
      <c r="K94" s="296"/>
      <c r="L94" s="301"/>
      <c r="M94" s="297"/>
      <c r="N94" s="298"/>
      <c r="P94" s="190" t="str">
        <f>IF(R94 = "", "", COUNT(R$4:$R94))</f>
        <v/>
      </c>
      <c r="Q94" s="190" t="str">
        <f t="shared" si="11"/>
        <v/>
      </c>
      <c r="R94" s="191" t="str">
        <f t="shared" si="12"/>
        <v/>
      </c>
      <c r="S94" s="192" t="str">
        <f t="shared" si="14"/>
        <v/>
      </c>
      <c r="T94" s="193" t="str">
        <f t="shared" si="15"/>
        <v/>
      </c>
      <c r="U94" s="194" t="str">
        <f t="shared" si="16"/>
        <v/>
      </c>
      <c r="V94" s="195" t="str">
        <f t="shared" si="13"/>
        <v/>
      </c>
      <c r="W94" s="336" t="str">
        <f t="shared" si="17"/>
        <v/>
      </c>
      <c r="X94" s="338" t="str">
        <f t="shared" si="18"/>
        <v/>
      </c>
      <c r="Y94" s="274"/>
      <c r="AR94" t="str">
        <f t="shared" si="19"/>
        <v/>
      </c>
      <c r="AS94" t="str">
        <f t="shared" si="20"/>
        <v/>
      </c>
    </row>
    <row r="95" spans="1:45">
      <c r="A95" s="291"/>
      <c r="B95" s="292"/>
      <c r="C95" s="293"/>
      <c r="D95" s="293"/>
      <c r="E95" s="293"/>
      <c r="F95" s="293"/>
      <c r="G95" s="294"/>
      <c r="H95" s="300"/>
      <c r="I95" s="295"/>
      <c r="J95" s="295"/>
      <c r="K95" s="296"/>
      <c r="L95" s="301"/>
      <c r="M95" s="297"/>
      <c r="N95" s="298"/>
      <c r="P95" s="190" t="str">
        <f>IF(R95 = "", "", COUNT(R$4:$R95))</f>
        <v/>
      </c>
      <c r="Q95" s="190" t="str">
        <f t="shared" si="11"/>
        <v/>
      </c>
      <c r="R95" s="191" t="str">
        <f t="shared" si="12"/>
        <v/>
      </c>
      <c r="S95" s="192" t="str">
        <f t="shared" si="14"/>
        <v/>
      </c>
      <c r="T95" s="193" t="str">
        <f t="shared" si="15"/>
        <v/>
      </c>
      <c r="U95" s="194" t="str">
        <f t="shared" si="16"/>
        <v/>
      </c>
      <c r="V95" s="195" t="str">
        <f t="shared" si="13"/>
        <v/>
      </c>
      <c r="W95" s="336" t="str">
        <f t="shared" si="17"/>
        <v/>
      </c>
      <c r="X95" s="338" t="str">
        <f t="shared" si="18"/>
        <v/>
      </c>
      <c r="Y95" s="274"/>
      <c r="AR95" t="str">
        <f t="shared" si="19"/>
        <v/>
      </c>
      <c r="AS95" t="str">
        <f t="shared" si="20"/>
        <v/>
      </c>
    </row>
    <row r="96" spans="1:45">
      <c r="A96" s="291"/>
      <c r="B96" s="292"/>
      <c r="C96" s="293"/>
      <c r="D96" s="293"/>
      <c r="E96" s="293"/>
      <c r="F96" s="293"/>
      <c r="G96" s="294"/>
      <c r="H96" s="300"/>
      <c r="I96" s="295"/>
      <c r="J96" s="295"/>
      <c r="K96" s="296"/>
      <c r="L96" s="301"/>
      <c r="M96" s="297"/>
      <c r="N96" s="298"/>
      <c r="P96" s="190" t="str">
        <f>IF(R96 = "", "", COUNT(R$4:$R96))</f>
        <v/>
      </c>
      <c r="Q96" s="190" t="str">
        <f t="shared" si="11"/>
        <v/>
      </c>
      <c r="R96" s="191" t="str">
        <f t="shared" si="12"/>
        <v/>
      </c>
      <c r="S96" s="192" t="str">
        <f t="shared" si="14"/>
        <v/>
      </c>
      <c r="T96" s="193" t="str">
        <f t="shared" si="15"/>
        <v/>
      </c>
      <c r="U96" s="194" t="str">
        <f t="shared" si="16"/>
        <v/>
      </c>
      <c r="V96" s="195" t="str">
        <f t="shared" si="13"/>
        <v/>
      </c>
      <c r="W96" s="336" t="str">
        <f t="shared" si="17"/>
        <v/>
      </c>
      <c r="X96" s="338" t="str">
        <f t="shared" si="18"/>
        <v/>
      </c>
      <c r="Y96" s="274"/>
      <c r="AR96" t="str">
        <f t="shared" si="19"/>
        <v/>
      </c>
      <c r="AS96" t="str">
        <f t="shared" si="20"/>
        <v/>
      </c>
    </row>
    <row r="97" spans="1:45">
      <c r="A97" s="291"/>
      <c r="B97" s="292"/>
      <c r="C97" s="293"/>
      <c r="D97" s="293"/>
      <c r="E97" s="293"/>
      <c r="F97" s="293"/>
      <c r="G97" s="294"/>
      <c r="H97" s="300"/>
      <c r="I97" s="295"/>
      <c r="J97" s="295"/>
      <c r="K97" s="296"/>
      <c r="L97" s="301"/>
      <c r="M97" s="297"/>
      <c r="N97" s="298"/>
      <c r="P97" s="190" t="str">
        <f>IF(R97 = "", "", COUNT(R$4:$R97))</f>
        <v/>
      </c>
      <c r="Q97" s="190" t="str">
        <f t="shared" si="11"/>
        <v/>
      </c>
      <c r="R97" s="191" t="str">
        <f t="shared" si="12"/>
        <v/>
      </c>
      <c r="S97" s="192" t="str">
        <f t="shared" si="14"/>
        <v/>
      </c>
      <c r="T97" s="193" t="str">
        <f t="shared" si="15"/>
        <v/>
      </c>
      <c r="U97" s="194" t="str">
        <f t="shared" si="16"/>
        <v/>
      </c>
      <c r="V97" s="195" t="str">
        <f t="shared" si="13"/>
        <v/>
      </c>
      <c r="W97" s="336" t="str">
        <f t="shared" si="17"/>
        <v/>
      </c>
      <c r="X97" s="338" t="str">
        <f t="shared" si="18"/>
        <v/>
      </c>
      <c r="Y97" s="274"/>
      <c r="AR97" t="str">
        <f t="shared" si="19"/>
        <v/>
      </c>
      <c r="AS97" t="str">
        <f t="shared" si="20"/>
        <v/>
      </c>
    </row>
    <row r="98" spans="1:45">
      <c r="A98" s="291"/>
      <c r="B98" s="292"/>
      <c r="C98" s="293"/>
      <c r="D98" s="293"/>
      <c r="E98" s="293"/>
      <c r="F98" s="293"/>
      <c r="G98" s="294"/>
      <c r="H98" s="300"/>
      <c r="I98" s="295"/>
      <c r="J98" s="295"/>
      <c r="K98" s="296"/>
      <c r="L98" s="301"/>
      <c r="M98" s="297"/>
      <c r="N98" s="298"/>
      <c r="P98" s="190" t="str">
        <f>IF(R98 = "", "", COUNT(R$4:$R98))</f>
        <v/>
      </c>
      <c r="Q98" s="190" t="str">
        <f t="shared" si="11"/>
        <v/>
      </c>
      <c r="R98" s="191" t="str">
        <f t="shared" si="12"/>
        <v/>
      </c>
      <c r="S98" s="192" t="str">
        <f t="shared" si="14"/>
        <v/>
      </c>
      <c r="T98" s="193" t="str">
        <f t="shared" si="15"/>
        <v/>
      </c>
      <c r="U98" s="194" t="str">
        <f t="shared" si="16"/>
        <v/>
      </c>
      <c r="V98" s="195" t="str">
        <f t="shared" si="13"/>
        <v/>
      </c>
      <c r="W98" s="336" t="str">
        <f t="shared" si="17"/>
        <v/>
      </c>
      <c r="X98" s="338" t="str">
        <f t="shared" si="18"/>
        <v/>
      </c>
      <c r="Y98" s="274"/>
      <c r="AR98" t="str">
        <f t="shared" si="19"/>
        <v/>
      </c>
      <c r="AS98" t="str">
        <f t="shared" si="20"/>
        <v/>
      </c>
    </row>
    <row r="99" spans="1:45">
      <c r="A99" s="291"/>
      <c r="B99" s="292"/>
      <c r="C99" s="293"/>
      <c r="D99" s="293"/>
      <c r="E99" s="293"/>
      <c r="F99" s="293"/>
      <c r="G99" s="294"/>
      <c r="H99" s="300"/>
      <c r="I99" s="295"/>
      <c r="J99" s="295"/>
      <c r="K99" s="296"/>
      <c r="L99" s="301"/>
      <c r="M99" s="297"/>
      <c r="N99" s="298"/>
      <c r="P99" s="190" t="str">
        <f>IF(R99 = "", "", COUNT(R$4:$R99))</f>
        <v/>
      </c>
      <c r="Q99" s="190" t="str">
        <f t="shared" si="11"/>
        <v/>
      </c>
      <c r="R99" s="191" t="str">
        <f t="shared" si="12"/>
        <v/>
      </c>
      <c r="S99" s="192" t="str">
        <f t="shared" si="14"/>
        <v/>
      </c>
      <c r="T99" s="193" t="str">
        <f t="shared" si="15"/>
        <v/>
      </c>
      <c r="U99" s="194" t="str">
        <f t="shared" si="16"/>
        <v/>
      </c>
      <c r="V99" s="195" t="str">
        <f t="shared" si="13"/>
        <v/>
      </c>
      <c r="W99" s="336" t="str">
        <f t="shared" si="17"/>
        <v/>
      </c>
      <c r="X99" s="338" t="str">
        <f t="shared" si="18"/>
        <v/>
      </c>
      <c r="Y99" s="274"/>
      <c r="AR99" t="str">
        <f t="shared" si="19"/>
        <v/>
      </c>
      <c r="AS99" t="str">
        <f t="shared" si="20"/>
        <v/>
      </c>
    </row>
    <row r="100" spans="1:45">
      <c r="A100" s="291"/>
      <c r="B100" s="292"/>
      <c r="C100" s="293"/>
      <c r="D100" s="293"/>
      <c r="E100" s="293"/>
      <c r="F100" s="293"/>
      <c r="G100" s="294"/>
      <c r="H100" s="300"/>
      <c r="I100" s="295"/>
      <c r="J100" s="295"/>
      <c r="K100" s="296"/>
      <c r="L100" s="301"/>
      <c r="M100" s="297"/>
      <c r="N100" s="298"/>
      <c r="P100" s="190" t="str">
        <f>IF(R100 = "", "", COUNT(R$4:$R100))</f>
        <v/>
      </c>
      <c r="Q100" s="190" t="str">
        <f t="shared" si="11"/>
        <v/>
      </c>
      <c r="R100" s="191" t="str">
        <f t="shared" si="12"/>
        <v/>
      </c>
      <c r="S100" s="192" t="str">
        <f t="shared" si="14"/>
        <v/>
      </c>
      <c r="T100" s="193" t="str">
        <f t="shared" si="15"/>
        <v/>
      </c>
      <c r="U100" s="194" t="str">
        <f t="shared" si="16"/>
        <v/>
      </c>
      <c r="V100" s="195" t="str">
        <f t="shared" si="13"/>
        <v/>
      </c>
      <c r="W100" s="336" t="str">
        <f t="shared" si="17"/>
        <v/>
      </c>
      <c r="X100" s="338" t="str">
        <f t="shared" si="18"/>
        <v/>
      </c>
      <c r="Y100" s="274"/>
      <c r="AR100" t="str">
        <f t="shared" si="19"/>
        <v/>
      </c>
      <c r="AS100" t="str">
        <f t="shared" si="20"/>
        <v/>
      </c>
    </row>
    <row r="101" spans="1:45">
      <c r="A101" s="291"/>
      <c r="B101" s="292"/>
      <c r="C101" s="293"/>
      <c r="D101" s="293"/>
      <c r="E101" s="293"/>
      <c r="F101" s="293"/>
      <c r="G101" s="294"/>
      <c r="H101" s="300"/>
      <c r="I101" s="295"/>
      <c r="J101" s="295"/>
      <c r="K101" s="296"/>
      <c r="L101" s="301"/>
      <c r="M101" s="297"/>
      <c r="N101" s="298"/>
      <c r="P101" s="190" t="str">
        <f>IF(R101 = "", "", COUNT(R$4:$R101))</f>
        <v/>
      </c>
      <c r="Q101" s="190" t="str">
        <f t="shared" si="11"/>
        <v/>
      </c>
      <c r="R101" s="191" t="str">
        <f t="shared" si="12"/>
        <v/>
      </c>
      <c r="S101" s="192" t="str">
        <f t="shared" si="14"/>
        <v/>
      </c>
      <c r="T101" s="193" t="str">
        <f t="shared" si="15"/>
        <v/>
      </c>
      <c r="U101" s="194" t="str">
        <f t="shared" si="16"/>
        <v/>
      </c>
      <c r="V101" s="195" t="str">
        <f t="shared" si="13"/>
        <v/>
      </c>
      <c r="W101" s="336" t="str">
        <f t="shared" si="17"/>
        <v/>
      </c>
      <c r="X101" s="338" t="str">
        <f t="shared" si="18"/>
        <v/>
      </c>
      <c r="Y101" s="274"/>
      <c r="AR101" t="str">
        <f t="shared" si="19"/>
        <v/>
      </c>
      <c r="AS101" t="str">
        <f t="shared" si="20"/>
        <v/>
      </c>
    </row>
    <row r="102" spans="1:45">
      <c r="A102" s="291"/>
      <c r="B102" s="292"/>
      <c r="C102" s="293"/>
      <c r="D102" s="293"/>
      <c r="E102" s="293"/>
      <c r="F102" s="293"/>
      <c r="G102" s="294"/>
      <c r="H102" s="300"/>
      <c r="I102" s="295"/>
      <c r="J102" s="295"/>
      <c r="K102" s="296"/>
      <c r="L102" s="301"/>
      <c r="M102" s="297"/>
      <c r="N102" s="298"/>
      <c r="P102" s="190" t="str">
        <f>IF(R102 = "", "", COUNT(R$4:$R102))</f>
        <v/>
      </c>
      <c r="Q102" s="190" t="str">
        <f t="shared" si="11"/>
        <v/>
      </c>
      <c r="R102" s="191" t="str">
        <f t="shared" si="12"/>
        <v/>
      </c>
      <c r="S102" s="192" t="str">
        <f t="shared" si="14"/>
        <v/>
      </c>
      <c r="T102" s="193" t="str">
        <f t="shared" si="15"/>
        <v/>
      </c>
      <c r="U102" s="194" t="str">
        <f t="shared" si="16"/>
        <v/>
      </c>
      <c r="V102" s="195" t="str">
        <f t="shared" si="13"/>
        <v/>
      </c>
      <c r="W102" s="336" t="str">
        <f t="shared" si="17"/>
        <v/>
      </c>
      <c r="X102" s="338" t="str">
        <f t="shared" si="18"/>
        <v/>
      </c>
      <c r="Y102" s="274"/>
      <c r="AR102" t="str">
        <f t="shared" si="19"/>
        <v/>
      </c>
      <c r="AS102" t="str">
        <f t="shared" si="20"/>
        <v/>
      </c>
    </row>
    <row r="103" spans="1:45">
      <c r="A103" s="291"/>
      <c r="B103" s="292"/>
      <c r="C103" s="293"/>
      <c r="D103" s="293"/>
      <c r="E103" s="293"/>
      <c r="F103" s="293"/>
      <c r="G103" s="294"/>
      <c r="H103" s="300"/>
      <c r="I103" s="295"/>
      <c r="J103" s="295"/>
      <c r="K103" s="296"/>
      <c r="L103" s="301"/>
      <c r="M103" s="297"/>
      <c r="N103" s="298"/>
      <c r="P103" s="190" t="str">
        <f>IF(R103 = "", "", COUNT(R$4:$R103))</f>
        <v/>
      </c>
      <c r="Q103" s="190" t="str">
        <f t="shared" si="11"/>
        <v/>
      </c>
      <c r="R103" s="191" t="str">
        <f t="shared" si="12"/>
        <v/>
      </c>
      <c r="S103" s="192" t="str">
        <f t="shared" si="14"/>
        <v/>
      </c>
      <c r="T103" s="193" t="str">
        <f t="shared" si="15"/>
        <v/>
      </c>
      <c r="U103" s="194" t="str">
        <f t="shared" si="16"/>
        <v/>
      </c>
      <c r="V103" s="195" t="str">
        <f t="shared" si="13"/>
        <v/>
      </c>
      <c r="W103" s="336" t="str">
        <f t="shared" si="17"/>
        <v/>
      </c>
      <c r="X103" s="338" t="str">
        <f t="shared" si="18"/>
        <v/>
      </c>
      <c r="Y103" s="274"/>
      <c r="AR103" t="str">
        <f t="shared" si="19"/>
        <v/>
      </c>
      <c r="AS103" t="str">
        <f t="shared" si="20"/>
        <v/>
      </c>
    </row>
    <row r="104" spans="1:45">
      <c r="A104" s="291"/>
      <c r="B104" s="292"/>
      <c r="C104" s="293"/>
      <c r="D104" s="293"/>
      <c r="E104" s="293"/>
      <c r="F104" s="293"/>
      <c r="G104" s="294"/>
      <c r="H104" s="300"/>
      <c r="I104" s="295"/>
      <c r="J104" s="295"/>
      <c r="K104" s="296"/>
      <c r="L104" s="301"/>
      <c r="M104" s="297"/>
      <c r="N104" s="298"/>
      <c r="P104" s="190" t="str">
        <f>IF(R104 = "", "", COUNT(R$4:$R104))</f>
        <v/>
      </c>
      <c r="Q104" s="190" t="str">
        <f t="shared" si="11"/>
        <v/>
      </c>
      <c r="R104" s="191" t="str">
        <f t="shared" si="12"/>
        <v/>
      </c>
      <c r="S104" s="192" t="str">
        <f t="shared" si="14"/>
        <v/>
      </c>
      <c r="T104" s="193" t="str">
        <f t="shared" si="15"/>
        <v/>
      </c>
      <c r="U104" s="194" t="str">
        <f t="shared" si="16"/>
        <v/>
      </c>
      <c r="V104" s="195" t="str">
        <f t="shared" si="13"/>
        <v/>
      </c>
      <c r="W104" s="336" t="str">
        <f t="shared" si="17"/>
        <v/>
      </c>
      <c r="X104" s="338" t="str">
        <f t="shared" si="18"/>
        <v/>
      </c>
      <c r="Y104" s="274"/>
      <c r="AR104" t="str">
        <f t="shared" si="19"/>
        <v/>
      </c>
      <c r="AS104" t="str">
        <f t="shared" si="20"/>
        <v/>
      </c>
    </row>
    <row r="105" spans="1:45">
      <c r="A105" s="291"/>
      <c r="B105" s="292"/>
      <c r="C105" s="293"/>
      <c r="D105" s="293"/>
      <c r="E105" s="293"/>
      <c r="F105" s="293"/>
      <c r="G105" s="294"/>
      <c r="H105" s="300"/>
      <c r="I105" s="295"/>
      <c r="J105" s="295"/>
      <c r="K105" s="296"/>
      <c r="L105" s="301"/>
      <c r="M105" s="297"/>
      <c r="N105" s="298"/>
      <c r="P105" s="190" t="str">
        <f>IF(R105 = "", "", COUNT(R$4:$R105))</f>
        <v/>
      </c>
      <c r="Q105" s="190" t="str">
        <f t="shared" si="11"/>
        <v/>
      </c>
      <c r="R105" s="191" t="str">
        <f t="shared" si="12"/>
        <v/>
      </c>
      <c r="S105" s="192" t="str">
        <f t="shared" si="14"/>
        <v/>
      </c>
      <c r="T105" s="193" t="str">
        <f t="shared" si="15"/>
        <v/>
      </c>
      <c r="U105" s="194" t="str">
        <f t="shared" si="16"/>
        <v/>
      </c>
      <c r="V105" s="195" t="str">
        <f t="shared" si="13"/>
        <v/>
      </c>
      <c r="W105" s="336" t="str">
        <f t="shared" si="17"/>
        <v/>
      </c>
      <c r="X105" s="338" t="str">
        <f t="shared" si="18"/>
        <v/>
      </c>
      <c r="Y105" s="274"/>
      <c r="AR105" t="str">
        <f t="shared" si="19"/>
        <v/>
      </c>
      <c r="AS105" t="str">
        <f t="shared" si="20"/>
        <v/>
      </c>
    </row>
    <row r="106" spans="1:45">
      <c r="A106" s="291"/>
      <c r="B106" s="292"/>
      <c r="C106" s="293"/>
      <c r="D106" s="293"/>
      <c r="E106" s="293"/>
      <c r="F106" s="293"/>
      <c r="G106" s="294"/>
      <c r="H106" s="300"/>
      <c r="I106" s="295"/>
      <c r="J106" s="295"/>
      <c r="K106" s="296"/>
      <c r="L106" s="301"/>
      <c r="M106" s="297"/>
      <c r="N106" s="298"/>
      <c r="P106" s="190" t="str">
        <f>IF(R106 = "", "", COUNT(R$4:$R106))</f>
        <v/>
      </c>
      <c r="Q106" s="190" t="str">
        <f t="shared" si="11"/>
        <v/>
      </c>
      <c r="R106" s="191" t="str">
        <f t="shared" si="12"/>
        <v/>
      </c>
      <c r="S106" s="192" t="str">
        <f t="shared" si="14"/>
        <v/>
      </c>
      <c r="T106" s="193" t="str">
        <f t="shared" si="15"/>
        <v/>
      </c>
      <c r="U106" s="194" t="str">
        <f t="shared" si="16"/>
        <v/>
      </c>
      <c r="V106" s="195" t="str">
        <f t="shared" si="13"/>
        <v/>
      </c>
      <c r="W106" s="336" t="str">
        <f t="shared" si="17"/>
        <v/>
      </c>
      <c r="X106" s="338" t="str">
        <f t="shared" si="18"/>
        <v/>
      </c>
      <c r="Y106" s="274"/>
      <c r="AR106" t="str">
        <f t="shared" si="19"/>
        <v/>
      </c>
      <c r="AS106" t="str">
        <f t="shared" si="20"/>
        <v/>
      </c>
    </row>
    <row r="107" spans="1:45">
      <c r="A107" s="291"/>
      <c r="B107" s="292"/>
      <c r="C107" s="293"/>
      <c r="D107" s="293"/>
      <c r="E107" s="293"/>
      <c r="F107" s="293"/>
      <c r="G107" s="294"/>
      <c r="H107" s="300"/>
      <c r="I107" s="295"/>
      <c r="J107" s="295"/>
      <c r="K107" s="296"/>
      <c r="L107" s="301"/>
      <c r="M107" s="297"/>
      <c r="N107" s="298"/>
      <c r="P107" s="190" t="str">
        <f>IF(R107 = "", "", COUNT(R$4:$R107))</f>
        <v/>
      </c>
      <c r="Q107" s="190" t="str">
        <f t="shared" si="11"/>
        <v/>
      </c>
      <c r="R107" s="191" t="str">
        <f t="shared" si="12"/>
        <v/>
      </c>
      <c r="S107" s="192" t="str">
        <f t="shared" si="14"/>
        <v/>
      </c>
      <c r="T107" s="193" t="str">
        <f t="shared" si="15"/>
        <v/>
      </c>
      <c r="U107" s="194" t="str">
        <f t="shared" si="16"/>
        <v/>
      </c>
      <c r="V107" s="195" t="str">
        <f t="shared" si="13"/>
        <v/>
      </c>
      <c r="W107" s="336" t="str">
        <f t="shared" si="17"/>
        <v/>
      </c>
      <c r="X107" s="338" t="str">
        <f t="shared" si="18"/>
        <v/>
      </c>
      <c r="Y107" s="274"/>
      <c r="AR107" t="str">
        <f t="shared" si="19"/>
        <v/>
      </c>
      <c r="AS107" t="str">
        <f t="shared" si="20"/>
        <v/>
      </c>
    </row>
    <row r="108" spans="1:45">
      <c r="A108" s="291"/>
      <c r="B108" s="292"/>
      <c r="C108" s="293"/>
      <c r="D108" s="293"/>
      <c r="E108" s="293"/>
      <c r="F108" s="293"/>
      <c r="G108" s="294"/>
      <c r="H108" s="300"/>
      <c r="I108" s="295"/>
      <c r="J108" s="295"/>
      <c r="K108" s="296"/>
      <c r="L108" s="301"/>
      <c r="M108" s="297"/>
      <c r="N108" s="298"/>
      <c r="P108" s="190" t="str">
        <f>IF(R108 = "", "", COUNT(R$4:$R108))</f>
        <v/>
      </c>
      <c r="Q108" s="190" t="str">
        <f t="shared" si="11"/>
        <v/>
      </c>
      <c r="R108" s="191" t="str">
        <f t="shared" si="12"/>
        <v/>
      </c>
      <c r="S108" s="192" t="str">
        <f t="shared" si="14"/>
        <v/>
      </c>
      <c r="T108" s="193" t="str">
        <f t="shared" si="15"/>
        <v/>
      </c>
      <c r="U108" s="194" t="str">
        <f t="shared" si="16"/>
        <v/>
      </c>
      <c r="V108" s="195" t="str">
        <f t="shared" si="13"/>
        <v/>
      </c>
      <c r="W108" s="336" t="str">
        <f t="shared" si="17"/>
        <v/>
      </c>
      <c r="X108" s="338" t="str">
        <f t="shared" si="18"/>
        <v/>
      </c>
      <c r="Y108" s="274"/>
      <c r="AR108" t="str">
        <f t="shared" si="19"/>
        <v/>
      </c>
      <c r="AS108" t="str">
        <f t="shared" si="20"/>
        <v/>
      </c>
    </row>
    <row r="109" spans="1:45">
      <c r="A109" s="291"/>
      <c r="B109" s="292"/>
      <c r="C109" s="293"/>
      <c r="D109" s="293"/>
      <c r="E109" s="293"/>
      <c r="F109" s="293"/>
      <c r="G109" s="294"/>
      <c r="H109" s="300"/>
      <c r="I109" s="295"/>
      <c r="J109" s="295"/>
      <c r="K109" s="296"/>
      <c r="L109" s="301"/>
      <c r="M109" s="297"/>
      <c r="N109" s="298"/>
      <c r="P109" s="190" t="str">
        <f>IF(R109 = "", "", COUNT(R$4:$R109))</f>
        <v/>
      </c>
      <c r="Q109" s="190" t="str">
        <f t="shared" si="11"/>
        <v/>
      </c>
      <c r="R109" s="191" t="str">
        <f t="shared" si="12"/>
        <v/>
      </c>
      <c r="S109" s="192" t="str">
        <f t="shared" si="14"/>
        <v/>
      </c>
      <c r="T109" s="193" t="str">
        <f t="shared" si="15"/>
        <v/>
      </c>
      <c r="U109" s="194" t="str">
        <f t="shared" si="16"/>
        <v/>
      </c>
      <c r="V109" s="195" t="str">
        <f t="shared" si="13"/>
        <v/>
      </c>
      <c r="W109" s="336" t="str">
        <f t="shared" si="17"/>
        <v/>
      </c>
      <c r="X109" s="338" t="str">
        <f t="shared" si="18"/>
        <v/>
      </c>
      <c r="Y109" s="274"/>
      <c r="AR109" t="str">
        <f t="shared" si="19"/>
        <v/>
      </c>
      <c r="AS109" t="str">
        <f t="shared" si="20"/>
        <v/>
      </c>
    </row>
    <row r="110" spans="1:45">
      <c r="A110" s="291"/>
      <c r="B110" s="292"/>
      <c r="C110" s="293"/>
      <c r="D110" s="293"/>
      <c r="E110" s="293"/>
      <c r="F110" s="293"/>
      <c r="G110" s="294"/>
      <c r="H110" s="300"/>
      <c r="I110" s="295"/>
      <c r="J110" s="295"/>
      <c r="K110" s="296"/>
      <c r="L110" s="301"/>
      <c r="M110" s="297"/>
      <c r="N110" s="298"/>
      <c r="P110" s="190" t="str">
        <f>IF(R110 = "", "", COUNT(R$4:$R110))</f>
        <v/>
      </c>
      <c r="Q110" s="190" t="str">
        <f t="shared" si="11"/>
        <v/>
      </c>
      <c r="R110" s="191" t="str">
        <f t="shared" si="12"/>
        <v/>
      </c>
      <c r="S110" s="192" t="str">
        <f t="shared" si="14"/>
        <v/>
      </c>
      <c r="T110" s="193" t="str">
        <f t="shared" si="15"/>
        <v/>
      </c>
      <c r="U110" s="194" t="str">
        <f t="shared" si="16"/>
        <v/>
      </c>
      <c r="V110" s="195" t="str">
        <f t="shared" si="13"/>
        <v/>
      </c>
      <c r="W110" s="336" t="str">
        <f t="shared" si="17"/>
        <v/>
      </c>
      <c r="X110" s="338" t="str">
        <f t="shared" si="18"/>
        <v/>
      </c>
      <c r="Y110" s="274"/>
      <c r="AR110" t="str">
        <f t="shared" si="19"/>
        <v/>
      </c>
      <c r="AS110" t="str">
        <f t="shared" si="20"/>
        <v/>
      </c>
    </row>
    <row r="111" spans="1:45">
      <c r="A111" s="291"/>
      <c r="B111" s="292"/>
      <c r="C111" s="293"/>
      <c r="D111" s="293"/>
      <c r="E111" s="293"/>
      <c r="F111" s="293"/>
      <c r="G111" s="294"/>
      <c r="H111" s="300"/>
      <c r="I111" s="295"/>
      <c r="J111" s="295"/>
      <c r="K111" s="296"/>
      <c r="L111" s="301"/>
      <c r="M111" s="297"/>
      <c r="N111" s="298"/>
      <c r="P111" s="190" t="str">
        <f>IF(R111 = "", "", COUNT(R$4:$R111))</f>
        <v/>
      </c>
      <c r="Q111" s="190" t="str">
        <f t="shared" si="11"/>
        <v/>
      </c>
      <c r="R111" s="191" t="str">
        <f t="shared" si="12"/>
        <v/>
      </c>
      <c r="S111" s="192" t="str">
        <f t="shared" si="14"/>
        <v/>
      </c>
      <c r="T111" s="193" t="str">
        <f t="shared" si="15"/>
        <v/>
      </c>
      <c r="U111" s="194" t="str">
        <f t="shared" si="16"/>
        <v/>
      </c>
      <c r="V111" s="195" t="str">
        <f t="shared" si="13"/>
        <v/>
      </c>
      <c r="W111" s="336" t="str">
        <f t="shared" si="17"/>
        <v/>
      </c>
      <c r="X111" s="338" t="str">
        <f t="shared" si="18"/>
        <v/>
      </c>
      <c r="Y111" s="274"/>
      <c r="AR111" t="str">
        <f t="shared" si="19"/>
        <v/>
      </c>
      <c r="AS111" t="str">
        <f t="shared" si="20"/>
        <v/>
      </c>
    </row>
    <row r="112" spans="1:45">
      <c r="A112" s="291"/>
      <c r="B112" s="292"/>
      <c r="C112" s="293"/>
      <c r="D112" s="293"/>
      <c r="E112" s="293"/>
      <c r="F112" s="293"/>
      <c r="G112" s="294"/>
      <c r="H112" s="300"/>
      <c r="I112" s="295"/>
      <c r="J112" s="295"/>
      <c r="K112" s="296"/>
      <c r="L112" s="301"/>
      <c r="M112" s="297"/>
      <c r="N112" s="298"/>
      <c r="P112" s="190" t="str">
        <f>IF(R112 = "", "", COUNT(R$4:$R112))</f>
        <v/>
      </c>
      <c r="Q112" s="190" t="str">
        <f t="shared" si="11"/>
        <v/>
      </c>
      <c r="R112" s="191" t="str">
        <f t="shared" si="12"/>
        <v/>
      </c>
      <c r="S112" s="192" t="str">
        <f t="shared" si="14"/>
        <v/>
      </c>
      <c r="T112" s="193" t="str">
        <f t="shared" si="15"/>
        <v/>
      </c>
      <c r="U112" s="194" t="str">
        <f t="shared" si="16"/>
        <v/>
      </c>
      <c r="V112" s="195" t="str">
        <f t="shared" si="13"/>
        <v/>
      </c>
      <c r="W112" s="336" t="str">
        <f t="shared" si="17"/>
        <v/>
      </c>
      <c r="X112" s="338" t="str">
        <f t="shared" si="18"/>
        <v/>
      </c>
      <c r="Y112" s="274"/>
      <c r="AR112" t="str">
        <f t="shared" si="19"/>
        <v/>
      </c>
      <c r="AS112" t="str">
        <f t="shared" si="20"/>
        <v/>
      </c>
    </row>
    <row r="113" spans="1:45">
      <c r="A113" s="291"/>
      <c r="B113" s="292"/>
      <c r="C113" s="293"/>
      <c r="D113" s="293"/>
      <c r="E113" s="293"/>
      <c r="F113" s="293"/>
      <c r="G113" s="294"/>
      <c r="H113" s="300"/>
      <c r="I113" s="295"/>
      <c r="J113" s="295"/>
      <c r="K113" s="296"/>
      <c r="L113" s="301"/>
      <c r="M113" s="297"/>
      <c r="N113" s="298"/>
      <c r="P113" s="190" t="str">
        <f>IF(R113 = "", "", COUNT(R$4:$R113))</f>
        <v/>
      </c>
      <c r="Q113" s="190" t="str">
        <f t="shared" si="11"/>
        <v/>
      </c>
      <c r="R113" s="191" t="str">
        <f t="shared" si="12"/>
        <v/>
      </c>
      <c r="S113" s="192" t="str">
        <f t="shared" si="14"/>
        <v/>
      </c>
      <c r="T113" s="193" t="str">
        <f t="shared" si="15"/>
        <v/>
      </c>
      <c r="U113" s="194" t="str">
        <f t="shared" si="16"/>
        <v/>
      </c>
      <c r="V113" s="195" t="str">
        <f t="shared" si="13"/>
        <v/>
      </c>
      <c r="W113" s="336" t="str">
        <f t="shared" si="17"/>
        <v/>
      </c>
      <c r="X113" s="338" t="str">
        <f t="shared" si="18"/>
        <v/>
      </c>
      <c r="Y113" s="274"/>
      <c r="AR113" t="str">
        <f t="shared" si="19"/>
        <v/>
      </c>
      <c r="AS113" t="str">
        <f t="shared" si="20"/>
        <v/>
      </c>
    </row>
    <row r="114" spans="1:45">
      <c r="A114" s="291"/>
      <c r="B114" s="292"/>
      <c r="C114" s="293"/>
      <c r="D114" s="293"/>
      <c r="E114" s="293"/>
      <c r="F114" s="293"/>
      <c r="G114" s="294"/>
      <c r="H114" s="300"/>
      <c r="I114" s="295"/>
      <c r="J114" s="295"/>
      <c r="K114" s="296"/>
      <c r="L114" s="301"/>
      <c r="M114" s="297"/>
      <c r="N114" s="298"/>
      <c r="P114" s="190" t="str">
        <f>IF(R114 = "", "", COUNT(R$4:$R114))</f>
        <v/>
      </c>
      <c r="Q114" s="190" t="str">
        <f t="shared" si="11"/>
        <v/>
      </c>
      <c r="R114" s="191" t="str">
        <f t="shared" si="12"/>
        <v/>
      </c>
      <c r="S114" s="192" t="str">
        <f t="shared" si="14"/>
        <v/>
      </c>
      <c r="T114" s="193" t="str">
        <f t="shared" si="15"/>
        <v/>
      </c>
      <c r="U114" s="194" t="str">
        <f t="shared" si="16"/>
        <v/>
      </c>
      <c r="V114" s="195" t="str">
        <f t="shared" si="13"/>
        <v/>
      </c>
      <c r="W114" s="336" t="str">
        <f t="shared" si="17"/>
        <v/>
      </c>
      <c r="X114" s="338" t="str">
        <f t="shared" si="18"/>
        <v/>
      </c>
      <c r="Y114" s="274"/>
      <c r="AR114" t="str">
        <f t="shared" si="19"/>
        <v/>
      </c>
      <c r="AS114" t="str">
        <f t="shared" si="20"/>
        <v/>
      </c>
    </row>
    <row r="115" spans="1:45">
      <c r="A115" s="291"/>
      <c r="B115" s="292"/>
      <c r="C115" s="293"/>
      <c r="D115" s="293"/>
      <c r="E115" s="293"/>
      <c r="F115" s="293"/>
      <c r="G115" s="294"/>
      <c r="H115" s="300"/>
      <c r="I115" s="295"/>
      <c r="J115" s="295"/>
      <c r="K115" s="296"/>
      <c r="L115" s="301"/>
      <c r="M115" s="297"/>
      <c r="N115" s="298"/>
      <c r="P115" s="190" t="str">
        <f>IF(R115 = "", "", COUNT(R$4:$R115))</f>
        <v/>
      </c>
      <c r="Q115" s="190" t="str">
        <f t="shared" si="11"/>
        <v/>
      </c>
      <c r="R115" s="191" t="str">
        <f t="shared" si="12"/>
        <v/>
      </c>
      <c r="S115" s="192" t="str">
        <f t="shared" si="14"/>
        <v/>
      </c>
      <c r="T115" s="193" t="str">
        <f t="shared" si="15"/>
        <v/>
      </c>
      <c r="U115" s="194" t="str">
        <f t="shared" si="16"/>
        <v/>
      </c>
      <c r="V115" s="195" t="str">
        <f t="shared" si="13"/>
        <v/>
      </c>
      <c r="W115" s="336" t="str">
        <f t="shared" si="17"/>
        <v/>
      </c>
      <c r="X115" s="338" t="str">
        <f t="shared" si="18"/>
        <v/>
      </c>
      <c r="Y115" s="274"/>
      <c r="AR115" t="str">
        <f t="shared" si="19"/>
        <v/>
      </c>
      <c r="AS115" t="str">
        <f t="shared" si="20"/>
        <v/>
      </c>
    </row>
    <row r="116" spans="1:45">
      <c r="A116" s="291"/>
      <c r="B116" s="292"/>
      <c r="C116" s="293"/>
      <c r="D116" s="293"/>
      <c r="E116" s="293"/>
      <c r="F116" s="293"/>
      <c r="G116" s="294"/>
      <c r="H116" s="300"/>
      <c r="I116" s="295"/>
      <c r="J116" s="295"/>
      <c r="K116" s="296"/>
      <c r="L116" s="301"/>
      <c r="M116" s="297"/>
      <c r="N116" s="298"/>
      <c r="P116" s="190" t="str">
        <f>IF(R116 = "", "", COUNT(R$4:$R116))</f>
        <v/>
      </c>
      <c r="Q116" s="190" t="str">
        <f t="shared" si="11"/>
        <v/>
      </c>
      <c r="R116" s="191" t="str">
        <f t="shared" si="12"/>
        <v/>
      </c>
      <c r="S116" s="192" t="str">
        <f t="shared" si="14"/>
        <v/>
      </c>
      <c r="T116" s="193" t="str">
        <f t="shared" si="15"/>
        <v/>
      </c>
      <c r="U116" s="194" t="str">
        <f t="shared" si="16"/>
        <v/>
      </c>
      <c r="V116" s="195" t="str">
        <f t="shared" si="13"/>
        <v/>
      </c>
      <c r="W116" s="336" t="str">
        <f t="shared" si="17"/>
        <v/>
      </c>
      <c r="X116" s="338" t="str">
        <f t="shared" si="18"/>
        <v/>
      </c>
      <c r="Y116" s="274"/>
      <c r="AR116" t="str">
        <f t="shared" si="19"/>
        <v/>
      </c>
      <c r="AS116" t="str">
        <f t="shared" si="20"/>
        <v/>
      </c>
    </row>
    <row r="117" spans="1:45">
      <c r="A117" s="291"/>
      <c r="B117" s="292"/>
      <c r="C117" s="293"/>
      <c r="D117" s="293"/>
      <c r="E117" s="293"/>
      <c r="F117" s="293"/>
      <c r="G117" s="294"/>
      <c r="H117" s="300"/>
      <c r="I117" s="295"/>
      <c r="J117" s="295"/>
      <c r="K117" s="296"/>
      <c r="L117" s="301"/>
      <c r="M117" s="297"/>
      <c r="N117" s="298"/>
      <c r="P117" s="190" t="str">
        <f>IF(R117 = "", "", COUNT(R$4:$R117))</f>
        <v/>
      </c>
      <c r="Q117" s="190" t="str">
        <f t="shared" si="11"/>
        <v/>
      </c>
      <c r="R117" s="191" t="str">
        <f t="shared" si="12"/>
        <v/>
      </c>
      <c r="S117" s="192" t="str">
        <f t="shared" si="14"/>
        <v/>
      </c>
      <c r="T117" s="193" t="str">
        <f t="shared" si="15"/>
        <v/>
      </c>
      <c r="U117" s="194" t="str">
        <f t="shared" si="16"/>
        <v/>
      </c>
      <c r="V117" s="195" t="str">
        <f t="shared" si="13"/>
        <v/>
      </c>
      <c r="W117" s="336" t="str">
        <f t="shared" si="17"/>
        <v/>
      </c>
      <c r="X117" s="338" t="str">
        <f t="shared" si="18"/>
        <v/>
      </c>
      <c r="Y117" s="274"/>
      <c r="AR117" t="str">
        <f t="shared" si="19"/>
        <v/>
      </c>
      <c r="AS117" t="str">
        <f t="shared" si="20"/>
        <v/>
      </c>
    </row>
    <row r="118" spans="1:45">
      <c r="A118" s="291"/>
      <c r="B118" s="292"/>
      <c r="C118" s="293"/>
      <c r="D118" s="293"/>
      <c r="E118" s="293"/>
      <c r="F118" s="293"/>
      <c r="G118" s="294"/>
      <c r="H118" s="300"/>
      <c r="I118" s="295"/>
      <c r="J118" s="295"/>
      <c r="K118" s="296"/>
      <c r="L118" s="301"/>
      <c r="M118" s="297"/>
      <c r="N118" s="298"/>
      <c r="P118" s="190" t="str">
        <f>IF(R118 = "", "", COUNT(R$4:$R118))</f>
        <v/>
      </c>
      <c r="Q118" s="190" t="str">
        <f t="shared" si="11"/>
        <v/>
      </c>
      <c r="R118" s="191" t="str">
        <f t="shared" si="12"/>
        <v/>
      </c>
      <c r="S118" s="192" t="str">
        <f t="shared" si="14"/>
        <v/>
      </c>
      <c r="T118" s="193" t="str">
        <f t="shared" si="15"/>
        <v/>
      </c>
      <c r="U118" s="194" t="str">
        <f t="shared" si="16"/>
        <v/>
      </c>
      <c r="V118" s="195" t="str">
        <f t="shared" si="13"/>
        <v/>
      </c>
      <c r="W118" s="336" t="str">
        <f t="shared" si="17"/>
        <v/>
      </c>
      <c r="X118" s="338" t="str">
        <f t="shared" si="18"/>
        <v/>
      </c>
      <c r="Y118" s="274"/>
      <c r="AR118" t="str">
        <f t="shared" si="19"/>
        <v/>
      </c>
      <c r="AS118" t="str">
        <f t="shared" si="20"/>
        <v/>
      </c>
    </row>
    <row r="119" spans="1:45">
      <c r="A119" s="291"/>
      <c r="B119" s="292"/>
      <c r="C119" s="293"/>
      <c r="D119" s="293"/>
      <c r="E119" s="293"/>
      <c r="F119" s="293"/>
      <c r="G119" s="294"/>
      <c r="H119" s="300"/>
      <c r="I119" s="295"/>
      <c r="J119" s="295"/>
      <c r="K119" s="296"/>
      <c r="L119" s="301"/>
      <c r="M119" s="297"/>
      <c r="N119" s="298"/>
      <c r="P119" s="190" t="str">
        <f>IF(R119 = "", "", COUNT(R$4:$R119))</f>
        <v/>
      </c>
      <c r="Q119" s="190" t="str">
        <f t="shared" si="11"/>
        <v/>
      </c>
      <c r="R119" s="191" t="str">
        <f t="shared" si="12"/>
        <v/>
      </c>
      <c r="S119" s="192" t="str">
        <f t="shared" si="14"/>
        <v/>
      </c>
      <c r="T119" s="193" t="str">
        <f t="shared" si="15"/>
        <v/>
      </c>
      <c r="U119" s="194" t="str">
        <f t="shared" si="16"/>
        <v/>
      </c>
      <c r="V119" s="195" t="str">
        <f t="shared" si="13"/>
        <v/>
      </c>
      <c r="W119" s="336" t="str">
        <f t="shared" si="17"/>
        <v/>
      </c>
      <c r="X119" s="338" t="str">
        <f t="shared" si="18"/>
        <v/>
      </c>
      <c r="Y119" s="274"/>
      <c r="AR119" t="str">
        <f t="shared" si="19"/>
        <v/>
      </c>
      <c r="AS119" t="str">
        <f t="shared" si="20"/>
        <v/>
      </c>
    </row>
    <row r="120" spans="1:45">
      <c r="A120" s="291"/>
      <c r="B120" s="292"/>
      <c r="C120" s="293"/>
      <c r="D120" s="293"/>
      <c r="E120" s="293"/>
      <c r="F120" s="293"/>
      <c r="G120" s="294"/>
      <c r="H120" s="300"/>
      <c r="I120" s="295"/>
      <c r="J120" s="295"/>
      <c r="K120" s="296"/>
      <c r="L120" s="301"/>
      <c r="M120" s="297"/>
      <c r="N120" s="298"/>
      <c r="P120" s="190" t="str">
        <f>IF(R120 = "", "", COUNT(R$4:$R120))</f>
        <v/>
      </c>
      <c r="Q120" s="190" t="str">
        <f t="shared" si="11"/>
        <v/>
      </c>
      <c r="R120" s="191" t="str">
        <f t="shared" si="12"/>
        <v/>
      </c>
      <c r="S120" s="192" t="str">
        <f t="shared" si="14"/>
        <v/>
      </c>
      <c r="T120" s="193" t="str">
        <f t="shared" si="15"/>
        <v/>
      </c>
      <c r="U120" s="194" t="str">
        <f t="shared" si="16"/>
        <v/>
      </c>
      <c r="V120" s="195" t="str">
        <f t="shared" si="13"/>
        <v/>
      </c>
      <c r="W120" s="336" t="str">
        <f t="shared" si="17"/>
        <v/>
      </c>
      <c r="X120" s="338" t="str">
        <f t="shared" si="18"/>
        <v/>
      </c>
      <c r="Y120" s="274"/>
      <c r="AR120" t="str">
        <f t="shared" si="19"/>
        <v/>
      </c>
      <c r="AS120" t="str">
        <f t="shared" si="20"/>
        <v/>
      </c>
    </row>
    <row r="121" spans="1:45">
      <c r="A121" s="291"/>
      <c r="B121" s="292"/>
      <c r="C121" s="293"/>
      <c r="D121" s="293"/>
      <c r="E121" s="293"/>
      <c r="F121" s="293"/>
      <c r="G121" s="294"/>
      <c r="H121" s="300"/>
      <c r="I121" s="295"/>
      <c r="J121" s="295"/>
      <c r="K121" s="296"/>
      <c r="L121" s="301"/>
      <c r="M121" s="297"/>
      <c r="N121" s="298"/>
      <c r="P121" s="190" t="str">
        <f>IF(R121 = "", "", COUNT(R$4:$R121))</f>
        <v/>
      </c>
      <c r="Q121" s="190" t="str">
        <f t="shared" si="11"/>
        <v/>
      </c>
      <c r="R121" s="191" t="str">
        <f t="shared" si="12"/>
        <v/>
      </c>
      <c r="S121" s="192" t="str">
        <f t="shared" si="14"/>
        <v/>
      </c>
      <c r="T121" s="193" t="str">
        <f t="shared" si="15"/>
        <v/>
      </c>
      <c r="U121" s="194" t="str">
        <f t="shared" si="16"/>
        <v/>
      </c>
      <c r="V121" s="195" t="str">
        <f t="shared" si="13"/>
        <v/>
      </c>
      <c r="W121" s="336" t="str">
        <f t="shared" si="17"/>
        <v/>
      </c>
      <c r="X121" s="338" t="str">
        <f t="shared" si="18"/>
        <v/>
      </c>
      <c r="Y121" s="274"/>
      <c r="AR121" t="str">
        <f t="shared" si="19"/>
        <v/>
      </c>
      <c r="AS121" t="str">
        <f t="shared" si="20"/>
        <v/>
      </c>
    </row>
    <row r="122" spans="1:45">
      <c r="A122" s="291"/>
      <c r="B122" s="292"/>
      <c r="C122" s="293"/>
      <c r="D122" s="293"/>
      <c r="E122" s="293"/>
      <c r="F122" s="293"/>
      <c r="G122" s="294"/>
      <c r="H122" s="300"/>
      <c r="I122" s="295"/>
      <c r="J122" s="295"/>
      <c r="K122" s="296"/>
      <c r="L122" s="301"/>
      <c r="M122" s="297"/>
      <c r="N122" s="298"/>
      <c r="P122" s="190" t="str">
        <f>IF(R122 = "", "", COUNT(R$4:$R122))</f>
        <v/>
      </c>
      <c r="Q122" s="190" t="str">
        <f t="shared" si="11"/>
        <v/>
      </c>
      <c r="R122" s="191" t="str">
        <f t="shared" si="12"/>
        <v/>
      </c>
      <c r="S122" s="192" t="str">
        <f t="shared" si="14"/>
        <v/>
      </c>
      <c r="T122" s="193" t="str">
        <f t="shared" si="15"/>
        <v/>
      </c>
      <c r="U122" s="194" t="str">
        <f t="shared" si="16"/>
        <v/>
      </c>
      <c r="V122" s="195" t="str">
        <f t="shared" si="13"/>
        <v/>
      </c>
      <c r="W122" s="336" t="str">
        <f t="shared" si="17"/>
        <v/>
      </c>
      <c r="X122" s="338" t="str">
        <f t="shared" si="18"/>
        <v/>
      </c>
      <c r="Y122" s="274"/>
      <c r="AR122" t="str">
        <f t="shared" si="19"/>
        <v/>
      </c>
      <c r="AS122" t="str">
        <f t="shared" si="20"/>
        <v/>
      </c>
    </row>
    <row r="123" spans="1:45">
      <c r="A123" s="291"/>
      <c r="B123" s="292"/>
      <c r="C123" s="293"/>
      <c r="D123" s="293"/>
      <c r="E123" s="293"/>
      <c r="F123" s="293"/>
      <c r="G123" s="294"/>
      <c r="H123" s="300"/>
      <c r="I123" s="295"/>
      <c r="J123" s="295"/>
      <c r="K123" s="296"/>
      <c r="L123" s="301"/>
      <c r="M123" s="297"/>
      <c r="N123" s="298"/>
      <c r="P123" s="190" t="str">
        <f>IF(R123 = "", "", COUNT(R$4:$R123))</f>
        <v/>
      </c>
      <c r="Q123" s="190" t="str">
        <f t="shared" si="11"/>
        <v/>
      </c>
      <c r="R123" s="191" t="str">
        <f t="shared" si="12"/>
        <v/>
      </c>
      <c r="S123" s="192" t="str">
        <f t="shared" si="14"/>
        <v/>
      </c>
      <c r="T123" s="193" t="str">
        <f t="shared" si="15"/>
        <v/>
      </c>
      <c r="U123" s="194" t="str">
        <f t="shared" si="16"/>
        <v/>
      </c>
      <c r="V123" s="195" t="str">
        <f t="shared" si="13"/>
        <v/>
      </c>
      <c r="W123" s="336" t="str">
        <f t="shared" si="17"/>
        <v/>
      </c>
      <c r="X123" s="338" t="str">
        <f t="shared" si="18"/>
        <v/>
      </c>
      <c r="Y123" s="274"/>
      <c r="AR123" t="str">
        <f t="shared" si="19"/>
        <v/>
      </c>
      <c r="AS123" t="str">
        <f t="shared" si="20"/>
        <v/>
      </c>
    </row>
    <row r="124" spans="1:45">
      <c r="A124" s="291"/>
      <c r="B124" s="292"/>
      <c r="C124" s="293"/>
      <c r="D124" s="293"/>
      <c r="E124" s="293"/>
      <c r="F124" s="293"/>
      <c r="G124" s="294"/>
      <c r="H124" s="300"/>
      <c r="I124" s="295"/>
      <c r="J124" s="295"/>
      <c r="K124" s="296"/>
      <c r="L124" s="301"/>
      <c r="M124" s="297"/>
      <c r="N124" s="298"/>
      <c r="P124" s="190" t="str">
        <f>IF(R124 = "", "", COUNT(R$4:$R124))</f>
        <v/>
      </c>
      <c r="Q124" s="190" t="str">
        <f t="shared" si="11"/>
        <v/>
      </c>
      <c r="R124" s="191" t="str">
        <f t="shared" si="12"/>
        <v/>
      </c>
      <c r="S124" s="192" t="str">
        <f t="shared" si="14"/>
        <v/>
      </c>
      <c r="T124" s="193" t="str">
        <f t="shared" si="15"/>
        <v/>
      </c>
      <c r="U124" s="194" t="str">
        <f t="shared" si="16"/>
        <v/>
      </c>
      <c r="V124" s="195" t="str">
        <f t="shared" si="13"/>
        <v/>
      </c>
      <c r="W124" s="336" t="str">
        <f t="shared" si="17"/>
        <v/>
      </c>
      <c r="X124" s="338" t="str">
        <f t="shared" si="18"/>
        <v/>
      </c>
      <c r="Y124" s="274"/>
      <c r="AR124" t="str">
        <f t="shared" si="19"/>
        <v/>
      </c>
      <c r="AS124" t="str">
        <f t="shared" si="20"/>
        <v/>
      </c>
    </row>
    <row r="125" spans="1:45">
      <c r="A125" s="291"/>
      <c r="B125" s="292"/>
      <c r="C125" s="293"/>
      <c r="D125" s="293"/>
      <c r="E125" s="293"/>
      <c r="F125" s="293"/>
      <c r="G125" s="294"/>
      <c r="H125" s="300"/>
      <c r="I125" s="295"/>
      <c r="J125" s="295"/>
      <c r="K125" s="296"/>
      <c r="L125" s="301"/>
      <c r="M125" s="297"/>
      <c r="N125" s="298"/>
      <c r="P125" s="190" t="str">
        <f>IF(R125 = "", "", COUNT(R$4:$R125))</f>
        <v/>
      </c>
      <c r="Q125" s="190" t="str">
        <f t="shared" si="11"/>
        <v/>
      </c>
      <c r="R125" s="191" t="str">
        <f t="shared" si="12"/>
        <v/>
      </c>
      <c r="S125" s="192" t="str">
        <f t="shared" si="14"/>
        <v/>
      </c>
      <c r="T125" s="193" t="str">
        <f t="shared" si="15"/>
        <v/>
      </c>
      <c r="U125" s="194" t="str">
        <f t="shared" si="16"/>
        <v/>
      </c>
      <c r="V125" s="195" t="str">
        <f t="shared" si="13"/>
        <v/>
      </c>
      <c r="W125" s="336" t="str">
        <f t="shared" si="17"/>
        <v/>
      </c>
      <c r="X125" s="338" t="str">
        <f t="shared" si="18"/>
        <v/>
      </c>
      <c r="Y125" s="274"/>
      <c r="AR125" t="str">
        <f t="shared" si="19"/>
        <v/>
      </c>
      <c r="AS125" t="str">
        <f t="shared" si="20"/>
        <v/>
      </c>
    </row>
    <row r="126" spans="1:45">
      <c r="A126" s="291"/>
      <c r="B126" s="292"/>
      <c r="C126" s="293"/>
      <c r="D126" s="293"/>
      <c r="E126" s="293"/>
      <c r="F126" s="293"/>
      <c r="G126" s="294"/>
      <c r="H126" s="300"/>
      <c r="I126" s="295"/>
      <c r="J126" s="295"/>
      <c r="K126" s="296"/>
      <c r="L126" s="301"/>
      <c r="M126" s="297"/>
      <c r="N126" s="298"/>
      <c r="P126" s="190" t="str">
        <f>IF(R126 = "", "", COUNT(R$4:$R126))</f>
        <v/>
      </c>
      <c r="Q126" s="190" t="str">
        <f t="shared" si="11"/>
        <v/>
      </c>
      <c r="R126" s="191" t="str">
        <f t="shared" si="12"/>
        <v/>
      </c>
      <c r="S126" s="192" t="str">
        <f t="shared" si="14"/>
        <v/>
      </c>
      <c r="T126" s="193" t="str">
        <f t="shared" si="15"/>
        <v/>
      </c>
      <c r="U126" s="194" t="str">
        <f t="shared" si="16"/>
        <v/>
      </c>
      <c r="V126" s="195" t="str">
        <f t="shared" si="13"/>
        <v/>
      </c>
      <c r="W126" s="336" t="str">
        <f t="shared" si="17"/>
        <v/>
      </c>
      <c r="X126" s="338" t="str">
        <f t="shared" si="18"/>
        <v/>
      </c>
      <c r="Y126" s="274"/>
      <c r="AR126" t="str">
        <f t="shared" si="19"/>
        <v/>
      </c>
      <c r="AS126" t="str">
        <f t="shared" si="20"/>
        <v/>
      </c>
    </row>
    <row r="127" spans="1:45">
      <c r="A127" s="291"/>
      <c r="B127" s="292"/>
      <c r="C127" s="293"/>
      <c r="D127" s="293"/>
      <c r="E127" s="293"/>
      <c r="F127" s="293"/>
      <c r="G127" s="294"/>
      <c r="H127" s="300"/>
      <c r="I127" s="295"/>
      <c r="J127" s="295"/>
      <c r="K127" s="296"/>
      <c r="L127" s="301"/>
      <c r="M127" s="297"/>
      <c r="N127" s="298"/>
      <c r="P127" s="190" t="str">
        <f>IF(R127 = "", "", COUNT(R$4:$R127))</f>
        <v/>
      </c>
      <c r="Q127" s="190" t="str">
        <f t="shared" si="11"/>
        <v/>
      </c>
      <c r="R127" s="191" t="str">
        <f t="shared" si="12"/>
        <v/>
      </c>
      <c r="S127" s="192" t="str">
        <f t="shared" si="14"/>
        <v/>
      </c>
      <c r="T127" s="193" t="str">
        <f t="shared" si="15"/>
        <v/>
      </c>
      <c r="U127" s="194" t="str">
        <f t="shared" si="16"/>
        <v/>
      </c>
      <c r="V127" s="195" t="str">
        <f t="shared" si="13"/>
        <v/>
      </c>
      <c r="W127" s="336" t="str">
        <f t="shared" si="17"/>
        <v/>
      </c>
      <c r="X127" s="338" t="str">
        <f t="shared" si="18"/>
        <v/>
      </c>
      <c r="Y127" s="274"/>
      <c r="AR127" t="str">
        <f t="shared" si="19"/>
        <v/>
      </c>
      <c r="AS127" t="str">
        <f t="shared" si="20"/>
        <v/>
      </c>
    </row>
    <row r="128" spans="1:45">
      <c r="A128" s="291"/>
      <c r="B128" s="292"/>
      <c r="C128" s="293"/>
      <c r="D128" s="293"/>
      <c r="E128" s="293"/>
      <c r="F128" s="293"/>
      <c r="G128" s="294"/>
      <c r="H128" s="300"/>
      <c r="I128" s="295"/>
      <c r="J128" s="295"/>
      <c r="K128" s="296"/>
      <c r="L128" s="301"/>
      <c r="M128" s="297"/>
      <c r="N128" s="298"/>
      <c r="P128" s="190" t="str">
        <f>IF(R128 = "", "", COUNT(R$4:$R128))</f>
        <v/>
      </c>
      <c r="Q128" s="190" t="str">
        <f t="shared" si="11"/>
        <v/>
      </c>
      <c r="R128" s="191" t="str">
        <f t="shared" si="12"/>
        <v/>
      </c>
      <c r="S128" s="192" t="str">
        <f t="shared" si="14"/>
        <v/>
      </c>
      <c r="T128" s="193" t="str">
        <f t="shared" si="15"/>
        <v/>
      </c>
      <c r="U128" s="194" t="str">
        <f t="shared" si="16"/>
        <v/>
      </c>
      <c r="V128" s="195" t="str">
        <f t="shared" si="13"/>
        <v/>
      </c>
      <c r="W128" s="336" t="str">
        <f t="shared" si="17"/>
        <v/>
      </c>
      <c r="X128" s="338" t="str">
        <f t="shared" si="18"/>
        <v/>
      </c>
      <c r="Y128" s="274"/>
      <c r="AR128" t="str">
        <f t="shared" si="19"/>
        <v/>
      </c>
      <c r="AS128" t="str">
        <f t="shared" si="20"/>
        <v/>
      </c>
    </row>
    <row r="129" spans="1:45">
      <c r="A129" s="291"/>
      <c r="B129" s="292"/>
      <c r="C129" s="293"/>
      <c r="D129" s="293"/>
      <c r="E129" s="293"/>
      <c r="F129" s="293"/>
      <c r="G129" s="294"/>
      <c r="H129" s="300"/>
      <c r="I129" s="295"/>
      <c r="J129" s="295"/>
      <c r="K129" s="296"/>
      <c r="L129" s="301"/>
      <c r="M129" s="297"/>
      <c r="N129" s="298"/>
      <c r="P129" s="190" t="str">
        <f>IF(R129 = "", "", COUNT(R$4:$R129))</f>
        <v/>
      </c>
      <c r="Q129" s="190" t="str">
        <f t="shared" si="11"/>
        <v/>
      </c>
      <c r="R129" s="191" t="str">
        <f t="shared" si="12"/>
        <v/>
      </c>
      <c r="S129" s="192" t="str">
        <f t="shared" si="14"/>
        <v/>
      </c>
      <c r="T129" s="193" t="str">
        <f t="shared" si="15"/>
        <v/>
      </c>
      <c r="U129" s="194" t="str">
        <f t="shared" si="16"/>
        <v/>
      </c>
      <c r="V129" s="195" t="str">
        <f t="shared" si="13"/>
        <v/>
      </c>
      <c r="W129" s="336" t="str">
        <f t="shared" si="17"/>
        <v/>
      </c>
      <c r="X129" s="338" t="str">
        <f t="shared" si="18"/>
        <v/>
      </c>
      <c r="Y129" s="274"/>
      <c r="AR129" t="str">
        <f t="shared" si="19"/>
        <v/>
      </c>
      <c r="AS129" t="str">
        <f t="shared" si="20"/>
        <v/>
      </c>
    </row>
    <row r="130" spans="1:45">
      <c r="A130" s="291"/>
      <c r="B130" s="292"/>
      <c r="C130" s="293"/>
      <c r="D130" s="293"/>
      <c r="E130" s="293"/>
      <c r="F130" s="293"/>
      <c r="G130" s="294"/>
      <c r="H130" s="300"/>
      <c r="I130" s="295"/>
      <c r="J130" s="295"/>
      <c r="K130" s="296"/>
      <c r="L130" s="301"/>
      <c r="M130" s="297"/>
      <c r="N130" s="298"/>
      <c r="P130" s="190" t="str">
        <f>IF(R130 = "", "", COUNT(R$4:$R130))</f>
        <v/>
      </c>
      <c r="Q130" s="190" t="str">
        <f t="shared" si="11"/>
        <v/>
      </c>
      <c r="R130" s="191" t="str">
        <f t="shared" si="12"/>
        <v/>
      </c>
      <c r="S130" s="192" t="str">
        <f t="shared" si="14"/>
        <v/>
      </c>
      <c r="T130" s="193" t="str">
        <f t="shared" si="15"/>
        <v/>
      </c>
      <c r="U130" s="194" t="str">
        <f t="shared" si="16"/>
        <v/>
      </c>
      <c r="V130" s="195" t="str">
        <f t="shared" si="13"/>
        <v/>
      </c>
      <c r="W130" s="336" t="str">
        <f t="shared" si="17"/>
        <v/>
      </c>
      <c r="X130" s="338" t="str">
        <f t="shared" si="18"/>
        <v/>
      </c>
      <c r="Y130" s="274"/>
      <c r="AR130" t="str">
        <f t="shared" si="19"/>
        <v/>
      </c>
      <c r="AS130" t="str">
        <f t="shared" si="20"/>
        <v/>
      </c>
    </row>
    <row r="131" spans="1:45">
      <c r="A131" s="291"/>
      <c r="B131" s="292"/>
      <c r="C131" s="293"/>
      <c r="D131" s="293"/>
      <c r="E131" s="293"/>
      <c r="F131" s="293"/>
      <c r="G131" s="294"/>
      <c r="H131" s="300"/>
      <c r="I131" s="295"/>
      <c r="J131" s="295"/>
      <c r="K131" s="296"/>
      <c r="L131" s="301"/>
      <c r="M131" s="297"/>
      <c r="N131" s="298"/>
      <c r="P131" s="190" t="str">
        <f>IF(R131 = "", "", COUNT(R$4:$R131))</f>
        <v/>
      </c>
      <c r="Q131" s="190" t="str">
        <f t="shared" si="11"/>
        <v/>
      </c>
      <c r="R131" s="191" t="str">
        <f t="shared" si="12"/>
        <v/>
      </c>
      <c r="S131" s="192" t="str">
        <f t="shared" si="14"/>
        <v/>
      </c>
      <c r="T131" s="193" t="str">
        <f t="shared" si="15"/>
        <v/>
      </c>
      <c r="U131" s="194" t="str">
        <f t="shared" si="16"/>
        <v/>
      </c>
      <c r="V131" s="195" t="str">
        <f t="shared" si="13"/>
        <v/>
      </c>
      <c r="W131" s="336" t="str">
        <f t="shared" si="17"/>
        <v/>
      </c>
      <c r="X131" s="338" t="str">
        <f t="shared" si="18"/>
        <v/>
      </c>
      <c r="Y131" s="274"/>
      <c r="AR131" t="str">
        <f t="shared" si="19"/>
        <v/>
      </c>
      <c r="AS131" t="str">
        <f t="shared" si="20"/>
        <v/>
      </c>
    </row>
    <row r="132" spans="1:45">
      <c r="A132" s="291"/>
      <c r="B132" s="292"/>
      <c r="C132" s="293"/>
      <c r="D132" s="293"/>
      <c r="E132" s="293"/>
      <c r="F132" s="293"/>
      <c r="G132" s="294"/>
      <c r="H132" s="300"/>
      <c r="I132" s="295"/>
      <c r="J132" s="295"/>
      <c r="K132" s="296"/>
      <c r="L132" s="301"/>
      <c r="M132" s="297"/>
      <c r="N132" s="298"/>
      <c r="P132" s="190" t="str">
        <f>IF(R132 = "", "", COUNT(R$4:$R132))</f>
        <v/>
      </c>
      <c r="Q132" s="190" t="str">
        <f t="shared" ref="Q132:Q195" si="21">IF(C132 &gt; 0, YEAR(B132), "")</f>
        <v/>
      </c>
      <c r="R132" s="191" t="str">
        <f t="shared" ref="R132:R195" si="22">IF(A132="", "", IF(G132="",1,IF(G132="O",1,IF(G132="C",8.4,IF(G132="B",8.4,IF(G132="A",76.8,IF(G132="K",76.8,"ERR")))))))</f>
        <v/>
      </c>
      <c r="S132" s="192" t="str">
        <f t="shared" si="14"/>
        <v/>
      </c>
      <c r="T132" s="193" t="str">
        <f t="shared" si="15"/>
        <v/>
      </c>
      <c r="U132" s="194" t="str">
        <f t="shared" si="16"/>
        <v/>
      </c>
      <c r="V132" s="195" t="str">
        <f t="shared" ref="V132:V195" si="23">IF(IF(M132&lt;&gt;"",G132,"")=0, "O", IF(M132&lt;&gt;"",G132,""))</f>
        <v/>
      </c>
      <c r="W132" s="336" t="str">
        <f t="shared" si="17"/>
        <v/>
      </c>
      <c r="X132" s="338" t="str">
        <f t="shared" si="18"/>
        <v/>
      </c>
      <c r="Y132" s="274"/>
      <c r="AR132" t="str">
        <f t="shared" si="19"/>
        <v/>
      </c>
      <c r="AS132" t="str">
        <f t="shared" si="20"/>
        <v/>
      </c>
    </row>
    <row r="133" spans="1:45">
      <c r="A133" s="291"/>
      <c r="B133" s="292"/>
      <c r="C133" s="293"/>
      <c r="D133" s="293"/>
      <c r="E133" s="293"/>
      <c r="F133" s="293"/>
      <c r="G133" s="294"/>
      <c r="H133" s="300"/>
      <c r="I133" s="295"/>
      <c r="J133" s="295"/>
      <c r="K133" s="296"/>
      <c r="L133" s="301"/>
      <c r="M133" s="297"/>
      <c r="N133" s="298"/>
      <c r="P133" s="190" t="str">
        <f>IF(R133 = "", "", COUNT(R$4:$R133))</f>
        <v/>
      </c>
      <c r="Q133" s="190" t="str">
        <f t="shared" si="21"/>
        <v/>
      </c>
      <c r="R133" s="191" t="str">
        <f t="shared" si="22"/>
        <v/>
      </c>
      <c r="S133" s="192" t="str">
        <f t="shared" ref="S133:S196" si="24">IF(L133&lt;&gt;"",R133,"")</f>
        <v/>
      </c>
      <c r="T133" s="193" t="str">
        <f t="shared" ref="T133:T196" si="25">IF(IF(L133&lt;&gt;"",G133,"")=0, "O", IF(L133&lt;&gt;"",G133,""))</f>
        <v/>
      </c>
      <c r="U133" s="194" t="str">
        <f t="shared" ref="U133:U196" si="26">IF(M133&lt;&gt;"",R133,"")</f>
        <v/>
      </c>
      <c r="V133" s="195" t="str">
        <f t="shared" si="23"/>
        <v/>
      </c>
      <c r="W133" s="336" t="str">
        <f t="shared" ref="W133:W196" si="27">IF(N133&lt;&gt;"",R133,"")</f>
        <v/>
      </c>
      <c r="X133" s="338" t="str">
        <f t="shared" ref="X133:X196" si="28">IF(IF(N133&lt;&gt;"",G133,"")=0, "O", IF(N133&lt;&gt;"",G133,""))</f>
        <v/>
      </c>
      <c r="Y133" s="274"/>
      <c r="AR133" t="str">
        <f t="shared" ref="AR133:AR196" si="29">IF(P133&gt;0, P133, "")</f>
        <v/>
      </c>
      <c r="AS133" t="str">
        <f t="shared" ref="AS133:AS196" si="30">IF(OR(L133="Y",M133="Y",N133="Y"),"Y","")</f>
        <v/>
      </c>
    </row>
    <row r="134" spans="1:45">
      <c r="A134" s="291"/>
      <c r="B134" s="292"/>
      <c r="C134" s="293"/>
      <c r="D134" s="293"/>
      <c r="E134" s="293"/>
      <c r="F134" s="293"/>
      <c r="G134" s="294"/>
      <c r="H134" s="300"/>
      <c r="I134" s="295"/>
      <c r="J134" s="295"/>
      <c r="K134" s="296"/>
      <c r="L134" s="301"/>
      <c r="M134" s="297"/>
      <c r="N134" s="298"/>
      <c r="P134" s="190" t="str">
        <f>IF(R134 = "", "", COUNT(R$4:$R134))</f>
        <v/>
      </c>
      <c r="Q134" s="190" t="str">
        <f t="shared" si="21"/>
        <v/>
      </c>
      <c r="R134" s="191" t="str">
        <f t="shared" si="22"/>
        <v/>
      </c>
      <c r="S134" s="192" t="str">
        <f t="shared" si="24"/>
        <v/>
      </c>
      <c r="T134" s="193" t="str">
        <f t="shared" si="25"/>
        <v/>
      </c>
      <c r="U134" s="194" t="str">
        <f t="shared" si="26"/>
        <v/>
      </c>
      <c r="V134" s="195" t="str">
        <f t="shared" si="23"/>
        <v/>
      </c>
      <c r="W134" s="336" t="str">
        <f t="shared" si="27"/>
        <v/>
      </c>
      <c r="X134" s="338" t="str">
        <f t="shared" si="28"/>
        <v/>
      </c>
      <c r="Y134" s="274"/>
      <c r="AR134" t="str">
        <f t="shared" si="29"/>
        <v/>
      </c>
      <c r="AS134" t="str">
        <f t="shared" si="30"/>
        <v/>
      </c>
    </row>
    <row r="135" spans="1:45">
      <c r="A135" s="291"/>
      <c r="B135" s="292"/>
      <c r="C135" s="293"/>
      <c r="D135" s="293"/>
      <c r="E135" s="293"/>
      <c r="F135" s="293"/>
      <c r="G135" s="294"/>
      <c r="H135" s="300"/>
      <c r="I135" s="295"/>
      <c r="J135" s="295"/>
      <c r="K135" s="296"/>
      <c r="L135" s="301"/>
      <c r="M135" s="297"/>
      <c r="N135" s="298"/>
      <c r="P135" s="190" t="str">
        <f>IF(R135 = "", "", COUNT(R$4:$R135))</f>
        <v/>
      </c>
      <c r="Q135" s="190" t="str">
        <f t="shared" si="21"/>
        <v/>
      </c>
      <c r="R135" s="191" t="str">
        <f t="shared" si="22"/>
        <v/>
      </c>
      <c r="S135" s="192" t="str">
        <f t="shared" si="24"/>
        <v/>
      </c>
      <c r="T135" s="193" t="str">
        <f t="shared" si="25"/>
        <v/>
      </c>
      <c r="U135" s="194" t="str">
        <f t="shared" si="26"/>
        <v/>
      </c>
      <c r="V135" s="195" t="str">
        <f t="shared" si="23"/>
        <v/>
      </c>
      <c r="W135" s="336" t="str">
        <f t="shared" si="27"/>
        <v/>
      </c>
      <c r="X135" s="338" t="str">
        <f t="shared" si="28"/>
        <v/>
      </c>
      <c r="Y135" s="274"/>
      <c r="AR135" t="str">
        <f t="shared" si="29"/>
        <v/>
      </c>
      <c r="AS135" t="str">
        <f t="shared" si="30"/>
        <v/>
      </c>
    </row>
    <row r="136" spans="1:45">
      <c r="A136" s="291"/>
      <c r="B136" s="292"/>
      <c r="C136" s="293"/>
      <c r="D136" s="293"/>
      <c r="E136" s="293"/>
      <c r="F136" s="293"/>
      <c r="G136" s="294"/>
      <c r="H136" s="300"/>
      <c r="I136" s="295"/>
      <c r="J136" s="295"/>
      <c r="K136" s="296"/>
      <c r="L136" s="301"/>
      <c r="M136" s="297"/>
      <c r="N136" s="298"/>
      <c r="P136" s="190" t="str">
        <f>IF(R136 = "", "", COUNT(R$4:$R136))</f>
        <v/>
      </c>
      <c r="Q136" s="190" t="str">
        <f t="shared" si="21"/>
        <v/>
      </c>
      <c r="R136" s="191" t="str">
        <f t="shared" si="22"/>
        <v/>
      </c>
      <c r="S136" s="192" t="str">
        <f t="shared" si="24"/>
        <v/>
      </c>
      <c r="T136" s="193" t="str">
        <f t="shared" si="25"/>
        <v/>
      </c>
      <c r="U136" s="194" t="str">
        <f t="shared" si="26"/>
        <v/>
      </c>
      <c r="V136" s="195" t="str">
        <f t="shared" si="23"/>
        <v/>
      </c>
      <c r="W136" s="336" t="str">
        <f t="shared" si="27"/>
        <v/>
      </c>
      <c r="X136" s="338" t="str">
        <f t="shared" si="28"/>
        <v/>
      </c>
      <c r="Y136" s="274"/>
      <c r="AR136" t="str">
        <f t="shared" si="29"/>
        <v/>
      </c>
      <c r="AS136" t="str">
        <f t="shared" si="30"/>
        <v/>
      </c>
    </row>
    <row r="137" spans="1:45">
      <c r="A137" s="291"/>
      <c r="B137" s="292"/>
      <c r="C137" s="293"/>
      <c r="D137" s="293"/>
      <c r="E137" s="293"/>
      <c r="F137" s="293"/>
      <c r="G137" s="294"/>
      <c r="H137" s="300"/>
      <c r="I137" s="295"/>
      <c r="J137" s="295"/>
      <c r="K137" s="296"/>
      <c r="L137" s="301"/>
      <c r="M137" s="297"/>
      <c r="N137" s="298"/>
      <c r="P137" s="190" t="str">
        <f>IF(R137 = "", "", COUNT(R$4:$R137))</f>
        <v/>
      </c>
      <c r="Q137" s="190" t="str">
        <f t="shared" si="21"/>
        <v/>
      </c>
      <c r="R137" s="191" t="str">
        <f t="shared" si="22"/>
        <v/>
      </c>
      <c r="S137" s="192" t="str">
        <f t="shared" si="24"/>
        <v/>
      </c>
      <c r="T137" s="193" t="str">
        <f t="shared" si="25"/>
        <v/>
      </c>
      <c r="U137" s="194" t="str">
        <f t="shared" si="26"/>
        <v/>
      </c>
      <c r="V137" s="195" t="str">
        <f t="shared" si="23"/>
        <v/>
      </c>
      <c r="W137" s="336" t="str">
        <f t="shared" si="27"/>
        <v/>
      </c>
      <c r="X137" s="338" t="str">
        <f t="shared" si="28"/>
        <v/>
      </c>
      <c r="Y137" s="274"/>
      <c r="AR137" t="str">
        <f t="shared" si="29"/>
        <v/>
      </c>
      <c r="AS137" t="str">
        <f t="shared" si="30"/>
        <v/>
      </c>
    </row>
    <row r="138" spans="1:45">
      <c r="A138" s="291"/>
      <c r="B138" s="292"/>
      <c r="C138" s="293"/>
      <c r="D138" s="293"/>
      <c r="E138" s="293"/>
      <c r="F138" s="293"/>
      <c r="G138" s="294"/>
      <c r="H138" s="300"/>
      <c r="I138" s="295"/>
      <c r="J138" s="295"/>
      <c r="K138" s="296"/>
      <c r="L138" s="301"/>
      <c r="M138" s="297"/>
      <c r="N138" s="298"/>
      <c r="P138" s="190" t="str">
        <f>IF(R138 = "", "", COUNT(R$4:$R138))</f>
        <v/>
      </c>
      <c r="Q138" s="190" t="str">
        <f t="shared" si="21"/>
        <v/>
      </c>
      <c r="R138" s="191" t="str">
        <f t="shared" si="22"/>
        <v/>
      </c>
      <c r="S138" s="192" t="str">
        <f t="shared" si="24"/>
        <v/>
      </c>
      <c r="T138" s="193" t="str">
        <f t="shared" si="25"/>
        <v/>
      </c>
      <c r="U138" s="194" t="str">
        <f t="shared" si="26"/>
        <v/>
      </c>
      <c r="V138" s="195" t="str">
        <f t="shared" si="23"/>
        <v/>
      </c>
      <c r="W138" s="336" t="str">
        <f t="shared" si="27"/>
        <v/>
      </c>
      <c r="X138" s="338" t="str">
        <f t="shared" si="28"/>
        <v/>
      </c>
      <c r="Y138" s="274"/>
      <c r="AR138" t="str">
        <f t="shared" si="29"/>
        <v/>
      </c>
      <c r="AS138" t="str">
        <f t="shared" si="30"/>
        <v/>
      </c>
    </row>
    <row r="139" spans="1:45">
      <c r="A139" s="291"/>
      <c r="B139" s="292"/>
      <c r="C139" s="293"/>
      <c r="D139" s="293"/>
      <c r="E139" s="293"/>
      <c r="F139" s="293"/>
      <c r="G139" s="294"/>
      <c r="H139" s="300"/>
      <c r="I139" s="295"/>
      <c r="J139" s="295"/>
      <c r="K139" s="296"/>
      <c r="L139" s="301"/>
      <c r="M139" s="297"/>
      <c r="N139" s="298"/>
      <c r="P139" s="190" t="str">
        <f>IF(R139 = "", "", COUNT(R$4:$R139))</f>
        <v/>
      </c>
      <c r="Q139" s="190" t="str">
        <f t="shared" si="21"/>
        <v/>
      </c>
      <c r="R139" s="191" t="str">
        <f t="shared" si="22"/>
        <v/>
      </c>
      <c r="S139" s="192" t="str">
        <f t="shared" si="24"/>
        <v/>
      </c>
      <c r="T139" s="193" t="str">
        <f t="shared" si="25"/>
        <v/>
      </c>
      <c r="U139" s="194" t="str">
        <f t="shared" si="26"/>
        <v/>
      </c>
      <c r="V139" s="195" t="str">
        <f t="shared" si="23"/>
        <v/>
      </c>
      <c r="W139" s="336" t="str">
        <f t="shared" si="27"/>
        <v/>
      </c>
      <c r="X139" s="338" t="str">
        <f t="shared" si="28"/>
        <v/>
      </c>
      <c r="Y139" s="274"/>
      <c r="AR139" t="str">
        <f t="shared" si="29"/>
        <v/>
      </c>
      <c r="AS139" t="str">
        <f t="shared" si="30"/>
        <v/>
      </c>
    </row>
    <row r="140" spans="1:45">
      <c r="A140" s="291"/>
      <c r="B140" s="292"/>
      <c r="C140" s="293"/>
      <c r="D140" s="293"/>
      <c r="E140" s="293"/>
      <c r="F140" s="293"/>
      <c r="G140" s="294"/>
      <c r="H140" s="300"/>
      <c r="I140" s="295"/>
      <c r="J140" s="295"/>
      <c r="K140" s="296"/>
      <c r="L140" s="301"/>
      <c r="M140" s="297"/>
      <c r="N140" s="298"/>
      <c r="P140" s="190" t="str">
        <f>IF(R140 = "", "", COUNT(R$4:$R140))</f>
        <v/>
      </c>
      <c r="Q140" s="190" t="str">
        <f t="shared" si="21"/>
        <v/>
      </c>
      <c r="R140" s="191" t="str">
        <f t="shared" si="22"/>
        <v/>
      </c>
      <c r="S140" s="192" t="str">
        <f t="shared" si="24"/>
        <v/>
      </c>
      <c r="T140" s="193" t="str">
        <f t="shared" si="25"/>
        <v/>
      </c>
      <c r="U140" s="194" t="str">
        <f t="shared" si="26"/>
        <v/>
      </c>
      <c r="V140" s="195" t="str">
        <f t="shared" si="23"/>
        <v/>
      </c>
      <c r="W140" s="336" t="str">
        <f t="shared" si="27"/>
        <v/>
      </c>
      <c r="X140" s="338" t="str">
        <f t="shared" si="28"/>
        <v/>
      </c>
      <c r="Y140" s="274"/>
      <c r="AR140" t="str">
        <f t="shared" si="29"/>
        <v/>
      </c>
      <c r="AS140" t="str">
        <f t="shared" si="30"/>
        <v/>
      </c>
    </row>
    <row r="141" spans="1:45">
      <c r="A141" s="291"/>
      <c r="B141" s="292"/>
      <c r="C141" s="293"/>
      <c r="D141" s="293"/>
      <c r="E141" s="293"/>
      <c r="F141" s="293"/>
      <c r="G141" s="294"/>
      <c r="H141" s="300"/>
      <c r="I141" s="295"/>
      <c r="J141" s="295"/>
      <c r="K141" s="296"/>
      <c r="L141" s="301"/>
      <c r="M141" s="297"/>
      <c r="N141" s="298"/>
      <c r="P141" s="190" t="str">
        <f>IF(R141 = "", "", COUNT(R$4:$R141))</f>
        <v/>
      </c>
      <c r="Q141" s="190" t="str">
        <f t="shared" si="21"/>
        <v/>
      </c>
      <c r="R141" s="191" t="str">
        <f t="shared" si="22"/>
        <v/>
      </c>
      <c r="S141" s="192" t="str">
        <f t="shared" si="24"/>
        <v/>
      </c>
      <c r="T141" s="193" t="str">
        <f t="shared" si="25"/>
        <v/>
      </c>
      <c r="U141" s="194" t="str">
        <f t="shared" si="26"/>
        <v/>
      </c>
      <c r="V141" s="195" t="str">
        <f t="shared" si="23"/>
        <v/>
      </c>
      <c r="W141" s="336" t="str">
        <f t="shared" si="27"/>
        <v/>
      </c>
      <c r="X141" s="338" t="str">
        <f t="shared" si="28"/>
        <v/>
      </c>
      <c r="Y141" s="274"/>
      <c r="AR141" t="str">
        <f t="shared" si="29"/>
        <v/>
      </c>
      <c r="AS141" t="str">
        <f t="shared" si="30"/>
        <v/>
      </c>
    </row>
    <row r="142" spans="1:45">
      <c r="A142" s="291"/>
      <c r="B142" s="292"/>
      <c r="C142" s="293"/>
      <c r="D142" s="293"/>
      <c r="E142" s="293"/>
      <c r="F142" s="293"/>
      <c r="G142" s="294"/>
      <c r="H142" s="300"/>
      <c r="I142" s="295"/>
      <c r="J142" s="295"/>
      <c r="K142" s="296"/>
      <c r="L142" s="301"/>
      <c r="M142" s="297"/>
      <c r="N142" s="298"/>
      <c r="P142" s="190" t="str">
        <f>IF(R142 = "", "", COUNT(R$4:$R142))</f>
        <v/>
      </c>
      <c r="Q142" s="190" t="str">
        <f t="shared" si="21"/>
        <v/>
      </c>
      <c r="R142" s="191" t="str">
        <f t="shared" si="22"/>
        <v/>
      </c>
      <c r="S142" s="192" t="str">
        <f t="shared" si="24"/>
        <v/>
      </c>
      <c r="T142" s="193" t="str">
        <f t="shared" si="25"/>
        <v/>
      </c>
      <c r="U142" s="194" t="str">
        <f t="shared" si="26"/>
        <v/>
      </c>
      <c r="V142" s="195" t="str">
        <f t="shared" si="23"/>
        <v/>
      </c>
      <c r="W142" s="336" t="str">
        <f t="shared" si="27"/>
        <v/>
      </c>
      <c r="X142" s="338" t="str">
        <f t="shared" si="28"/>
        <v/>
      </c>
      <c r="Y142" s="274"/>
      <c r="AR142" t="str">
        <f t="shared" si="29"/>
        <v/>
      </c>
      <c r="AS142" t="str">
        <f t="shared" si="30"/>
        <v/>
      </c>
    </row>
    <row r="143" spans="1:45">
      <c r="A143" s="291"/>
      <c r="B143" s="292"/>
      <c r="C143" s="293"/>
      <c r="D143" s="293"/>
      <c r="E143" s="293"/>
      <c r="F143" s="293"/>
      <c r="G143" s="294"/>
      <c r="H143" s="300"/>
      <c r="I143" s="295"/>
      <c r="J143" s="295"/>
      <c r="K143" s="296"/>
      <c r="L143" s="301"/>
      <c r="M143" s="297"/>
      <c r="N143" s="298"/>
      <c r="P143" s="190" t="str">
        <f>IF(R143 = "", "", COUNT(R$4:$R143))</f>
        <v/>
      </c>
      <c r="Q143" s="190" t="str">
        <f t="shared" si="21"/>
        <v/>
      </c>
      <c r="R143" s="191" t="str">
        <f t="shared" si="22"/>
        <v/>
      </c>
      <c r="S143" s="192" t="str">
        <f t="shared" si="24"/>
        <v/>
      </c>
      <c r="T143" s="193" t="str">
        <f t="shared" si="25"/>
        <v/>
      </c>
      <c r="U143" s="194" t="str">
        <f t="shared" si="26"/>
        <v/>
      </c>
      <c r="V143" s="195" t="str">
        <f t="shared" si="23"/>
        <v/>
      </c>
      <c r="W143" s="336" t="str">
        <f t="shared" si="27"/>
        <v/>
      </c>
      <c r="X143" s="338" t="str">
        <f t="shared" si="28"/>
        <v/>
      </c>
      <c r="Y143" s="274"/>
      <c r="AR143" t="str">
        <f t="shared" si="29"/>
        <v/>
      </c>
      <c r="AS143" t="str">
        <f t="shared" si="30"/>
        <v/>
      </c>
    </row>
    <row r="144" spans="1:45">
      <c r="A144" s="291"/>
      <c r="B144" s="292"/>
      <c r="C144" s="293"/>
      <c r="D144" s="293"/>
      <c r="E144" s="293"/>
      <c r="F144" s="293"/>
      <c r="G144" s="294"/>
      <c r="H144" s="300"/>
      <c r="I144" s="295"/>
      <c r="J144" s="295"/>
      <c r="K144" s="296"/>
      <c r="L144" s="301"/>
      <c r="M144" s="297"/>
      <c r="N144" s="298"/>
      <c r="P144" s="190" t="str">
        <f>IF(R144 = "", "", COUNT(R$4:$R144))</f>
        <v/>
      </c>
      <c r="Q144" s="190" t="str">
        <f t="shared" si="21"/>
        <v/>
      </c>
      <c r="R144" s="191" t="str">
        <f t="shared" si="22"/>
        <v/>
      </c>
      <c r="S144" s="192" t="str">
        <f t="shared" si="24"/>
        <v/>
      </c>
      <c r="T144" s="193" t="str">
        <f t="shared" si="25"/>
        <v/>
      </c>
      <c r="U144" s="194" t="str">
        <f t="shared" si="26"/>
        <v/>
      </c>
      <c r="V144" s="195" t="str">
        <f t="shared" si="23"/>
        <v/>
      </c>
      <c r="W144" s="336" t="str">
        <f t="shared" si="27"/>
        <v/>
      </c>
      <c r="X144" s="338" t="str">
        <f t="shared" si="28"/>
        <v/>
      </c>
      <c r="Y144" s="274"/>
      <c r="AR144" t="str">
        <f t="shared" si="29"/>
        <v/>
      </c>
      <c r="AS144" t="str">
        <f t="shared" si="30"/>
        <v/>
      </c>
    </row>
    <row r="145" spans="1:45">
      <c r="A145" s="291"/>
      <c r="B145" s="292"/>
      <c r="C145" s="293"/>
      <c r="D145" s="293"/>
      <c r="E145" s="293"/>
      <c r="F145" s="293"/>
      <c r="G145" s="294"/>
      <c r="H145" s="300"/>
      <c r="I145" s="295"/>
      <c r="J145" s="295"/>
      <c r="K145" s="296"/>
      <c r="L145" s="301"/>
      <c r="M145" s="297"/>
      <c r="N145" s="298"/>
      <c r="P145" s="190" t="str">
        <f>IF(R145 = "", "", COUNT(R$4:$R145))</f>
        <v/>
      </c>
      <c r="Q145" s="190" t="str">
        <f t="shared" si="21"/>
        <v/>
      </c>
      <c r="R145" s="191" t="str">
        <f t="shared" si="22"/>
        <v/>
      </c>
      <c r="S145" s="192" t="str">
        <f t="shared" si="24"/>
        <v/>
      </c>
      <c r="T145" s="193" t="str">
        <f t="shared" si="25"/>
        <v/>
      </c>
      <c r="U145" s="194" t="str">
        <f t="shared" si="26"/>
        <v/>
      </c>
      <c r="V145" s="195" t="str">
        <f t="shared" si="23"/>
        <v/>
      </c>
      <c r="W145" s="336" t="str">
        <f t="shared" si="27"/>
        <v/>
      </c>
      <c r="X145" s="338" t="str">
        <f t="shared" si="28"/>
        <v/>
      </c>
      <c r="Y145" s="274"/>
      <c r="AR145" t="str">
        <f t="shared" si="29"/>
        <v/>
      </c>
      <c r="AS145" t="str">
        <f t="shared" si="30"/>
        <v/>
      </c>
    </row>
    <row r="146" spans="1:45">
      <c r="A146" s="291"/>
      <c r="B146" s="292"/>
      <c r="C146" s="293"/>
      <c r="D146" s="293"/>
      <c r="E146" s="293"/>
      <c r="F146" s="293"/>
      <c r="G146" s="294"/>
      <c r="H146" s="300"/>
      <c r="I146" s="295"/>
      <c r="J146" s="295"/>
      <c r="K146" s="296"/>
      <c r="L146" s="301"/>
      <c r="M146" s="297"/>
      <c r="N146" s="298"/>
      <c r="P146" s="190" t="str">
        <f>IF(R146 = "", "", COUNT(R$4:$R146))</f>
        <v/>
      </c>
      <c r="Q146" s="190" t="str">
        <f t="shared" si="21"/>
        <v/>
      </c>
      <c r="R146" s="191" t="str">
        <f t="shared" si="22"/>
        <v/>
      </c>
      <c r="S146" s="192" t="str">
        <f t="shared" si="24"/>
        <v/>
      </c>
      <c r="T146" s="193" t="str">
        <f t="shared" si="25"/>
        <v/>
      </c>
      <c r="U146" s="194" t="str">
        <f t="shared" si="26"/>
        <v/>
      </c>
      <c r="V146" s="195" t="str">
        <f t="shared" si="23"/>
        <v/>
      </c>
      <c r="W146" s="336" t="str">
        <f t="shared" si="27"/>
        <v/>
      </c>
      <c r="X146" s="338" t="str">
        <f t="shared" si="28"/>
        <v/>
      </c>
      <c r="Y146" s="274"/>
      <c r="AR146" t="str">
        <f t="shared" si="29"/>
        <v/>
      </c>
      <c r="AS146" t="str">
        <f t="shared" si="30"/>
        <v/>
      </c>
    </row>
    <row r="147" spans="1:45">
      <c r="A147" s="291"/>
      <c r="B147" s="292"/>
      <c r="C147" s="293"/>
      <c r="D147" s="293"/>
      <c r="E147" s="293"/>
      <c r="F147" s="293"/>
      <c r="G147" s="294"/>
      <c r="H147" s="300"/>
      <c r="I147" s="295"/>
      <c r="J147" s="295"/>
      <c r="K147" s="296"/>
      <c r="L147" s="301"/>
      <c r="M147" s="297"/>
      <c r="N147" s="298"/>
      <c r="P147" s="190" t="str">
        <f>IF(R147 = "", "", COUNT(R$4:$R147))</f>
        <v/>
      </c>
      <c r="Q147" s="190" t="str">
        <f t="shared" si="21"/>
        <v/>
      </c>
      <c r="R147" s="191" t="str">
        <f t="shared" si="22"/>
        <v/>
      </c>
      <c r="S147" s="192" t="str">
        <f t="shared" si="24"/>
        <v/>
      </c>
      <c r="T147" s="193" t="str">
        <f t="shared" si="25"/>
        <v/>
      </c>
      <c r="U147" s="194" t="str">
        <f t="shared" si="26"/>
        <v/>
      </c>
      <c r="V147" s="195" t="str">
        <f t="shared" si="23"/>
        <v/>
      </c>
      <c r="W147" s="336" t="str">
        <f t="shared" si="27"/>
        <v/>
      </c>
      <c r="X147" s="338" t="str">
        <f t="shared" si="28"/>
        <v/>
      </c>
      <c r="Y147" s="274"/>
      <c r="AR147" t="str">
        <f t="shared" si="29"/>
        <v/>
      </c>
      <c r="AS147" t="str">
        <f t="shared" si="30"/>
        <v/>
      </c>
    </row>
    <row r="148" spans="1:45">
      <c r="A148" s="291"/>
      <c r="B148" s="292"/>
      <c r="C148" s="293"/>
      <c r="D148" s="293"/>
      <c r="E148" s="293"/>
      <c r="F148" s="293"/>
      <c r="G148" s="294"/>
      <c r="H148" s="300"/>
      <c r="I148" s="295"/>
      <c r="J148" s="295"/>
      <c r="K148" s="296"/>
      <c r="L148" s="301"/>
      <c r="M148" s="297"/>
      <c r="N148" s="298"/>
      <c r="P148" s="190" t="str">
        <f>IF(R148 = "", "", COUNT(R$4:$R148))</f>
        <v/>
      </c>
      <c r="Q148" s="190" t="str">
        <f t="shared" si="21"/>
        <v/>
      </c>
      <c r="R148" s="191" t="str">
        <f t="shared" si="22"/>
        <v/>
      </c>
      <c r="S148" s="192" t="str">
        <f t="shared" si="24"/>
        <v/>
      </c>
      <c r="T148" s="193" t="str">
        <f t="shared" si="25"/>
        <v/>
      </c>
      <c r="U148" s="194" t="str">
        <f t="shared" si="26"/>
        <v/>
      </c>
      <c r="V148" s="195" t="str">
        <f t="shared" si="23"/>
        <v/>
      </c>
      <c r="W148" s="336" t="str">
        <f t="shared" si="27"/>
        <v/>
      </c>
      <c r="X148" s="338" t="str">
        <f t="shared" si="28"/>
        <v/>
      </c>
      <c r="Y148" s="274"/>
      <c r="AR148" t="str">
        <f t="shared" si="29"/>
        <v/>
      </c>
      <c r="AS148" t="str">
        <f t="shared" si="30"/>
        <v/>
      </c>
    </row>
    <row r="149" spans="1:45">
      <c r="A149" s="291"/>
      <c r="B149" s="292"/>
      <c r="C149" s="293"/>
      <c r="D149" s="293"/>
      <c r="E149" s="293"/>
      <c r="F149" s="293"/>
      <c r="G149" s="294"/>
      <c r="H149" s="300"/>
      <c r="I149" s="295"/>
      <c r="J149" s="295"/>
      <c r="K149" s="296"/>
      <c r="L149" s="301"/>
      <c r="M149" s="297"/>
      <c r="N149" s="298"/>
      <c r="P149" s="190" t="str">
        <f>IF(R149 = "", "", COUNT(R$4:$R149))</f>
        <v/>
      </c>
      <c r="Q149" s="190" t="str">
        <f t="shared" si="21"/>
        <v/>
      </c>
      <c r="R149" s="191" t="str">
        <f t="shared" si="22"/>
        <v/>
      </c>
      <c r="S149" s="192" t="str">
        <f t="shared" si="24"/>
        <v/>
      </c>
      <c r="T149" s="193" t="str">
        <f t="shared" si="25"/>
        <v/>
      </c>
      <c r="U149" s="194" t="str">
        <f t="shared" si="26"/>
        <v/>
      </c>
      <c r="V149" s="195" t="str">
        <f t="shared" si="23"/>
        <v/>
      </c>
      <c r="W149" s="336" t="str">
        <f t="shared" si="27"/>
        <v/>
      </c>
      <c r="X149" s="338" t="str">
        <f t="shared" si="28"/>
        <v/>
      </c>
      <c r="Y149" s="274"/>
      <c r="AR149" t="str">
        <f t="shared" si="29"/>
        <v/>
      </c>
      <c r="AS149" t="str">
        <f t="shared" si="30"/>
        <v/>
      </c>
    </row>
    <row r="150" spans="1:45">
      <c r="A150" s="291"/>
      <c r="B150" s="292"/>
      <c r="C150" s="293"/>
      <c r="D150" s="293"/>
      <c r="E150" s="293"/>
      <c r="F150" s="293"/>
      <c r="G150" s="294"/>
      <c r="H150" s="300"/>
      <c r="I150" s="295"/>
      <c r="J150" s="295"/>
      <c r="K150" s="296"/>
      <c r="L150" s="301"/>
      <c r="M150" s="297"/>
      <c r="N150" s="298"/>
      <c r="P150" s="190" t="str">
        <f>IF(R150 = "", "", COUNT(R$4:$R150))</f>
        <v/>
      </c>
      <c r="Q150" s="190" t="str">
        <f t="shared" si="21"/>
        <v/>
      </c>
      <c r="R150" s="191" t="str">
        <f t="shared" si="22"/>
        <v/>
      </c>
      <c r="S150" s="192" t="str">
        <f t="shared" si="24"/>
        <v/>
      </c>
      <c r="T150" s="193" t="str">
        <f t="shared" si="25"/>
        <v/>
      </c>
      <c r="U150" s="194" t="str">
        <f t="shared" si="26"/>
        <v/>
      </c>
      <c r="V150" s="195" t="str">
        <f t="shared" si="23"/>
        <v/>
      </c>
      <c r="W150" s="336" t="str">
        <f t="shared" si="27"/>
        <v/>
      </c>
      <c r="X150" s="338" t="str">
        <f t="shared" si="28"/>
        <v/>
      </c>
      <c r="Y150" s="274"/>
      <c r="AR150" t="str">
        <f t="shared" si="29"/>
        <v/>
      </c>
      <c r="AS150" t="str">
        <f t="shared" si="30"/>
        <v/>
      </c>
    </row>
    <row r="151" spans="1:45">
      <c r="A151" s="291"/>
      <c r="B151" s="292"/>
      <c r="C151" s="293"/>
      <c r="D151" s="293"/>
      <c r="E151" s="293"/>
      <c r="F151" s="293"/>
      <c r="G151" s="294"/>
      <c r="H151" s="300"/>
      <c r="I151" s="295"/>
      <c r="J151" s="295"/>
      <c r="K151" s="296"/>
      <c r="L151" s="301"/>
      <c r="M151" s="297"/>
      <c r="N151" s="298"/>
      <c r="P151" s="190" t="str">
        <f>IF(R151 = "", "", COUNT(R$4:$R151))</f>
        <v/>
      </c>
      <c r="Q151" s="190" t="str">
        <f t="shared" si="21"/>
        <v/>
      </c>
      <c r="R151" s="191" t="str">
        <f t="shared" si="22"/>
        <v/>
      </c>
      <c r="S151" s="192" t="str">
        <f t="shared" si="24"/>
        <v/>
      </c>
      <c r="T151" s="193" t="str">
        <f t="shared" si="25"/>
        <v/>
      </c>
      <c r="U151" s="194" t="str">
        <f t="shared" si="26"/>
        <v/>
      </c>
      <c r="V151" s="195" t="str">
        <f t="shared" si="23"/>
        <v/>
      </c>
      <c r="W151" s="336" t="str">
        <f t="shared" si="27"/>
        <v/>
      </c>
      <c r="X151" s="338" t="str">
        <f t="shared" si="28"/>
        <v/>
      </c>
      <c r="Y151" s="274"/>
      <c r="AR151" t="str">
        <f t="shared" si="29"/>
        <v/>
      </c>
      <c r="AS151" t="str">
        <f t="shared" si="30"/>
        <v/>
      </c>
    </row>
    <row r="152" spans="1:45">
      <c r="A152" s="291"/>
      <c r="B152" s="292"/>
      <c r="C152" s="293"/>
      <c r="D152" s="293"/>
      <c r="E152" s="293"/>
      <c r="F152" s="293"/>
      <c r="G152" s="294"/>
      <c r="H152" s="300"/>
      <c r="I152" s="295"/>
      <c r="J152" s="295"/>
      <c r="K152" s="296"/>
      <c r="L152" s="301"/>
      <c r="M152" s="297"/>
      <c r="N152" s="298"/>
      <c r="P152" s="190" t="str">
        <f>IF(R152 = "", "", COUNT(R$4:$R152))</f>
        <v/>
      </c>
      <c r="Q152" s="190" t="str">
        <f t="shared" si="21"/>
        <v/>
      </c>
      <c r="R152" s="191" t="str">
        <f t="shared" si="22"/>
        <v/>
      </c>
      <c r="S152" s="192" t="str">
        <f t="shared" si="24"/>
        <v/>
      </c>
      <c r="T152" s="193" t="str">
        <f t="shared" si="25"/>
        <v/>
      </c>
      <c r="U152" s="194" t="str">
        <f t="shared" si="26"/>
        <v/>
      </c>
      <c r="V152" s="195" t="str">
        <f t="shared" si="23"/>
        <v/>
      </c>
      <c r="W152" s="336" t="str">
        <f t="shared" si="27"/>
        <v/>
      </c>
      <c r="X152" s="338" t="str">
        <f t="shared" si="28"/>
        <v/>
      </c>
      <c r="Y152" s="274"/>
      <c r="AR152" t="str">
        <f t="shared" si="29"/>
        <v/>
      </c>
      <c r="AS152" t="str">
        <f t="shared" si="30"/>
        <v/>
      </c>
    </row>
    <row r="153" spans="1:45">
      <c r="A153" s="291"/>
      <c r="B153" s="292"/>
      <c r="C153" s="293"/>
      <c r="D153" s="293"/>
      <c r="E153" s="293"/>
      <c r="F153" s="293"/>
      <c r="G153" s="294"/>
      <c r="H153" s="300"/>
      <c r="I153" s="295"/>
      <c r="J153" s="295"/>
      <c r="K153" s="296"/>
      <c r="L153" s="301"/>
      <c r="M153" s="297"/>
      <c r="N153" s="298"/>
      <c r="P153" s="190" t="str">
        <f>IF(R153 = "", "", COUNT(R$4:$R153))</f>
        <v/>
      </c>
      <c r="Q153" s="190" t="str">
        <f t="shared" si="21"/>
        <v/>
      </c>
      <c r="R153" s="191" t="str">
        <f t="shared" si="22"/>
        <v/>
      </c>
      <c r="S153" s="192" t="str">
        <f t="shared" si="24"/>
        <v/>
      </c>
      <c r="T153" s="193" t="str">
        <f t="shared" si="25"/>
        <v/>
      </c>
      <c r="U153" s="194" t="str">
        <f t="shared" si="26"/>
        <v/>
      </c>
      <c r="V153" s="195" t="str">
        <f t="shared" si="23"/>
        <v/>
      </c>
      <c r="W153" s="336" t="str">
        <f t="shared" si="27"/>
        <v/>
      </c>
      <c r="X153" s="338" t="str">
        <f t="shared" si="28"/>
        <v/>
      </c>
      <c r="Y153" s="274"/>
      <c r="AR153" t="str">
        <f t="shared" si="29"/>
        <v/>
      </c>
      <c r="AS153" t="str">
        <f t="shared" si="30"/>
        <v/>
      </c>
    </row>
    <row r="154" spans="1:45">
      <c r="A154" s="291"/>
      <c r="B154" s="292"/>
      <c r="C154" s="293"/>
      <c r="D154" s="293"/>
      <c r="E154" s="293"/>
      <c r="F154" s="293"/>
      <c r="G154" s="294"/>
      <c r="H154" s="300"/>
      <c r="I154" s="295"/>
      <c r="J154" s="295"/>
      <c r="K154" s="296"/>
      <c r="L154" s="301"/>
      <c r="M154" s="297"/>
      <c r="N154" s="298"/>
      <c r="P154" s="190" t="str">
        <f>IF(R154 = "", "", COUNT(R$4:$R154))</f>
        <v/>
      </c>
      <c r="Q154" s="190" t="str">
        <f t="shared" si="21"/>
        <v/>
      </c>
      <c r="R154" s="191" t="str">
        <f t="shared" si="22"/>
        <v/>
      </c>
      <c r="S154" s="192" t="str">
        <f t="shared" si="24"/>
        <v/>
      </c>
      <c r="T154" s="193" t="str">
        <f t="shared" si="25"/>
        <v/>
      </c>
      <c r="U154" s="194" t="str">
        <f t="shared" si="26"/>
        <v/>
      </c>
      <c r="V154" s="195" t="str">
        <f t="shared" si="23"/>
        <v/>
      </c>
      <c r="W154" s="336" t="str">
        <f t="shared" si="27"/>
        <v/>
      </c>
      <c r="X154" s="338" t="str">
        <f t="shared" si="28"/>
        <v/>
      </c>
      <c r="Y154" s="274"/>
      <c r="AR154" t="str">
        <f t="shared" si="29"/>
        <v/>
      </c>
      <c r="AS154" t="str">
        <f t="shared" si="30"/>
        <v/>
      </c>
    </row>
    <row r="155" spans="1:45">
      <c r="A155" s="291"/>
      <c r="B155" s="292"/>
      <c r="C155" s="293"/>
      <c r="D155" s="293"/>
      <c r="E155" s="293"/>
      <c r="F155" s="293"/>
      <c r="G155" s="294"/>
      <c r="H155" s="300"/>
      <c r="I155" s="295"/>
      <c r="J155" s="295"/>
      <c r="K155" s="296"/>
      <c r="L155" s="301"/>
      <c r="M155" s="297"/>
      <c r="N155" s="298"/>
      <c r="P155" s="190" t="str">
        <f>IF(R155 = "", "", COUNT(R$4:$R155))</f>
        <v/>
      </c>
      <c r="Q155" s="190" t="str">
        <f t="shared" si="21"/>
        <v/>
      </c>
      <c r="R155" s="191" t="str">
        <f t="shared" si="22"/>
        <v/>
      </c>
      <c r="S155" s="192" t="str">
        <f t="shared" si="24"/>
        <v/>
      </c>
      <c r="T155" s="193" t="str">
        <f t="shared" si="25"/>
        <v/>
      </c>
      <c r="U155" s="194" t="str">
        <f t="shared" si="26"/>
        <v/>
      </c>
      <c r="V155" s="195" t="str">
        <f t="shared" si="23"/>
        <v/>
      </c>
      <c r="W155" s="336" t="str">
        <f t="shared" si="27"/>
        <v/>
      </c>
      <c r="X155" s="338" t="str">
        <f t="shared" si="28"/>
        <v/>
      </c>
      <c r="Y155" s="274"/>
      <c r="AR155" t="str">
        <f t="shared" si="29"/>
        <v/>
      </c>
      <c r="AS155" t="str">
        <f t="shared" si="30"/>
        <v/>
      </c>
    </row>
    <row r="156" spans="1:45">
      <c r="A156" s="291"/>
      <c r="B156" s="292"/>
      <c r="C156" s="293"/>
      <c r="D156" s="293"/>
      <c r="E156" s="293"/>
      <c r="F156" s="293"/>
      <c r="G156" s="294"/>
      <c r="H156" s="300"/>
      <c r="I156" s="295"/>
      <c r="J156" s="295"/>
      <c r="K156" s="296"/>
      <c r="L156" s="301"/>
      <c r="M156" s="297"/>
      <c r="N156" s="298"/>
      <c r="P156" s="190" t="str">
        <f>IF(R156 = "", "", COUNT(R$4:$R156))</f>
        <v/>
      </c>
      <c r="Q156" s="190" t="str">
        <f t="shared" si="21"/>
        <v/>
      </c>
      <c r="R156" s="191" t="str">
        <f t="shared" si="22"/>
        <v/>
      </c>
      <c r="S156" s="192" t="str">
        <f t="shared" si="24"/>
        <v/>
      </c>
      <c r="T156" s="193" t="str">
        <f t="shared" si="25"/>
        <v/>
      </c>
      <c r="U156" s="194" t="str">
        <f t="shared" si="26"/>
        <v/>
      </c>
      <c r="V156" s="195" t="str">
        <f t="shared" si="23"/>
        <v/>
      </c>
      <c r="W156" s="336" t="str">
        <f t="shared" si="27"/>
        <v/>
      </c>
      <c r="X156" s="338" t="str">
        <f t="shared" si="28"/>
        <v/>
      </c>
      <c r="Y156" s="274"/>
      <c r="AR156" t="str">
        <f t="shared" si="29"/>
        <v/>
      </c>
      <c r="AS156" t="str">
        <f t="shared" si="30"/>
        <v/>
      </c>
    </row>
    <row r="157" spans="1:45">
      <c r="A157" s="291"/>
      <c r="B157" s="292"/>
      <c r="C157" s="293"/>
      <c r="D157" s="293"/>
      <c r="E157" s="293"/>
      <c r="F157" s="293"/>
      <c r="G157" s="294"/>
      <c r="H157" s="300"/>
      <c r="I157" s="295"/>
      <c r="J157" s="295"/>
      <c r="K157" s="296"/>
      <c r="L157" s="301"/>
      <c r="M157" s="297"/>
      <c r="N157" s="298"/>
      <c r="P157" s="190" t="str">
        <f>IF(R157 = "", "", COUNT(R$4:$R157))</f>
        <v/>
      </c>
      <c r="Q157" s="190" t="str">
        <f t="shared" si="21"/>
        <v/>
      </c>
      <c r="R157" s="191" t="str">
        <f t="shared" si="22"/>
        <v/>
      </c>
      <c r="S157" s="192" t="str">
        <f t="shared" si="24"/>
        <v/>
      </c>
      <c r="T157" s="193" t="str">
        <f t="shared" si="25"/>
        <v/>
      </c>
      <c r="U157" s="194" t="str">
        <f t="shared" si="26"/>
        <v/>
      </c>
      <c r="V157" s="195" t="str">
        <f t="shared" si="23"/>
        <v/>
      </c>
      <c r="W157" s="336" t="str">
        <f t="shared" si="27"/>
        <v/>
      </c>
      <c r="X157" s="338" t="str">
        <f t="shared" si="28"/>
        <v/>
      </c>
      <c r="Y157" s="274"/>
      <c r="AR157" t="str">
        <f t="shared" si="29"/>
        <v/>
      </c>
      <c r="AS157" t="str">
        <f t="shared" si="30"/>
        <v/>
      </c>
    </row>
    <row r="158" spans="1:45">
      <c r="A158" s="291"/>
      <c r="B158" s="292"/>
      <c r="C158" s="293"/>
      <c r="D158" s="293"/>
      <c r="E158" s="293"/>
      <c r="F158" s="293"/>
      <c r="G158" s="294"/>
      <c r="H158" s="300"/>
      <c r="I158" s="295"/>
      <c r="J158" s="295"/>
      <c r="K158" s="296"/>
      <c r="L158" s="301"/>
      <c r="M158" s="297"/>
      <c r="N158" s="298"/>
      <c r="P158" s="190" t="str">
        <f>IF(R158 = "", "", COUNT(R$4:$R158))</f>
        <v/>
      </c>
      <c r="Q158" s="190" t="str">
        <f t="shared" si="21"/>
        <v/>
      </c>
      <c r="R158" s="191" t="str">
        <f t="shared" si="22"/>
        <v/>
      </c>
      <c r="S158" s="192" t="str">
        <f t="shared" si="24"/>
        <v/>
      </c>
      <c r="T158" s="193" t="str">
        <f t="shared" si="25"/>
        <v/>
      </c>
      <c r="U158" s="194" t="str">
        <f t="shared" si="26"/>
        <v/>
      </c>
      <c r="V158" s="195" t="str">
        <f t="shared" si="23"/>
        <v/>
      </c>
      <c r="W158" s="336" t="str">
        <f t="shared" si="27"/>
        <v/>
      </c>
      <c r="X158" s="338" t="str">
        <f t="shared" si="28"/>
        <v/>
      </c>
      <c r="Y158" s="274"/>
      <c r="AR158" t="str">
        <f t="shared" si="29"/>
        <v/>
      </c>
      <c r="AS158" t="str">
        <f t="shared" si="30"/>
        <v/>
      </c>
    </row>
    <row r="159" spans="1:45">
      <c r="A159" s="291"/>
      <c r="B159" s="292"/>
      <c r="C159" s="293"/>
      <c r="D159" s="293"/>
      <c r="E159" s="293"/>
      <c r="F159" s="293"/>
      <c r="G159" s="294"/>
      <c r="H159" s="300"/>
      <c r="I159" s="295"/>
      <c r="J159" s="295"/>
      <c r="K159" s="296"/>
      <c r="L159" s="301"/>
      <c r="M159" s="297"/>
      <c r="N159" s="298"/>
      <c r="P159" s="190" t="str">
        <f>IF(R159 = "", "", COUNT(R$4:$R159))</f>
        <v/>
      </c>
      <c r="Q159" s="190" t="str">
        <f t="shared" si="21"/>
        <v/>
      </c>
      <c r="R159" s="191" t="str">
        <f t="shared" si="22"/>
        <v/>
      </c>
      <c r="S159" s="192" t="str">
        <f t="shared" si="24"/>
        <v/>
      </c>
      <c r="T159" s="193" t="str">
        <f t="shared" si="25"/>
        <v/>
      </c>
      <c r="U159" s="194" t="str">
        <f t="shared" si="26"/>
        <v/>
      </c>
      <c r="V159" s="195" t="str">
        <f t="shared" si="23"/>
        <v/>
      </c>
      <c r="W159" s="336" t="str">
        <f t="shared" si="27"/>
        <v/>
      </c>
      <c r="X159" s="338" t="str">
        <f t="shared" si="28"/>
        <v/>
      </c>
      <c r="Y159" s="274"/>
      <c r="AR159" t="str">
        <f t="shared" si="29"/>
        <v/>
      </c>
      <c r="AS159" t="str">
        <f t="shared" si="30"/>
        <v/>
      </c>
    </row>
    <row r="160" spans="1:45">
      <c r="A160" s="291"/>
      <c r="B160" s="292"/>
      <c r="C160" s="293"/>
      <c r="D160" s="293"/>
      <c r="E160" s="293"/>
      <c r="F160" s="293"/>
      <c r="G160" s="294"/>
      <c r="H160" s="300"/>
      <c r="I160" s="295"/>
      <c r="J160" s="295"/>
      <c r="K160" s="296"/>
      <c r="L160" s="301"/>
      <c r="M160" s="297"/>
      <c r="N160" s="298"/>
      <c r="P160" s="190" t="str">
        <f>IF(R160 = "", "", COUNT(R$4:$R160))</f>
        <v/>
      </c>
      <c r="Q160" s="190" t="str">
        <f t="shared" si="21"/>
        <v/>
      </c>
      <c r="R160" s="191" t="str">
        <f t="shared" si="22"/>
        <v/>
      </c>
      <c r="S160" s="192" t="str">
        <f t="shared" si="24"/>
        <v/>
      </c>
      <c r="T160" s="193" t="str">
        <f t="shared" si="25"/>
        <v/>
      </c>
      <c r="U160" s="194" t="str">
        <f t="shared" si="26"/>
        <v/>
      </c>
      <c r="V160" s="195" t="str">
        <f t="shared" si="23"/>
        <v/>
      </c>
      <c r="W160" s="336" t="str">
        <f t="shared" si="27"/>
        <v/>
      </c>
      <c r="X160" s="338" t="str">
        <f t="shared" si="28"/>
        <v/>
      </c>
      <c r="Y160" s="274"/>
      <c r="AR160" t="str">
        <f t="shared" si="29"/>
        <v/>
      </c>
      <c r="AS160" t="str">
        <f t="shared" si="30"/>
        <v/>
      </c>
    </row>
    <row r="161" spans="1:45">
      <c r="A161" s="291"/>
      <c r="B161" s="292"/>
      <c r="C161" s="293"/>
      <c r="D161" s="293"/>
      <c r="E161" s="293"/>
      <c r="F161" s="293"/>
      <c r="G161" s="294"/>
      <c r="H161" s="300"/>
      <c r="I161" s="295"/>
      <c r="J161" s="295"/>
      <c r="K161" s="296"/>
      <c r="L161" s="301"/>
      <c r="M161" s="297"/>
      <c r="N161" s="298"/>
      <c r="P161" s="190" t="str">
        <f>IF(R161 = "", "", COUNT(R$4:$R161))</f>
        <v/>
      </c>
      <c r="Q161" s="190" t="str">
        <f t="shared" si="21"/>
        <v/>
      </c>
      <c r="R161" s="191" t="str">
        <f t="shared" si="22"/>
        <v/>
      </c>
      <c r="S161" s="192" t="str">
        <f t="shared" si="24"/>
        <v/>
      </c>
      <c r="T161" s="193" t="str">
        <f t="shared" si="25"/>
        <v/>
      </c>
      <c r="U161" s="194" t="str">
        <f t="shared" si="26"/>
        <v/>
      </c>
      <c r="V161" s="195" t="str">
        <f t="shared" si="23"/>
        <v/>
      </c>
      <c r="W161" s="336" t="str">
        <f t="shared" si="27"/>
        <v/>
      </c>
      <c r="X161" s="338" t="str">
        <f t="shared" si="28"/>
        <v/>
      </c>
      <c r="Y161" s="274"/>
      <c r="AR161" t="str">
        <f t="shared" si="29"/>
        <v/>
      </c>
      <c r="AS161" t="str">
        <f t="shared" si="30"/>
        <v/>
      </c>
    </row>
    <row r="162" spans="1:45">
      <c r="A162" s="291"/>
      <c r="B162" s="292"/>
      <c r="C162" s="293"/>
      <c r="D162" s="293"/>
      <c r="E162" s="293"/>
      <c r="F162" s="293"/>
      <c r="G162" s="294"/>
      <c r="H162" s="300"/>
      <c r="I162" s="295"/>
      <c r="J162" s="295"/>
      <c r="K162" s="296"/>
      <c r="L162" s="301"/>
      <c r="M162" s="297"/>
      <c r="N162" s="298"/>
      <c r="P162" s="190" t="str">
        <f>IF(R162 = "", "", COUNT(R$4:$R162))</f>
        <v/>
      </c>
      <c r="Q162" s="190" t="str">
        <f t="shared" si="21"/>
        <v/>
      </c>
      <c r="R162" s="191" t="str">
        <f t="shared" si="22"/>
        <v/>
      </c>
      <c r="S162" s="192" t="str">
        <f t="shared" si="24"/>
        <v/>
      </c>
      <c r="T162" s="193" t="str">
        <f t="shared" si="25"/>
        <v/>
      </c>
      <c r="U162" s="194" t="str">
        <f t="shared" si="26"/>
        <v/>
      </c>
      <c r="V162" s="195" t="str">
        <f t="shared" si="23"/>
        <v/>
      </c>
      <c r="W162" s="336" t="str">
        <f t="shared" si="27"/>
        <v/>
      </c>
      <c r="X162" s="338" t="str">
        <f t="shared" si="28"/>
        <v/>
      </c>
      <c r="Y162" s="274"/>
      <c r="AR162" t="str">
        <f t="shared" si="29"/>
        <v/>
      </c>
      <c r="AS162" t="str">
        <f t="shared" si="30"/>
        <v/>
      </c>
    </row>
    <row r="163" spans="1:45">
      <c r="A163" s="291"/>
      <c r="B163" s="292"/>
      <c r="C163" s="293"/>
      <c r="D163" s="293"/>
      <c r="E163" s="293"/>
      <c r="F163" s="293"/>
      <c r="G163" s="294"/>
      <c r="H163" s="300"/>
      <c r="I163" s="295"/>
      <c r="J163" s="295"/>
      <c r="K163" s="296"/>
      <c r="L163" s="301"/>
      <c r="M163" s="297"/>
      <c r="N163" s="298"/>
      <c r="P163" s="190" t="str">
        <f>IF(R163 = "", "", COUNT(R$4:$R163))</f>
        <v/>
      </c>
      <c r="Q163" s="190" t="str">
        <f t="shared" si="21"/>
        <v/>
      </c>
      <c r="R163" s="191" t="str">
        <f t="shared" si="22"/>
        <v/>
      </c>
      <c r="S163" s="192" t="str">
        <f t="shared" si="24"/>
        <v/>
      </c>
      <c r="T163" s="193" t="str">
        <f t="shared" si="25"/>
        <v/>
      </c>
      <c r="U163" s="194" t="str">
        <f t="shared" si="26"/>
        <v/>
      </c>
      <c r="V163" s="195" t="str">
        <f t="shared" si="23"/>
        <v/>
      </c>
      <c r="W163" s="336" t="str">
        <f t="shared" si="27"/>
        <v/>
      </c>
      <c r="X163" s="338" t="str">
        <f t="shared" si="28"/>
        <v/>
      </c>
      <c r="Y163" s="274"/>
      <c r="AR163" t="str">
        <f t="shared" si="29"/>
        <v/>
      </c>
      <c r="AS163" t="str">
        <f t="shared" si="30"/>
        <v/>
      </c>
    </row>
    <row r="164" spans="1:45">
      <c r="A164" s="291"/>
      <c r="B164" s="292"/>
      <c r="C164" s="293"/>
      <c r="D164" s="293"/>
      <c r="E164" s="293"/>
      <c r="F164" s="293"/>
      <c r="G164" s="294"/>
      <c r="H164" s="300"/>
      <c r="I164" s="295"/>
      <c r="J164" s="295"/>
      <c r="K164" s="296"/>
      <c r="L164" s="301"/>
      <c r="M164" s="297"/>
      <c r="N164" s="298"/>
      <c r="P164" s="190" t="str">
        <f>IF(R164 = "", "", COUNT(R$4:$R164))</f>
        <v/>
      </c>
      <c r="Q164" s="190" t="str">
        <f t="shared" si="21"/>
        <v/>
      </c>
      <c r="R164" s="191" t="str">
        <f t="shared" si="22"/>
        <v/>
      </c>
      <c r="S164" s="192" t="str">
        <f t="shared" si="24"/>
        <v/>
      </c>
      <c r="T164" s="193" t="str">
        <f t="shared" si="25"/>
        <v/>
      </c>
      <c r="U164" s="194" t="str">
        <f t="shared" si="26"/>
        <v/>
      </c>
      <c r="V164" s="195" t="str">
        <f t="shared" si="23"/>
        <v/>
      </c>
      <c r="W164" s="336" t="str">
        <f t="shared" si="27"/>
        <v/>
      </c>
      <c r="X164" s="338" t="str">
        <f t="shared" si="28"/>
        <v/>
      </c>
      <c r="Y164" s="274"/>
      <c r="AR164" t="str">
        <f t="shared" si="29"/>
        <v/>
      </c>
      <c r="AS164" t="str">
        <f t="shared" si="30"/>
        <v/>
      </c>
    </row>
    <row r="165" spans="1:45">
      <c r="A165" s="291"/>
      <c r="B165" s="292"/>
      <c r="C165" s="293"/>
      <c r="D165" s="293"/>
      <c r="E165" s="293"/>
      <c r="F165" s="293"/>
      <c r="G165" s="294"/>
      <c r="H165" s="300"/>
      <c r="I165" s="295"/>
      <c r="J165" s="295"/>
      <c r="K165" s="296"/>
      <c r="L165" s="301"/>
      <c r="M165" s="297"/>
      <c r="N165" s="298"/>
      <c r="P165" s="190" t="str">
        <f>IF(R165 = "", "", COUNT(R$4:$R165))</f>
        <v/>
      </c>
      <c r="Q165" s="190" t="str">
        <f t="shared" si="21"/>
        <v/>
      </c>
      <c r="R165" s="191" t="str">
        <f t="shared" si="22"/>
        <v/>
      </c>
      <c r="S165" s="192" t="str">
        <f t="shared" si="24"/>
        <v/>
      </c>
      <c r="T165" s="193" t="str">
        <f t="shared" si="25"/>
        <v/>
      </c>
      <c r="U165" s="194" t="str">
        <f t="shared" si="26"/>
        <v/>
      </c>
      <c r="V165" s="195" t="str">
        <f t="shared" si="23"/>
        <v/>
      </c>
      <c r="W165" s="336" t="str">
        <f t="shared" si="27"/>
        <v/>
      </c>
      <c r="X165" s="338" t="str">
        <f t="shared" si="28"/>
        <v/>
      </c>
      <c r="Y165" s="274"/>
      <c r="AR165" t="str">
        <f t="shared" si="29"/>
        <v/>
      </c>
      <c r="AS165" t="str">
        <f t="shared" si="30"/>
        <v/>
      </c>
    </row>
    <row r="166" spans="1:45">
      <c r="A166" s="291"/>
      <c r="B166" s="292"/>
      <c r="C166" s="293"/>
      <c r="D166" s="293"/>
      <c r="E166" s="293"/>
      <c r="F166" s="293"/>
      <c r="G166" s="294"/>
      <c r="H166" s="300"/>
      <c r="I166" s="295"/>
      <c r="J166" s="295"/>
      <c r="K166" s="296"/>
      <c r="L166" s="301"/>
      <c r="M166" s="297"/>
      <c r="N166" s="298"/>
      <c r="P166" s="190" t="str">
        <f>IF(R166 = "", "", COUNT(R$4:$R166))</f>
        <v/>
      </c>
      <c r="Q166" s="190" t="str">
        <f t="shared" si="21"/>
        <v/>
      </c>
      <c r="R166" s="191" t="str">
        <f t="shared" si="22"/>
        <v/>
      </c>
      <c r="S166" s="192" t="str">
        <f t="shared" si="24"/>
        <v/>
      </c>
      <c r="T166" s="193" t="str">
        <f t="shared" si="25"/>
        <v/>
      </c>
      <c r="U166" s="194" t="str">
        <f t="shared" si="26"/>
        <v/>
      </c>
      <c r="V166" s="195" t="str">
        <f t="shared" si="23"/>
        <v/>
      </c>
      <c r="W166" s="336" t="str">
        <f t="shared" si="27"/>
        <v/>
      </c>
      <c r="X166" s="338" t="str">
        <f t="shared" si="28"/>
        <v/>
      </c>
      <c r="Y166" s="274"/>
      <c r="AR166" t="str">
        <f t="shared" si="29"/>
        <v/>
      </c>
      <c r="AS166" t="str">
        <f t="shared" si="30"/>
        <v/>
      </c>
    </row>
    <row r="167" spans="1:45">
      <c r="A167" s="291"/>
      <c r="B167" s="292"/>
      <c r="C167" s="293"/>
      <c r="D167" s="293"/>
      <c r="E167" s="293"/>
      <c r="F167" s="293"/>
      <c r="G167" s="294"/>
      <c r="H167" s="300"/>
      <c r="I167" s="295"/>
      <c r="J167" s="295"/>
      <c r="K167" s="296"/>
      <c r="L167" s="301"/>
      <c r="M167" s="297"/>
      <c r="N167" s="298"/>
      <c r="P167" s="190" t="str">
        <f>IF(R167 = "", "", COUNT(R$4:$R167))</f>
        <v/>
      </c>
      <c r="Q167" s="190" t="str">
        <f t="shared" si="21"/>
        <v/>
      </c>
      <c r="R167" s="191" t="str">
        <f t="shared" si="22"/>
        <v/>
      </c>
      <c r="S167" s="192" t="str">
        <f t="shared" si="24"/>
        <v/>
      </c>
      <c r="T167" s="193" t="str">
        <f t="shared" si="25"/>
        <v/>
      </c>
      <c r="U167" s="194" t="str">
        <f t="shared" si="26"/>
        <v/>
      </c>
      <c r="V167" s="195" t="str">
        <f t="shared" si="23"/>
        <v/>
      </c>
      <c r="W167" s="336" t="str">
        <f t="shared" si="27"/>
        <v/>
      </c>
      <c r="X167" s="338" t="str">
        <f t="shared" si="28"/>
        <v/>
      </c>
      <c r="Y167" s="274"/>
      <c r="AR167" t="str">
        <f t="shared" si="29"/>
        <v/>
      </c>
      <c r="AS167" t="str">
        <f t="shared" si="30"/>
        <v/>
      </c>
    </row>
    <row r="168" spans="1:45">
      <c r="A168" s="291"/>
      <c r="B168" s="292"/>
      <c r="C168" s="293"/>
      <c r="D168" s="293"/>
      <c r="E168" s="293"/>
      <c r="F168" s="293"/>
      <c r="G168" s="294"/>
      <c r="H168" s="300"/>
      <c r="I168" s="295"/>
      <c r="J168" s="295"/>
      <c r="K168" s="296"/>
      <c r="L168" s="301"/>
      <c r="M168" s="297"/>
      <c r="N168" s="298"/>
      <c r="P168" s="190" t="str">
        <f>IF(R168 = "", "", COUNT(R$4:$R168))</f>
        <v/>
      </c>
      <c r="Q168" s="190" t="str">
        <f t="shared" si="21"/>
        <v/>
      </c>
      <c r="R168" s="191" t="str">
        <f t="shared" si="22"/>
        <v/>
      </c>
      <c r="S168" s="192" t="str">
        <f t="shared" si="24"/>
        <v/>
      </c>
      <c r="T168" s="193" t="str">
        <f t="shared" si="25"/>
        <v/>
      </c>
      <c r="U168" s="194" t="str">
        <f t="shared" si="26"/>
        <v/>
      </c>
      <c r="V168" s="195" t="str">
        <f t="shared" si="23"/>
        <v/>
      </c>
      <c r="W168" s="336" t="str">
        <f t="shared" si="27"/>
        <v/>
      </c>
      <c r="X168" s="338" t="str">
        <f t="shared" si="28"/>
        <v/>
      </c>
      <c r="Y168" s="274"/>
      <c r="AR168" t="str">
        <f t="shared" si="29"/>
        <v/>
      </c>
      <c r="AS168" t="str">
        <f t="shared" si="30"/>
        <v/>
      </c>
    </row>
    <row r="169" spans="1:45">
      <c r="A169" s="291"/>
      <c r="B169" s="292"/>
      <c r="C169" s="293"/>
      <c r="D169" s="293"/>
      <c r="E169" s="293"/>
      <c r="F169" s="293"/>
      <c r="G169" s="294"/>
      <c r="H169" s="300"/>
      <c r="I169" s="295"/>
      <c r="J169" s="295"/>
      <c r="K169" s="296"/>
      <c r="L169" s="301"/>
      <c r="M169" s="297"/>
      <c r="N169" s="298"/>
      <c r="P169" s="190" t="str">
        <f>IF(R169 = "", "", COUNT(R$4:$R169))</f>
        <v/>
      </c>
      <c r="Q169" s="190" t="str">
        <f t="shared" si="21"/>
        <v/>
      </c>
      <c r="R169" s="191" t="str">
        <f t="shared" si="22"/>
        <v/>
      </c>
      <c r="S169" s="192" t="str">
        <f t="shared" si="24"/>
        <v/>
      </c>
      <c r="T169" s="193" t="str">
        <f t="shared" si="25"/>
        <v/>
      </c>
      <c r="U169" s="194" t="str">
        <f t="shared" si="26"/>
        <v/>
      </c>
      <c r="V169" s="195" t="str">
        <f t="shared" si="23"/>
        <v/>
      </c>
      <c r="W169" s="336" t="str">
        <f t="shared" si="27"/>
        <v/>
      </c>
      <c r="X169" s="338" t="str">
        <f t="shared" si="28"/>
        <v/>
      </c>
      <c r="Y169" s="274"/>
      <c r="AR169" t="str">
        <f t="shared" si="29"/>
        <v/>
      </c>
      <c r="AS169" t="str">
        <f t="shared" si="30"/>
        <v/>
      </c>
    </row>
    <row r="170" spans="1:45">
      <c r="A170" s="291"/>
      <c r="B170" s="292"/>
      <c r="C170" s="293"/>
      <c r="D170" s="293"/>
      <c r="E170" s="293"/>
      <c r="F170" s="293"/>
      <c r="G170" s="294"/>
      <c r="H170" s="300"/>
      <c r="I170" s="295"/>
      <c r="J170" s="295"/>
      <c r="K170" s="296"/>
      <c r="L170" s="301"/>
      <c r="M170" s="297"/>
      <c r="N170" s="298"/>
      <c r="P170" s="190" t="str">
        <f>IF(R170 = "", "", COUNT(R$4:$R170))</f>
        <v/>
      </c>
      <c r="Q170" s="190" t="str">
        <f t="shared" si="21"/>
        <v/>
      </c>
      <c r="R170" s="191" t="str">
        <f t="shared" si="22"/>
        <v/>
      </c>
      <c r="S170" s="192" t="str">
        <f t="shared" si="24"/>
        <v/>
      </c>
      <c r="T170" s="193" t="str">
        <f t="shared" si="25"/>
        <v/>
      </c>
      <c r="U170" s="194" t="str">
        <f t="shared" si="26"/>
        <v/>
      </c>
      <c r="V170" s="195" t="str">
        <f t="shared" si="23"/>
        <v/>
      </c>
      <c r="W170" s="336" t="str">
        <f t="shared" si="27"/>
        <v/>
      </c>
      <c r="X170" s="338" t="str">
        <f t="shared" si="28"/>
        <v/>
      </c>
      <c r="Y170" s="274"/>
      <c r="AR170" t="str">
        <f t="shared" si="29"/>
        <v/>
      </c>
      <c r="AS170" t="str">
        <f t="shared" si="30"/>
        <v/>
      </c>
    </row>
    <row r="171" spans="1:45">
      <c r="A171" s="291"/>
      <c r="B171" s="292"/>
      <c r="C171" s="293"/>
      <c r="D171" s="293"/>
      <c r="E171" s="293"/>
      <c r="F171" s="293"/>
      <c r="G171" s="294"/>
      <c r="H171" s="300"/>
      <c r="I171" s="295"/>
      <c r="J171" s="295"/>
      <c r="K171" s="296"/>
      <c r="L171" s="301"/>
      <c r="M171" s="297"/>
      <c r="N171" s="298"/>
      <c r="P171" s="190" t="str">
        <f>IF(R171 = "", "", COUNT(R$4:$R171))</f>
        <v/>
      </c>
      <c r="Q171" s="190" t="str">
        <f t="shared" si="21"/>
        <v/>
      </c>
      <c r="R171" s="191" t="str">
        <f t="shared" si="22"/>
        <v/>
      </c>
      <c r="S171" s="192" t="str">
        <f t="shared" si="24"/>
        <v/>
      </c>
      <c r="T171" s="193" t="str">
        <f t="shared" si="25"/>
        <v/>
      </c>
      <c r="U171" s="194" t="str">
        <f t="shared" si="26"/>
        <v/>
      </c>
      <c r="V171" s="195" t="str">
        <f t="shared" si="23"/>
        <v/>
      </c>
      <c r="W171" s="336" t="str">
        <f t="shared" si="27"/>
        <v/>
      </c>
      <c r="X171" s="338" t="str">
        <f t="shared" si="28"/>
        <v/>
      </c>
      <c r="Y171" s="274"/>
      <c r="AR171" t="str">
        <f t="shared" si="29"/>
        <v/>
      </c>
      <c r="AS171" t="str">
        <f t="shared" si="30"/>
        <v/>
      </c>
    </row>
    <row r="172" spans="1:45">
      <c r="A172" s="291"/>
      <c r="B172" s="292"/>
      <c r="C172" s="293"/>
      <c r="D172" s="293"/>
      <c r="E172" s="293"/>
      <c r="F172" s="293"/>
      <c r="G172" s="294"/>
      <c r="H172" s="300"/>
      <c r="I172" s="295"/>
      <c r="J172" s="295"/>
      <c r="K172" s="296"/>
      <c r="L172" s="301"/>
      <c r="M172" s="297"/>
      <c r="N172" s="298"/>
      <c r="P172" s="190" t="str">
        <f>IF(R172 = "", "", COUNT(R$4:$R172))</f>
        <v/>
      </c>
      <c r="Q172" s="190" t="str">
        <f t="shared" si="21"/>
        <v/>
      </c>
      <c r="R172" s="191" t="str">
        <f t="shared" si="22"/>
        <v/>
      </c>
      <c r="S172" s="192" t="str">
        <f t="shared" si="24"/>
        <v/>
      </c>
      <c r="T172" s="193" t="str">
        <f t="shared" si="25"/>
        <v/>
      </c>
      <c r="U172" s="194" t="str">
        <f t="shared" si="26"/>
        <v/>
      </c>
      <c r="V172" s="195" t="str">
        <f t="shared" si="23"/>
        <v/>
      </c>
      <c r="W172" s="336" t="str">
        <f t="shared" si="27"/>
        <v/>
      </c>
      <c r="X172" s="338" t="str">
        <f t="shared" si="28"/>
        <v/>
      </c>
      <c r="Y172" s="274"/>
      <c r="AR172" t="str">
        <f t="shared" si="29"/>
        <v/>
      </c>
      <c r="AS172" t="str">
        <f t="shared" si="30"/>
        <v/>
      </c>
    </row>
    <row r="173" spans="1:45">
      <c r="A173" s="291"/>
      <c r="B173" s="292"/>
      <c r="C173" s="293"/>
      <c r="D173" s="293"/>
      <c r="E173" s="293"/>
      <c r="F173" s="293"/>
      <c r="G173" s="294"/>
      <c r="H173" s="300"/>
      <c r="I173" s="295"/>
      <c r="J173" s="295"/>
      <c r="K173" s="296"/>
      <c r="L173" s="301"/>
      <c r="M173" s="297"/>
      <c r="N173" s="298"/>
      <c r="P173" s="190" t="str">
        <f>IF(R173 = "", "", COUNT(R$4:$R173))</f>
        <v/>
      </c>
      <c r="Q173" s="190" t="str">
        <f t="shared" si="21"/>
        <v/>
      </c>
      <c r="R173" s="191" t="str">
        <f t="shared" si="22"/>
        <v/>
      </c>
      <c r="S173" s="192" t="str">
        <f t="shared" si="24"/>
        <v/>
      </c>
      <c r="T173" s="193" t="str">
        <f t="shared" si="25"/>
        <v/>
      </c>
      <c r="U173" s="194" t="str">
        <f t="shared" si="26"/>
        <v/>
      </c>
      <c r="V173" s="195" t="str">
        <f t="shared" si="23"/>
        <v/>
      </c>
      <c r="W173" s="336" t="str">
        <f t="shared" si="27"/>
        <v/>
      </c>
      <c r="X173" s="338" t="str">
        <f t="shared" si="28"/>
        <v/>
      </c>
      <c r="Y173" s="274"/>
      <c r="AR173" t="str">
        <f t="shared" si="29"/>
        <v/>
      </c>
      <c r="AS173" t="str">
        <f t="shared" si="30"/>
        <v/>
      </c>
    </row>
    <row r="174" spans="1:45">
      <c r="A174" s="291"/>
      <c r="B174" s="292"/>
      <c r="C174" s="293"/>
      <c r="D174" s="293"/>
      <c r="E174" s="293"/>
      <c r="F174" s="293"/>
      <c r="G174" s="294"/>
      <c r="H174" s="300"/>
      <c r="I174" s="295"/>
      <c r="J174" s="295"/>
      <c r="K174" s="296"/>
      <c r="L174" s="301"/>
      <c r="M174" s="297"/>
      <c r="N174" s="298"/>
      <c r="P174" s="190" t="str">
        <f>IF(R174 = "", "", COUNT(R$4:$R174))</f>
        <v/>
      </c>
      <c r="Q174" s="190" t="str">
        <f t="shared" si="21"/>
        <v/>
      </c>
      <c r="R174" s="191" t="str">
        <f t="shared" si="22"/>
        <v/>
      </c>
      <c r="S174" s="192" t="str">
        <f t="shared" si="24"/>
        <v/>
      </c>
      <c r="T174" s="193" t="str">
        <f t="shared" si="25"/>
        <v/>
      </c>
      <c r="U174" s="194" t="str">
        <f t="shared" si="26"/>
        <v/>
      </c>
      <c r="V174" s="195" t="str">
        <f t="shared" si="23"/>
        <v/>
      </c>
      <c r="W174" s="336" t="str">
        <f t="shared" si="27"/>
        <v/>
      </c>
      <c r="X174" s="338" t="str">
        <f t="shared" si="28"/>
        <v/>
      </c>
      <c r="Y174" s="274"/>
      <c r="AR174" t="str">
        <f t="shared" si="29"/>
        <v/>
      </c>
      <c r="AS174" t="str">
        <f t="shared" si="30"/>
        <v/>
      </c>
    </row>
    <row r="175" spans="1:45">
      <c r="A175" s="291"/>
      <c r="B175" s="292"/>
      <c r="C175" s="293"/>
      <c r="D175" s="293"/>
      <c r="E175" s="293"/>
      <c r="F175" s="293"/>
      <c r="G175" s="294"/>
      <c r="H175" s="300"/>
      <c r="I175" s="295"/>
      <c r="J175" s="295"/>
      <c r="K175" s="296"/>
      <c r="L175" s="301"/>
      <c r="M175" s="297"/>
      <c r="N175" s="298"/>
      <c r="P175" s="190" t="str">
        <f>IF(R175 = "", "", COUNT(R$4:$R175))</f>
        <v/>
      </c>
      <c r="Q175" s="190" t="str">
        <f t="shared" si="21"/>
        <v/>
      </c>
      <c r="R175" s="191" t="str">
        <f t="shared" si="22"/>
        <v/>
      </c>
      <c r="S175" s="192" t="str">
        <f t="shared" si="24"/>
        <v/>
      </c>
      <c r="T175" s="193" t="str">
        <f t="shared" si="25"/>
        <v/>
      </c>
      <c r="U175" s="194" t="str">
        <f t="shared" si="26"/>
        <v/>
      </c>
      <c r="V175" s="195" t="str">
        <f t="shared" si="23"/>
        <v/>
      </c>
      <c r="W175" s="336" t="str">
        <f t="shared" si="27"/>
        <v/>
      </c>
      <c r="X175" s="338" t="str">
        <f t="shared" si="28"/>
        <v/>
      </c>
      <c r="Y175" s="274"/>
      <c r="AR175" t="str">
        <f t="shared" si="29"/>
        <v/>
      </c>
      <c r="AS175" t="str">
        <f t="shared" si="30"/>
        <v/>
      </c>
    </row>
    <row r="176" spans="1:45">
      <c r="A176" s="291"/>
      <c r="B176" s="292"/>
      <c r="C176" s="293"/>
      <c r="D176" s="293"/>
      <c r="E176" s="293"/>
      <c r="F176" s="293"/>
      <c r="G176" s="294"/>
      <c r="H176" s="300"/>
      <c r="I176" s="295"/>
      <c r="J176" s="295"/>
      <c r="K176" s="296"/>
      <c r="L176" s="301"/>
      <c r="M176" s="297"/>
      <c r="N176" s="298"/>
      <c r="P176" s="190" t="str">
        <f>IF(R176 = "", "", COUNT(R$4:$R176))</f>
        <v/>
      </c>
      <c r="Q176" s="190" t="str">
        <f t="shared" si="21"/>
        <v/>
      </c>
      <c r="R176" s="191" t="str">
        <f t="shared" si="22"/>
        <v/>
      </c>
      <c r="S176" s="192" t="str">
        <f t="shared" si="24"/>
        <v/>
      </c>
      <c r="T176" s="193" t="str">
        <f t="shared" si="25"/>
        <v/>
      </c>
      <c r="U176" s="194" t="str">
        <f t="shared" si="26"/>
        <v/>
      </c>
      <c r="V176" s="195" t="str">
        <f t="shared" si="23"/>
        <v/>
      </c>
      <c r="W176" s="336" t="str">
        <f t="shared" si="27"/>
        <v/>
      </c>
      <c r="X176" s="338" t="str">
        <f t="shared" si="28"/>
        <v/>
      </c>
      <c r="Y176" s="274"/>
      <c r="AR176" t="str">
        <f t="shared" si="29"/>
        <v/>
      </c>
      <c r="AS176" t="str">
        <f t="shared" si="30"/>
        <v/>
      </c>
    </row>
    <row r="177" spans="1:45">
      <c r="A177" s="291"/>
      <c r="B177" s="292"/>
      <c r="C177" s="293"/>
      <c r="D177" s="293"/>
      <c r="E177" s="293"/>
      <c r="F177" s="293"/>
      <c r="G177" s="294"/>
      <c r="H177" s="300"/>
      <c r="I177" s="295"/>
      <c r="J177" s="295"/>
      <c r="K177" s="296"/>
      <c r="L177" s="301"/>
      <c r="M177" s="297"/>
      <c r="N177" s="298"/>
      <c r="P177" s="190" t="str">
        <f>IF(R177 = "", "", COUNT(R$4:$R177))</f>
        <v/>
      </c>
      <c r="Q177" s="190" t="str">
        <f t="shared" si="21"/>
        <v/>
      </c>
      <c r="R177" s="191" t="str">
        <f t="shared" si="22"/>
        <v/>
      </c>
      <c r="S177" s="192" t="str">
        <f t="shared" si="24"/>
        <v/>
      </c>
      <c r="T177" s="193" t="str">
        <f t="shared" si="25"/>
        <v/>
      </c>
      <c r="U177" s="194" t="str">
        <f t="shared" si="26"/>
        <v/>
      </c>
      <c r="V177" s="195" t="str">
        <f t="shared" si="23"/>
        <v/>
      </c>
      <c r="W177" s="336" t="str">
        <f t="shared" si="27"/>
        <v/>
      </c>
      <c r="X177" s="338" t="str">
        <f t="shared" si="28"/>
        <v/>
      </c>
      <c r="Y177" s="274"/>
      <c r="AR177" t="str">
        <f t="shared" si="29"/>
        <v/>
      </c>
      <c r="AS177" t="str">
        <f t="shared" si="30"/>
        <v/>
      </c>
    </row>
    <row r="178" spans="1:45">
      <c r="A178" s="291"/>
      <c r="B178" s="292"/>
      <c r="C178" s="293"/>
      <c r="D178" s="293"/>
      <c r="E178" s="293"/>
      <c r="F178" s="293"/>
      <c r="G178" s="294"/>
      <c r="H178" s="300"/>
      <c r="I178" s="295"/>
      <c r="J178" s="295"/>
      <c r="K178" s="296"/>
      <c r="L178" s="301"/>
      <c r="M178" s="297"/>
      <c r="N178" s="298"/>
      <c r="P178" s="190" t="str">
        <f>IF(R178 = "", "", COUNT(R$4:$R178))</f>
        <v/>
      </c>
      <c r="Q178" s="190" t="str">
        <f t="shared" si="21"/>
        <v/>
      </c>
      <c r="R178" s="191" t="str">
        <f t="shared" si="22"/>
        <v/>
      </c>
      <c r="S178" s="192" t="str">
        <f t="shared" si="24"/>
        <v/>
      </c>
      <c r="T178" s="193" t="str">
        <f t="shared" si="25"/>
        <v/>
      </c>
      <c r="U178" s="194" t="str">
        <f t="shared" si="26"/>
        <v/>
      </c>
      <c r="V178" s="195" t="str">
        <f t="shared" si="23"/>
        <v/>
      </c>
      <c r="W178" s="336" t="str">
        <f t="shared" si="27"/>
        <v/>
      </c>
      <c r="X178" s="338" t="str">
        <f t="shared" si="28"/>
        <v/>
      </c>
      <c r="Y178" s="274"/>
      <c r="AR178" t="str">
        <f t="shared" si="29"/>
        <v/>
      </c>
      <c r="AS178" t="str">
        <f t="shared" si="30"/>
        <v/>
      </c>
    </row>
    <row r="179" spans="1:45">
      <c r="A179" s="291"/>
      <c r="B179" s="292"/>
      <c r="C179" s="293"/>
      <c r="D179" s="293"/>
      <c r="E179" s="293"/>
      <c r="F179" s="293"/>
      <c r="G179" s="294"/>
      <c r="H179" s="300"/>
      <c r="I179" s="295"/>
      <c r="J179" s="295"/>
      <c r="K179" s="296"/>
      <c r="L179" s="301"/>
      <c r="M179" s="297"/>
      <c r="N179" s="298"/>
      <c r="P179" s="190" t="str">
        <f>IF(R179 = "", "", COUNT(R$4:$R179))</f>
        <v/>
      </c>
      <c r="Q179" s="190" t="str">
        <f t="shared" si="21"/>
        <v/>
      </c>
      <c r="R179" s="191" t="str">
        <f t="shared" si="22"/>
        <v/>
      </c>
      <c r="S179" s="192" t="str">
        <f t="shared" si="24"/>
        <v/>
      </c>
      <c r="T179" s="193" t="str">
        <f t="shared" si="25"/>
        <v/>
      </c>
      <c r="U179" s="194" t="str">
        <f t="shared" si="26"/>
        <v/>
      </c>
      <c r="V179" s="195" t="str">
        <f t="shared" si="23"/>
        <v/>
      </c>
      <c r="W179" s="336" t="str">
        <f t="shared" si="27"/>
        <v/>
      </c>
      <c r="X179" s="338" t="str">
        <f t="shared" si="28"/>
        <v/>
      </c>
      <c r="Y179" s="274"/>
      <c r="AR179" t="str">
        <f t="shared" si="29"/>
        <v/>
      </c>
      <c r="AS179" t="str">
        <f t="shared" si="30"/>
        <v/>
      </c>
    </row>
    <row r="180" spans="1:45">
      <c r="A180" s="291"/>
      <c r="B180" s="292"/>
      <c r="C180" s="293"/>
      <c r="D180" s="293"/>
      <c r="E180" s="293"/>
      <c r="F180" s="293"/>
      <c r="G180" s="294"/>
      <c r="H180" s="300"/>
      <c r="I180" s="295"/>
      <c r="J180" s="295"/>
      <c r="K180" s="296"/>
      <c r="L180" s="301"/>
      <c r="M180" s="297"/>
      <c r="N180" s="298"/>
      <c r="P180" s="190" t="str">
        <f>IF(R180 = "", "", COUNT(R$4:$R180))</f>
        <v/>
      </c>
      <c r="Q180" s="190" t="str">
        <f t="shared" si="21"/>
        <v/>
      </c>
      <c r="R180" s="191" t="str">
        <f t="shared" si="22"/>
        <v/>
      </c>
      <c r="S180" s="192" t="str">
        <f t="shared" si="24"/>
        <v/>
      </c>
      <c r="T180" s="193" t="str">
        <f t="shared" si="25"/>
        <v/>
      </c>
      <c r="U180" s="194" t="str">
        <f t="shared" si="26"/>
        <v/>
      </c>
      <c r="V180" s="195" t="str">
        <f t="shared" si="23"/>
        <v/>
      </c>
      <c r="W180" s="336" t="str">
        <f t="shared" si="27"/>
        <v/>
      </c>
      <c r="X180" s="338" t="str">
        <f t="shared" si="28"/>
        <v/>
      </c>
      <c r="Y180" s="274"/>
      <c r="AR180" t="str">
        <f t="shared" si="29"/>
        <v/>
      </c>
      <c r="AS180" t="str">
        <f t="shared" si="30"/>
        <v/>
      </c>
    </row>
    <row r="181" spans="1:45">
      <c r="A181" s="291"/>
      <c r="B181" s="292"/>
      <c r="C181" s="293"/>
      <c r="D181" s="293"/>
      <c r="E181" s="293"/>
      <c r="F181" s="293"/>
      <c r="G181" s="294"/>
      <c r="H181" s="300"/>
      <c r="I181" s="295"/>
      <c r="J181" s="295"/>
      <c r="K181" s="296"/>
      <c r="L181" s="301"/>
      <c r="M181" s="297"/>
      <c r="N181" s="298"/>
      <c r="P181" s="190" t="str">
        <f>IF(R181 = "", "", COUNT(R$4:$R181))</f>
        <v/>
      </c>
      <c r="Q181" s="190" t="str">
        <f t="shared" si="21"/>
        <v/>
      </c>
      <c r="R181" s="191" t="str">
        <f t="shared" si="22"/>
        <v/>
      </c>
      <c r="S181" s="192" t="str">
        <f t="shared" si="24"/>
        <v/>
      </c>
      <c r="T181" s="193" t="str">
        <f t="shared" si="25"/>
        <v/>
      </c>
      <c r="U181" s="194" t="str">
        <f t="shared" si="26"/>
        <v/>
      </c>
      <c r="V181" s="195" t="str">
        <f t="shared" si="23"/>
        <v/>
      </c>
      <c r="W181" s="336" t="str">
        <f t="shared" si="27"/>
        <v/>
      </c>
      <c r="X181" s="338" t="str">
        <f t="shared" si="28"/>
        <v/>
      </c>
      <c r="Y181" s="274"/>
      <c r="AR181" t="str">
        <f t="shared" si="29"/>
        <v/>
      </c>
      <c r="AS181" t="str">
        <f t="shared" si="30"/>
        <v/>
      </c>
    </row>
    <row r="182" spans="1:45">
      <c r="A182" s="291"/>
      <c r="B182" s="292"/>
      <c r="C182" s="293"/>
      <c r="D182" s="293"/>
      <c r="E182" s="293"/>
      <c r="F182" s="293"/>
      <c r="G182" s="294"/>
      <c r="H182" s="300"/>
      <c r="I182" s="295"/>
      <c r="J182" s="295"/>
      <c r="K182" s="296"/>
      <c r="L182" s="301"/>
      <c r="M182" s="297"/>
      <c r="N182" s="298"/>
      <c r="P182" s="190" t="str">
        <f>IF(R182 = "", "", COUNT(R$4:$R182))</f>
        <v/>
      </c>
      <c r="Q182" s="190" t="str">
        <f t="shared" si="21"/>
        <v/>
      </c>
      <c r="R182" s="191" t="str">
        <f t="shared" si="22"/>
        <v/>
      </c>
      <c r="S182" s="192" t="str">
        <f t="shared" si="24"/>
        <v/>
      </c>
      <c r="T182" s="193" t="str">
        <f t="shared" si="25"/>
        <v/>
      </c>
      <c r="U182" s="194" t="str">
        <f t="shared" si="26"/>
        <v/>
      </c>
      <c r="V182" s="195" t="str">
        <f t="shared" si="23"/>
        <v/>
      </c>
      <c r="W182" s="336" t="str">
        <f t="shared" si="27"/>
        <v/>
      </c>
      <c r="X182" s="338" t="str">
        <f t="shared" si="28"/>
        <v/>
      </c>
      <c r="Y182" s="274"/>
      <c r="AR182" t="str">
        <f t="shared" si="29"/>
        <v/>
      </c>
      <c r="AS182" t="str">
        <f t="shared" si="30"/>
        <v/>
      </c>
    </row>
    <row r="183" spans="1:45">
      <c r="A183" s="291"/>
      <c r="B183" s="292"/>
      <c r="C183" s="293"/>
      <c r="D183" s="293"/>
      <c r="E183" s="293"/>
      <c r="F183" s="293"/>
      <c r="G183" s="294"/>
      <c r="H183" s="300"/>
      <c r="I183" s="295"/>
      <c r="J183" s="295"/>
      <c r="K183" s="296"/>
      <c r="L183" s="301"/>
      <c r="M183" s="297"/>
      <c r="N183" s="298"/>
      <c r="P183" s="190" t="str">
        <f>IF(R183 = "", "", COUNT(R$4:$R183))</f>
        <v/>
      </c>
      <c r="Q183" s="190" t="str">
        <f t="shared" si="21"/>
        <v/>
      </c>
      <c r="R183" s="191" t="str">
        <f t="shared" si="22"/>
        <v/>
      </c>
      <c r="S183" s="192" t="str">
        <f t="shared" si="24"/>
        <v/>
      </c>
      <c r="T183" s="193" t="str">
        <f t="shared" si="25"/>
        <v/>
      </c>
      <c r="U183" s="194" t="str">
        <f t="shared" si="26"/>
        <v/>
      </c>
      <c r="V183" s="195" t="str">
        <f t="shared" si="23"/>
        <v/>
      </c>
      <c r="W183" s="336" t="str">
        <f t="shared" si="27"/>
        <v/>
      </c>
      <c r="X183" s="338" t="str">
        <f t="shared" si="28"/>
        <v/>
      </c>
      <c r="Y183" s="274"/>
      <c r="AR183" t="str">
        <f t="shared" si="29"/>
        <v/>
      </c>
      <c r="AS183" t="str">
        <f t="shared" si="30"/>
        <v/>
      </c>
    </row>
    <row r="184" spans="1:45">
      <c r="A184" s="291"/>
      <c r="B184" s="292"/>
      <c r="C184" s="293"/>
      <c r="D184" s="293"/>
      <c r="E184" s="293"/>
      <c r="F184" s="293"/>
      <c r="G184" s="294"/>
      <c r="H184" s="300"/>
      <c r="I184" s="295"/>
      <c r="J184" s="295"/>
      <c r="K184" s="296"/>
      <c r="L184" s="301"/>
      <c r="M184" s="297"/>
      <c r="N184" s="298"/>
      <c r="P184" s="190" t="str">
        <f>IF(R184 = "", "", COUNT(R$4:$R184))</f>
        <v/>
      </c>
      <c r="Q184" s="190" t="str">
        <f t="shared" si="21"/>
        <v/>
      </c>
      <c r="R184" s="191" t="str">
        <f t="shared" si="22"/>
        <v/>
      </c>
      <c r="S184" s="192" t="str">
        <f t="shared" si="24"/>
        <v/>
      </c>
      <c r="T184" s="193" t="str">
        <f t="shared" si="25"/>
        <v/>
      </c>
      <c r="U184" s="194" t="str">
        <f t="shared" si="26"/>
        <v/>
      </c>
      <c r="V184" s="195" t="str">
        <f t="shared" si="23"/>
        <v/>
      </c>
      <c r="W184" s="336" t="str">
        <f t="shared" si="27"/>
        <v/>
      </c>
      <c r="X184" s="338" t="str">
        <f t="shared" si="28"/>
        <v/>
      </c>
      <c r="Y184" s="274"/>
      <c r="AR184" t="str">
        <f t="shared" si="29"/>
        <v/>
      </c>
      <c r="AS184" t="str">
        <f t="shared" si="30"/>
        <v/>
      </c>
    </row>
    <row r="185" spans="1:45">
      <c r="A185" s="291"/>
      <c r="B185" s="292"/>
      <c r="C185" s="293"/>
      <c r="D185" s="293"/>
      <c r="E185" s="293"/>
      <c r="F185" s="293"/>
      <c r="G185" s="294"/>
      <c r="H185" s="300"/>
      <c r="I185" s="295"/>
      <c r="J185" s="295"/>
      <c r="K185" s="296"/>
      <c r="L185" s="301"/>
      <c r="M185" s="297"/>
      <c r="N185" s="298"/>
      <c r="P185" s="190" t="str">
        <f>IF(R185 = "", "", COUNT(R$4:$R185))</f>
        <v/>
      </c>
      <c r="Q185" s="190" t="str">
        <f t="shared" si="21"/>
        <v/>
      </c>
      <c r="R185" s="191" t="str">
        <f t="shared" si="22"/>
        <v/>
      </c>
      <c r="S185" s="192" t="str">
        <f t="shared" si="24"/>
        <v/>
      </c>
      <c r="T185" s="193" t="str">
        <f t="shared" si="25"/>
        <v/>
      </c>
      <c r="U185" s="194" t="str">
        <f t="shared" si="26"/>
        <v/>
      </c>
      <c r="V185" s="195" t="str">
        <f t="shared" si="23"/>
        <v/>
      </c>
      <c r="W185" s="336" t="str">
        <f t="shared" si="27"/>
        <v/>
      </c>
      <c r="X185" s="338" t="str">
        <f t="shared" si="28"/>
        <v/>
      </c>
      <c r="Y185" s="274"/>
      <c r="AR185" t="str">
        <f t="shared" si="29"/>
        <v/>
      </c>
      <c r="AS185" t="str">
        <f t="shared" si="30"/>
        <v/>
      </c>
    </row>
    <row r="186" spans="1:45">
      <c r="A186" s="291"/>
      <c r="B186" s="292"/>
      <c r="C186" s="293"/>
      <c r="D186" s="293"/>
      <c r="E186" s="293"/>
      <c r="F186" s="293"/>
      <c r="G186" s="294"/>
      <c r="H186" s="300"/>
      <c r="I186" s="295"/>
      <c r="J186" s="295"/>
      <c r="K186" s="296"/>
      <c r="L186" s="301"/>
      <c r="M186" s="297"/>
      <c r="N186" s="298"/>
      <c r="P186" s="190" t="str">
        <f>IF(R186 = "", "", COUNT(R$4:$R186))</f>
        <v/>
      </c>
      <c r="Q186" s="190" t="str">
        <f t="shared" si="21"/>
        <v/>
      </c>
      <c r="R186" s="191" t="str">
        <f t="shared" si="22"/>
        <v/>
      </c>
      <c r="S186" s="192" t="str">
        <f t="shared" si="24"/>
        <v/>
      </c>
      <c r="T186" s="193" t="str">
        <f t="shared" si="25"/>
        <v/>
      </c>
      <c r="U186" s="194" t="str">
        <f t="shared" si="26"/>
        <v/>
      </c>
      <c r="V186" s="195" t="str">
        <f t="shared" si="23"/>
        <v/>
      </c>
      <c r="W186" s="336" t="str">
        <f t="shared" si="27"/>
        <v/>
      </c>
      <c r="X186" s="338" t="str">
        <f t="shared" si="28"/>
        <v/>
      </c>
      <c r="Y186" s="274"/>
      <c r="AR186" t="str">
        <f t="shared" si="29"/>
        <v/>
      </c>
      <c r="AS186" t="str">
        <f t="shared" si="30"/>
        <v/>
      </c>
    </row>
    <row r="187" spans="1:45">
      <c r="A187" s="291"/>
      <c r="B187" s="292"/>
      <c r="C187" s="293"/>
      <c r="D187" s="293"/>
      <c r="E187" s="293"/>
      <c r="F187" s="293"/>
      <c r="G187" s="294"/>
      <c r="H187" s="300"/>
      <c r="I187" s="295"/>
      <c r="J187" s="295"/>
      <c r="K187" s="296"/>
      <c r="L187" s="301"/>
      <c r="M187" s="297"/>
      <c r="N187" s="298"/>
      <c r="P187" s="190" t="str">
        <f>IF(R187 = "", "", COUNT(R$4:$R187))</f>
        <v/>
      </c>
      <c r="Q187" s="190" t="str">
        <f t="shared" si="21"/>
        <v/>
      </c>
      <c r="R187" s="191" t="str">
        <f t="shared" si="22"/>
        <v/>
      </c>
      <c r="S187" s="192" t="str">
        <f t="shared" si="24"/>
        <v/>
      </c>
      <c r="T187" s="193" t="str">
        <f t="shared" si="25"/>
        <v/>
      </c>
      <c r="U187" s="194" t="str">
        <f t="shared" si="26"/>
        <v/>
      </c>
      <c r="V187" s="195" t="str">
        <f t="shared" si="23"/>
        <v/>
      </c>
      <c r="W187" s="336" t="str">
        <f t="shared" si="27"/>
        <v/>
      </c>
      <c r="X187" s="338" t="str">
        <f t="shared" si="28"/>
        <v/>
      </c>
      <c r="Y187" s="274"/>
      <c r="AR187" t="str">
        <f t="shared" si="29"/>
        <v/>
      </c>
      <c r="AS187" t="str">
        <f t="shared" si="30"/>
        <v/>
      </c>
    </row>
    <row r="188" spans="1:45">
      <c r="A188" s="291"/>
      <c r="B188" s="292"/>
      <c r="C188" s="293"/>
      <c r="D188" s="293"/>
      <c r="E188" s="293"/>
      <c r="F188" s="293"/>
      <c r="G188" s="294"/>
      <c r="H188" s="300"/>
      <c r="I188" s="295"/>
      <c r="J188" s="295"/>
      <c r="K188" s="296"/>
      <c r="L188" s="301"/>
      <c r="M188" s="297"/>
      <c r="N188" s="298"/>
      <c r="P188" s="190" t="str">
        <f>IF(R188 = "", "", COUNT(R$4:$R188))</f>
        <v/>
      </c>
      <c r="Q188" s="190" t="str">
        <f t="shared" si="21"/>
        <v/>
      </c>
      <c r="R188" s="191" t="str">
        <f t="shared" si="22"/>
        <v/>
      </c>
      <c r="S188" s="192" t="str">
        <f t="shared" si="24"/>
        <v/>
      </c>
      <c r="T188" s="193" t="str">
        <f t="shared" si="25"/>
        <v/>
      </c>
      <c r="U188" s="194" t="str">
        <f t="shared" si="26"/>
        <v/>
      </c>
      <c r="V188" s="195" t="str">
        <f t="shared" si="23"/>
        <v/>
      </c>
      <c r="W188" s="336" t="str">
        <f t="shared" si="27"/>
        <v/>
      </c>
      <c r="X188" s="338" t="str">
        <f t="shared" si="28"/>
        <v/>
      </c>
      <c r="Y188" s="274"/>
      <c r="AR188" t="str">
        <f t="shared" si="29"/>
        <v/>
      </c>
      <c r="AS188" t="str">
        <f t="shared" si="30"/>
        <v/>
      </c>
    </row>
    <row r="189" spans="1:45">
      <c r="A189" s="291"/>
      <c r="B189" s="292"/>
      <c r="C189" s="293"/>
      <c r="D189" s="293"/>
      <c r="E189" s="293"/>
      <c r="F189" s="293"/>
      <c r="G189" s="294"/>
      <c r="H189" s="300"/>
      <c r="I189" s="295"/>
      <c r="J189" s="295"/>
      <c r="K189" s="296"/>
      <c r="L189" s="301"/>
      <c r="M189" s="297"/>
      <c r="N189" s="298"/>
      <c r="P189" s="190" t="str">
        <f>IF(R189 = "", "", COUNT(R$4:$R189))</f>
        <v/>
      </c>
      <c r="Q189" s="190" t="str">
        <f t="shared" si="21"/>
        <v/>
      </c>
      <c r="R189" s="191" t="str">
        <f t="shared" si="22"/>
        <v/>
      </c>
      <c r="S189" s="192" t="str">
        <f t="shared" si="24"/>
        <v/>
      </c>
      <c r="T189" s="193" t="str">
        <f t="shared" si="25"/>
        <v/>
      </c>
      <c r="U189" s="194" t="str">
        <f t="shared" si="26"/>
        <v/>
      </c>
      <c r="V189" s="195" t="str">
        <f t="shared" si="23"/>
        <v/>
      </c>
      <c r="W189" s="336" t="str">
        <f t="shared" si="27"/>
        <v/>
      </c>
      <c r="X189" s="338" t="str">
        <f t="shared" si="28"/>
        <v/>
      </c>
      <c r="Y189" s="274"/>
      <c r="AR189" t="str">
        <f t="shared" si="29"/>
        <v/>
      </c>
      <c r="AS189" t="str">
        <f t="shared" si="30"/>
        <v/>
      </c>
    </row>
    <row r="190" spans="1:45">
      <c r="A190" s="291"/>
      <c r="B190" s="292"/>
      <c r="C190" s="293"/>
      <c r="D190" s="293"/>
      <c r="E190" s="293"/>
      <c r="F190" s="293"/>
      <c r="G190" s="294"/>
      <c r="H190" s="300"/>
      <c r="I190" s="295"/>
      <c r="J190" s="295"/>
      <c r="K190" s="296"/>
      <c r="L190" s="301"/>
      <c r="M190" s="297"/>
      <c r="N190" s="298"/>
      <c r="P190" s="190" t="str">
        <f>IF(R190 = "", "", COUNT(R$4:$R190))</f>
        <v/>
      </c>
      <c r="Q190" s="190" t="str">
        <f t="shared" si="21"/>
        <v/>
      </c>
      <c r="R190" s="191" t="str">
        <f t="shared" si="22"/>
        <v/>
      </c>
      <c r="S190" s="192" t="str">
        <f t="shared" si="24"/>
        <v/>
      </c>
      <c r="T190" s="193" t="str">
        <f t="shared" si="25"/>
        <v/>
      </c>
      <c r="U190" s="194" t="str">
        <f t="shared" si="26"/>
        <v/>
      </c>
      <c r="V190" s="195" t="str">
        <f t="shared" si="23"/>
        <v/>
      </c>
      <c r="W190" s="336" t="str">
        <f t="shared" si="27"/>
        <v/>
      </c>
      <c r="X190" s="338" t="str">
        <f t="shared" si="28"/>
        <v/>
      </c>
      <c r="Y190" s="274"/>
      <c r="AR190" t="str">
        <f t="shared" si="29"/>
        <v/>
      </c>
      <c r="AS190" t="str">
        <f t="shared" si="30"/>
        <v/>
      </c>
    </row>
    <row r="191" spans="1:45">
      <c r="A191" s="291"/>
      <c r="B191" s="292"/>
      <c r="C191" s="293"/>
      <c r="D191" s="293"/>
      <c r="E191" s="293"/>
      <c r="F191" s="293"/>
      <c r="G191" s="294"/>
      <c r="H191" s="300"/>
      <c r="I191" s="295"/>
      <c r="J191" s="295"/>
      <c r="K191" s="296"/>
      <c r="L191" s="301"/>
      <c r="M191" s="297"/>
      <c r="N191" s="298"/>
      <c r="P191" s="190" t="str">
        <f>IF(R191 = "", "", COUNT(R$4:$R191))</f>
        <v/>
      </c>
      <c r="Q191" s="190" t="str">
        <f t="shared" si="21"/>
        <v/>
      </c>
      <c r="R191" s="191" t="str">
        <f t="shared" si="22"/>
        <v/>
      </c>
      <c r="S191" s="192" t="str">
        <f t="shared" si="24"/>
        <v/>
      </c>
      <c r="T191" s="193" t="str">
        <f t="shared" si="25"/>
        <v/>
      </c>
      <c r="U191" s="194" t="str">
        <f t="shared" si="26"/>
        <v/>
      </c>
      <c r="V191" s="195" t="str">
        <f t="shared" si="23"/>
        <v/>
      </c>
      <c r="W191" s="336" t="str">
        <f t="shared" si="27"/>
        <v/>
      </c>
      <c r="X191" s="338" t="str">
        <f t="shared" si="28"/>
        <v/>
      </c>
      <c r="Y191" s="274"/>
      <c r="AR191" t="str">
        <f t="shared" si="29"/>
        <v/>
      </c>
      <c r="AS191" t="str">
        <f t="shared" si="30"/>
        <v/>
      </c>
    </row>
    <row r="192" spans="1:45">
      <c r="A192" s="291"/>
      <c r="B192" s="292"/>
      <c r="C192" s="293"/>
      <c r="D192" s="293"/>
      <c r="E192" s="293"/>
      <c r="F192" s="293"/>
      <c r="G192" s="294"/>
      <c r="H192" s="300"/>
      <c r="I192" s="295"/>
      <c r="J192" s="295"/>
      <c r="K192" s="296"/>
      <c r="L192" s="301"/>
      <c r="M192" s="297"/>
      <c r="N192" s="298"/>
      <c r="P192" s="190" t="str">
        <f>IF(R192 = "", "", COUNT(R$4:$R192))</f>
        <v/>
      </c>
      <c r="Q192" s="190" t="str">
        <f t="shared" si="21"/>
        <v/>
      </c>
      <c r="R192" s="191" t="str">
        <f t="shared" si="22"/>
        <v/>
      </c>
      <c r="S192" s="192" t="str">
        <f t="shared" si="24"/>
        <v/>
      </c>
      <c r="T192" s="193" t="str">
        <f t="shared" si="25"/>
        <v/>
      </c>
      <c r="U192" s="194" t="str">
        <f t="shared" si="26"/>
        <v/>
      </c>
      <c r="V192" s="195" t="str">
        <f t="shared" si="23"/>
        <v/>
      </c>
      <c r="W192" s="336" t="str">
        <f t="shared" si="27"/>
        <v/>
      </c>
      <c r="X192" s="338" t="str">
        <f t="shared" si="28"/>
        <v/>
      </c>
      <c r="Y192" s="274"/>
      <c r="AR192" t="str">
        <f t="shared" si="29"/>
        <v/>
      </c>
      <c r="AS192" t="str">
        <f t="shared" si="30"/>
        <v/>
      </c>
    </row>
    <row r="193" spans="1:45">
      <c r="A193" s="291"/>
      <c r="B193" s="292"/>
      <c r="C193" s="293"/>
      <c r="D193" s="293"/>
      <c r="E193" s="293"/>
      <c r="F193" s="293"/>
      <c r="G193" s="294"/>
      <c r="H193" s="300"/>
      <c r="I193" s="295"/>
      <c r="J193" s="295"/>
      <c r="K193" s="296"/>
      <c r="L193" s="301"/>
      <c r="M193" s="297"/>
      <c r="N193" s="298"/>
      <c r="P193" s="190" t="str">
        <f>IF(R193 = "", "", COUNT(R$4:$R193))</f>
        <v/>
      </c>
      <c r="Q193" s="190" t="str">
        <f t="shared" si="21"/>
        <v/>
      </c>
      <c r="R193" s="191" t="str">
        <f t="shared" si="22"/>
        <v/>
      </c>
      <c r="S193" s="192" t="str">
        <f t="shared" si="24"/>
        <v/>
      </c>
      <c r="T193" s="193" t="str">
        <f t="shared" si="25"/>
        <v/>
      </c>
      <c r="U193" s="194" t="str">
        <f t="shared" si="26"/>
        <v/>
      </c>
      <c r="V193" s="195" t="str">
        <f t="shared" si="23"/>
        <v/>
      </c>
      <c r="W193" s="336" t="str">
        <f t="shared" si="27"/>
        <v/>
      </c>
      <c r="X193" s="338" t="str">
        <f t="shared" si="28"/>
        <v/>
      </c>
      <c r="Y193" s="274"/>
      <c r="AR193" t="str">
        <f t="shared" si="29"/>
        <v/>
      </c>
      <c r="AS193" t="str">
        <f t="shared" si="30"/>
        <v/>
      </c>
    </row>
    <row r="194" spans="1:45">
      <c r="A194" s="291"/>
      <c r="B194" s="292"/>
      <c r="C194" s="293"/>
      <c r="D194" s="293"/>
      <c r="E194" s="293"/>
      <c r="F194" s="293"/>
      <c r="G194" s="294"/>
      <c r="H194" s="300"/>
      <c r="I194" s="295"/>
      <c r="J194" s="295"/>
      <c r="K194" s="296"/>
      <c r="L194" s="301"/>
      <c r="M194" s="297"/>
      <c r="N194" s="298"/>
      <c r="P194" s="190" t="str">
        <f>IF(R194 = "", "", COUNT(R$4:$R194))</f>
        <v/>
      </c>
      <c r="Q194" s="190" t="str">
        <f t="shared" si="21"/>
        <v/>
      </c>
      <c r="R194" s="191" t="str">
        <f t="shared" si="22"/>
        <v/>
      </c>
      <c r="S194" s="192" t="str">
        <f t="shared" si="24"/>
        <v/>
      </c>
      <c r="T194" s="193" t="str">
        <f t="shared" si="25"/>
        <v/>
      </c>
      <c r="U194" s="194" t="str">
        <f t="shared" si="26"/>
        <v/>
      </c>
      <c r="V194" s="195" t="str">
        <f t="shared" si="23"/>
        <v/>
      </c>
      <c r="W194" s="336" t="str">
        <f t="shared" si="27"/>
        <v/>
      </c>
      <c r="X194" s="338" t="str">
        <f t="shared" si="28"/>
        <v/>
      </c>
      <c r="Y194" s="274"/>
      <c r="AR194" t="str">
        <f t="shared" si="29"/>
        <v/>
      </c>
      <c r="AS194" t="str">
        <f t="shared" si="30"/>
        <v/>
      </c>
    </row>
    <row r="195" spans="1:45">
      <c r="A195" s="291"/>
      <c r="B195" s="292"/>
      <c r="C195" s="293"/>
      <c r="D195" s="293"/>
      <c r="E195" s="293"/>
      <c r="F195" s="293"/>
      <c r="G195" s="294"/>
      <c r="H195" s="300"/>
      <c r="I195" s="295"/>
      <c r="J195" s="295"/>
      <c r="K195" s="296"/>
      <c r="L195" s="301"/>
      <c r="M195" s="297"/>
      <c r="N195" s="298"/>
      <c r="P195" s="190" t="str">
        <f>IF(R195 = "", "", COUNT(R$4:$R195))</f>
        <v/>
      </c>
      <c r="Q195" s="190" t="str">
        <f t="shared" si="21"/>
        <v/>
      </c>
      <c r="R195" s="191" t="str">
        <f t="shared" si="22"/>
        <v/>
      </c>
      <c r="S195" s="192" t="str">
        <f t="shared" si="24"/>
        <v/>
      </c>
      <c r="T195" s="193" t="str">
        <f t="shared" si="25"/>
        <v/>
      </c>
      <c r="U195" s="194" t="str">
        <f t="shared" si="26"/>
        <v/>
      </c>
      <c r="V195" s="195" t="str">
        <f t="shared" si="23"/>
        <v/>
      </c>
      <c r="W195" s="336" t="str">
        <f t="shared" si="27"/>
        <v/>
      </c>
      <c r="X195" s="338" t="str">
        <f t="shared" si="28"/>
        <v/>
      </c>
      <c r="Y195" s="274"/>
      <c r="AR195" t="str">
        <f t="shared" si="29"/>
        <v/>
      </c>
      <c r="AS195" t="str">
        <f t="shared" si="30"/>
        <v/>
      </c>
    </row>
    <row r="196" spans="1:45">
      <c r="A196" s="291"/>
      <c r="B196" s="292"/>
      <c r="C196" s="293"/>
      <c r="D196" s="293"/>
      <c r="E196" s="293"/>
      <c r="F196" s="293"/>
      <c r="G196" s="294"/>
      <c r="H196" s="300"/>
      <c r="I196" s="295"/>
      <c r="J196" s="295"/>
      <c r="K196" s="296"/>
      <c r="L196" s="301"/>
      <c r="M196" s="297"/>
      <c r="N196" s="298"/>
      <c r="P196" s="190" t="str">
        <f>IF(R196 = "", "", COUNT(R$4:$R196))</f>
        <v/>
      </c>
      <c r="Q196" s="190" t="str">
        <f t="shared" ref="Q196:Q259" si="31">IF(C196 &gt; 0, YEAR(B196), "")</f>
        <v/>
      </c>
      <c r="R196" s="191" t="str">
        <f t="shared" ref="R196:R259" si="32">IF(A196="", "", IF(G196="",1,IF(G196="O",1,IF(G196="C",8.4,IF(G196="B",8.4,IF(G196="A",76.8,IF(G196="K",76.8,"ERR")))))))</f>
        <v/>
      </c>
      <c r="S196" s="192" t="str">
        <f t="shared" si="24"/>
        <v/>
      </c>
      <c r="T196" s="193" t="str">
        <f t="shared" si="25"/>
        <v/>
      </c>
      <c r="U196" s="194" t="str">
        <f t="shared" si="26"/>
        <v/>
      </c>
      <c r="V196" s="195" t="str">
        <f t="shared" ref="V196:V259" si="33">IF(IF(M196&lt;&gt;"",G196,"")=0, "O", IF(M196&lt;&gt;"",G196,""))</f>
        <v/>
      </c>
      <c r="W196" s="336" t="str">
        <f t="shared" si="27"/>
        <v/>
      </c>
      <c r="X196" s="338" t="str">
        <f t="shared" si="28"/>
        <v/>
      </c>
      <c r="Y196" s="274"/>
      <c r="AR196" t="str">
        <f t="shared" si="29"/>
        <v/>
      </c>
      <c r="AS196" t="str">
        <f t="shared" si="30"/>
        <v/>
      </c>
    </row>
    <row r="197" spans="1:45">
      <c r="A197" s="291"/>
      <c r="B197" s="292"/>
      <c r="C197" s="293"/>
      <c r="D197" s="293"/>
      <c r="E197" s="293"/>
      <c r="F197" s="293"/>
      <c r="G197" s="294"/>
      <c r="H197" s="300"/>
      <c r="I197" s="295"/>
      <c r="J197" s="295"/>
      <c r="K197" s="296"/>
      <c r="L197" s="301"/>
      <c r="M197" s="297"/>
      <c r="N197" s="298"/>
      <c r="P197" s="190" t="str">
        <f>IF(R197 = "", "", COUNT(R$4:$R197))</f>
        <v/>
      </c>
      <c r="Q197" s="190" t="str">
        <f t="shared" si="31"/>
        <v/>
      </c>
      <c r="R197" s="191" t="str">
        <f t="shared" si="32"/>
        <v/>
      </c>
      <c r="S197" s="192" t="str">
        <f t="shared" ref="S197:S260" si="34">IF(L197&lt;&gt;"",R197,"")</f>
        <v/>
      </c>
      <c r="T197" s="193" t="str">
        <f t="shared" ref="T197:T260" si="35">IF(IF(L197&lt;&gt;"",G197,"")=0, "O", IF(L197&lt;&gt;"",G197,""))</f>
        <v/>
      </c>
      <c r="U197" s="194" t="str">
        <f t="shared" ref="U197:U260" si="36">IF(M197&lt;&gt;"",R197,"")</f>
        <v/>
      </c>
      <c r="V197" s="195" t="str">
        <f t="shared" si="33"/>
        <v/>
      </c>
      <c r="W197" s="336" t="str">
        <f t="shared" ref="W197:W260" si="37">IF(N197&lt;&gt;"",R197,"")</f>
        <v/>
      </c>
      <c r="X197" s="338" t="str">
        <f t="shared" ref="X197:X260" si="38">IF(IF(N197&lt;&gt;"",G197,"")=0, "O", IF(N197&lt;&gt;"",G197,""))</f>
        <v/>
      </c>
      <c r="Y197" s="274"/>
      <c r="AR197" t="str">
        <f t="shared" ref="AR197:AR260" si="39">IF(P197&gt;0, P197, "")</f>
        <v/>
      </c>
      <c r="AS197" t="str">
        <f t="shared" ref="AS197:AS260" si="40">IF(OR(L197="Y",M197="Y",N197="Y"),"Y","")</f>
        <v/>
      </c>
    </row>
    <row r="198" spans="1:45">
      <c r="A198" s="291"/>
      <c r="B198" s="292"/>
      <c r="C198" s="293"/>
      <c r="D198" s="293"/>
      <c r="E198" s="293"/>
      <c r="F198" s="293"/>
      <c r="G198" s="294"/>
      <c r="H198" s="300"/>
      <c r="I198" s="295"/>
      <c r="J198" s="295"/>
      <c r="K198" s="296"/>
      <c r="L198" s="301"/>
      <c r="M198" s="297"/>
      <c r="N198" s="298"/>
      <c r="P198" s="190" t="str">
        <f>IF(R198 = "", "", COUNT(R$4:$R198))</f>
        <v/>
      </c>
      <c r="Q198" s="190" t="str">
        <f t="shared" si="31"/>
        <v/>
      </c>
      <c r="R198" s="191" t="str">
        <f t="shared" si="32"/>
        <v/>
      </c>
      <c r="S198" s="192" t="str">
        <f t="shared" si="34"/>
        <v/>
      </c>
      <c r="T198" s="193" t="str">
        <f t="shared" si="35"/>
        <v/>
      </c>
      <c r="U198" s="194" t="str">
        <f t="shared" si="36"/>
        <v/>
      </c>
      <c r="V198" s="195" t="str">
        <f t="shared" si="33"/>
        <v/>
      </c>
      <c r="W198" s="336" t="str">
        <f t="shared" si="37"/>
        <v/>
      </c>
      <c r="X198" s="338" t="str">
        <f t="shared" si="38"/>
        <v/>
      </c>
      <c r="Y198" s="274"/>
      <c r="AR198" t="str">
        <f t="shared" si="39"/>
        <v/>
      </c>
      <c r="AS198" t="str">
        <f t="shared" si="40"/>
        <v/>
      </c>
    </row>
    <row r="199" spans="1:45">
      <c r="A199" s="291"/>
      <c r="B199" s="292"/>
      <c r="C199" s="293"/>
      <c r="D199" s="293"/>
      <c r="E199" s="293"/>
      <c r="F199" s="293"/>
      <c r="G199" s="294"/>
      <c r="H199" s="300"/>
      <c r="I199" s="295"/>
      <c r="J199" s="295"/>
      <c r="K199" s="296"/>
      <c r="L199" s="301"/>
      <c r="M199" s="297"/>
      <c r="N199" s="298"/>
      <c r="P199" s="190" t="str">
        <f>IF(R199 = "", "", COUNT(R$4:$R199))</f>
        <v/>
      </c>
      <c r="Q199" s="190" t="str">
        <f t="shared" si="31"/>
        <v/>
      </c>
      <c r="R199" s="191" t="str">
        <f t="shared" si="32"/>
        <v/>
      </c>
      <c r="S199" s="192" t="str">
        <f t="shared" si="34"/>
        <v/>
      </c>
      <c r="T199" s="193" t="str">
        <f t="shared" si="35"/>
        <v/>
      </c>
      <c r="U199" s="194" t="str">
        <f t="shared" si="36"/>
        <v/>
      </c>
      <c r="V199" s="195" t="str">
        <f t="shared" si="33"/>
        <v/>
      </c>
      <c r="W199" s="336" t="str">
        <f t="shared" si="37"/>
        <v/>
      </c>
      <c r="X199" s="338" t="str">
        <f t="shared" si="38"/>
        <v/>
      </c>
      <c r="Y199" s="274"/>
      <c r="AR199" t="str">
        <f t="shared" si="39"/>
        <v/>
      </c>
      <c r="AS199" t="str">
        <f t="shared" si="40"/>
        <v/>
      </c>
    </row>
    <row r="200" spans="1:45">
      <c r="A200" s="291"/>
      <c r="B200" s="292"/>
      <c r="C200" s="293"/>
      <c r="D200" s="293"/>
      <c r="E200" s="293"/>
      <c r="F200" s="293"/>
      <c r="G200" s="294"/>
      <c r="H200" s="300"/>
      <c r="I200" s="295"/>
      <c r="J200" s="295"/>
      <c r="K200" s="296"/>
      <c r="L200" s="301"/>
      <c r="M200" s="297"/>
      <c r="N200" s="298"/>
      <c r="P200" s="190" t="str">
        <f>IF(R200 = "", "", COUNT(R$4:$R200))</f>
        <v/>
      </c>
      <c r="Q200" s="190" t="str">
        <f t="shared" si="31"/>
        <v/>
      </c>
      <c r="R200" s="191" t="str">
        <f t="shared" si="32"/>
        <v/>
      </c>
      <c r="S200" s="192" t="str">
        <f t="shared" si="34"/>
        <v/>
      </c>
      <c r="T200" s="193" t="str">
        <f t="shared" si="35"/>
        <v/>
      </c>
      <c r="U200" s="194" t="str">
        <f t="shared" si="36"/>
        <v/>
      </c>
      <c r="V200" s="195" t="str">
        <f t="shared" si="33"/>
        <v/>
      </c>
      <c r="W200" s="336" t="str">
        <f t="shared" si="37"/>
        <v/>
      </c>
      <c r="X200" s="338" t="str">
        <f t="shared" si="38"/>
        <v/>
      </c>
      <c r="Y200" s="274"/>
      <c r="AR200" t="str">
        <f t="shared" si="39"/>
        <v/>
      </c>
      <c r="AS200" t="str">
        <f t="shared" si="40"/>
        <v/>
      </c>
    </row>
    <row r="201" spans="1:45">
      <c r="A201" s="291"/>
      <c r="B201" s="292"/>
      <c r="C201" s="293"/>
      <c r="D201" s="293"/>
      <c r="E201" s="293"/>
      <c r="F201" s="293"/>
      <c r="G201" s="294"/>
      <c r="H201" s="300"/>
      <c r="I201" s="295"/>
      <c r="J201" s="295"/>
      <c r="K201" s="296"/>
      <c r="L201" s="301"/>
      <c r="M201" s="297"/>
      <c r="N201" s="298"/>
      <c r="P201" s="190" t="str">
        <f>IF(R201 = "", "", COUNT(R$4:$R201))</f>
        <v/>
      </c>
      <c r="Q201" s="190" t="str">
        <f t="shared" si="31"/>
        <v/>
      </c>
      <c r="R201" s="191" t="str">
        <f t="shared" si="32"/>
        <v/>
      </c>
      <c r="S201" s="192" t="str">
        <f t="shared" si="34"/>
        <v/>
      </c>
      <c r="T201" s="193" t="str">
        <f t="shared" si="35"/>
        <v/>
      </c>
      <c r="U201" s="194" t="str">
        <f t="shared" si="36"/>
        <v/>
      </c>
      <c r="V201" s="195" t="str">
        <f t="shared" si="33"/>
        <v/>
      </c>
      <c r="W201" s="336" t="str">
        <f t="shared" si="37"/>
        <v/>
      </c>
      <c r="X201" s="338" t="str">
        <f t="shared" si="38"/>
        <v/>
      </c>
      <c r="Y201" s="274"/>
      <c r="AR201" t="str">
        <f t="shared" si="39"/>
        <v/>
      </c>
      <c r="AS201" t="str">
        <f t="shared" si="40"/>
        <v/>
      </c>
    </row>
    <row r="202" spans="1:45">
      <c r="A202" s="291"/>
      <c r="B202" s="292"/>
      <c r="C202" s="293"/>
      <c r="D202" s="293"/>
      <c r="E202" s="293"/>
      <c r="F202" s="293"/>
      <c r="G202" s="294"/>
      <c r="H202" s="300"/>
      <c r="I202" s="295"/>
      <c r="J202" s="295"/>
      <c r="K202" s="296"/>
      <c r="L202" s="301"/>
      <c r="M202" s="297"/>
      <c r="N202" s="298"/>
      <c r="P202" s="190" t="str">
        <f>IF(R202 = "", "", COUNT(R$4:$R202))</f>
        <v/>
      </c>
      <c r="Q202" s="190" t="str">
        <f t="shared" si="31"/>
        <v/>
      </c>
      <c r="R202" s="191" t="str">
        <f t="shared" si="32"/>
        <v/>
      </c>
      <c r="S202" s="192" t="str">
        <f t="shared" si="34"/>
        <v/>
      </c>
      <c r="T202" s="193" t="str">
        <f t="shared" si="35"/>
        <v/>
      </c>
      <c r="U202" s="194" t="str">
        <f t="shared" si="36"/>
        <v/>
      </c>
      <c r="V202" s="195" t="str">
        <f t="shared" si="33"/>
        <v/>
      </c>
      <c r="W202" s="336" t="str">
        <f t="shared" si="37"/>
        <v/>
      </c>
      <c r="X202" s="338" t="str">
        <f t="shared" si="38"/>
        <v/>
      </c>
      <c r="Y202" s="274"/>
      <c r="AR202" t="str">
        <f t="shared" si="39"/>
        <v/>
      </c>
      <c r="AS202" t="str">
        <f t="shared" si="40"/>
        <v/>
      </c>
    </row>
    <row r="203" spans="1:45">
      <c r="A203" s="291"/>
      <c r="B203" s="292"/>
      <c r="C203" s="293"/>
      <c r="D203" s="293"/>
      <c r="E203" s="293"/>
      <c r="F203" s="293"/>
      <c r="G203" s="294"/>
      <c r="H203" s="300"/>
      <c r="I203" s="295"/>
      <c r="J203" s="295"/>
      <c r="K203" s="296"/>
      <c r="L203" s="301"/>
      <c r="M203" s="297"/>
      <c r="N203" s="298"/>
      <c r="P203" s="190" t="str">
        <f>IF(R203 = "", "", COUNT(R$4:$R203))</f>
        <v/>
      </c>
      <c r="Q203" s="190" t="str">
        <f t="shared" si="31"/>
        <v/>
      </c>
      <c r="R203" s="191" t="str">
        <f t="shared" si="32"/>
        <v/>
      </c>
      <c r="S203" s="192" t="str">
        <f t="shared" si="34"/>
        <v/>
      </c>
      <c r="T203" s="193" t="str">
        <f t="shared" si="35"/>
        <v/>
      </c>
      <c r="U203" s="194" t="str">
        <f t="shared" si="36"/>
        <v/>
      </c>
      <c r="V203" s="195" t="str">
        <f t="shared" si="33"/>
        <v/>
      </c>
      <c r="W203" s="336" t="str">
        <f t="shared" si="37"/>
        <v/>
      </c>
      <c r="X203" s="338" t="str">
        <f t="shared" si="38"/>
        <v/>
      </c>
      <c r="Y203" s="274"/>
      <c r="AR203" t="str">
        <f t="shared" si="39"/>
        <v/>
      </c>
      <c r="AS203" t="str">
        <f t="shared" si="40"/>
        <v/>
      </c>
    </row>
    <row r="204" spans="1:45">
      <c r="A204" s="291"/>
      <c r="B204" s="292"/>
      <c r="C204" s="293"/>
      <c r="D204" s="293"/>
      <c r="E204" s="293"/>
      <c r="F204" s="293"/>
      <c r="G204" s="294"/>
      <c r="H204" s="300"/>
      <c r="I204" s="295"/>
      <c r="J204" s="295"/>
      <c r="K204" s="296"/>
      <c r="L204" s="301"/>
      <c r="M204" s="297"/>
      <c r="N204" s="298"/>
      <c r="P204" s="190" t="str">
        <f>IF(R204 = "", "", COUNT(R$4:$R204))</f>
        <v/>
      </c>
      <c r="Q204" s="190" t="str">
        <f t="shared" si="31"/>
        <v/>
      </c>
      <c r="R204" s="191" t="str">
        <f t="shared" si="32"/>
        <v/>
      </c>
      <c r="S204" s="192" t="str">
        <f t="shared" si="34"/>
        <v/>
      </c>
      <c r="T204" s="193" t="str">
        <f t="shared" si="35"/>
        <v/>
      </c>
      <c r="U204" s="194" t="str">
        <f t="shared" si="36"/>
        <v/>
      </c>
      <c r="V204" s="195" t="str">
        <f t="shared" si="33"/>
        <v/>
      </c>
      <c r="W204" s="336" t="str">
        <f t="shared" si="37"/>
        <v/>
      </c>
      <c r="X204" s="338" t="str">
        <f t="shared" si="38"/>
        <v/>
      </c>
      <c r="Y204" s="274"/>
      <c r="AR204" t="str">
        <f t="shared" si="39"/>
        <v/>
      </c>
      <c r="AS204" t="str">
        <f t="shared" si="40"/>
        <v/>
      </c>
    </row>
    <row r="205" spans="1:45">
      <c r="A205" s="291"/>
      <c r="B205" s="292"/>
      <c r="C205" s="293"/>
      <c r="D205" s="293"/>
      <c r="E205" s="293"/>
      <c r="F205" s="293"/>
      <c r="G205" s="294"/>
      <c r="H205" s="300"/>
      <c r="I205" s="295"/>
      <c r="J205" s="295"/>
      <c r="K205" s="296"/>
      <c r="L205" s="301"/>
      <c r="M205" s="297"/>
      <c r="N205" s="298"/>
      <c r="P205" s="190" t="str">
        <f>IF(R205 = "", "", COUNT(R$4:$R205))</f>
        <v/>
      </c>
      <c r="Q205" s="190" t="str">
        <f t="shared" si="31"/>
        <v/>
      </c>
      <c r="R205" s="191" t="str">
        <f t="shared" si="32"/>
        <v/>
      </c>
      <c r="S205" s="192" t="str">
        <f t="shared" si="34"/>
        <v/>
      </c>
      <c r="T205" s="193" t="str">
        <f t="shared" si="35"/>
        <v/>
      </c>
      <c r="U205" s="194" t="str">
        <f t="shared" si="36"/>
        <v/>
      </c>
      <c r="V205" s="195" t="str">
        <f t="shared" si="33"/>
        <v/>
      </c>
      <c r="W205" s="336" t="str">
        <f t="shared" si="37"/>
        <v/>
      </c>
      <c r="X205" s="338" t="str">
        <f t="shared" si="38"/>
        <v/>
      </c>
      <c r="Y205" s="274"/>
      <c r="AR205" t="str">
        <f t="shared" si="39"/>
        <v/>
      </c>
      <c r="AS205" t="str">
        <f t="shared" si="40"/>
        <v/>
      </c>
    </row>
    <row r="206" spans="1:45">
      <c r="A206" s="291"/>
      <c r="B206" s="292"/>
      <c r="C206" s="293"/>
      <c r="D206" s="293"/>
      <c r="E206" s="293"/>
      <c r="F206" s="293"/>
      <c r="G206" s="294"/>
      <c r="H206" s="300"/>
      <c r="I206" s="295"/>
      <c r="J206" s="295"/>
      <c r="K206" s="296"/>
      <c r="L206" s="301"/>
      <c r="M206" s="297"/>
      <c r="N206" s="298"/>
      <c r="P206" s="190" t="str">
        <f>IF(R206 = "", "", COUNT(R$4:$R206))</f>
        <v/>
      </c>
      <c r="Q206" s="190" t="str">
        <f t="shared" si="31"/>
        <v/>
      </c>
      <c r="R206" s="191" t="str">
        <f t="shared" si="32"/>
        <v/>
      </c>
      <c r="S206" s="192" t="str">
        <f t="shared" si="34"/>
        <v/>
      </c>
      <c r="T206" s="193" t="str">
        <f t="shared" si="35"/>
        <v/>
      </c>
      <c r="U206" s="194" t="str">
        <f t="shared" si="36"/>
        <v/>
      </c>
      <c r="V206" s="195" t="str">
        <f t="shared" si="33"/>
        <v/>
      </c>
      <c r="W206" s="336" t="str">
        <f t="shared" si="37"/>
        <v/>
      </c>
      <c r="X206" s="338" t="str">
        <f t="shared" si="38"/>
        <v/>
      </c>
      <c r="Y206" s="274"/>
      <c r="AR206" t="str">
        <f t="shared" si="39"/>
        <v/>
      </c>
      <c r="AS206" t="str">
        <f t="shared" si="40"/>
        <v/>
      </c>
    </row>
    <row r="207" spans="1:45">
      <c r="A207" s="291"/>
      <c r="B207" s="292"/>
      <c r="C207" s="293"/>
      <c r="D207" s="293"/>
      <c r="E207" s="293"/>
      <c r="F207" s="293"/>
      <c r="G207" s="294"/>
      <c r="H207" s="300"/>
      <c r="I207" s="295"/>
      <c r="J207" s="295"/>
      <c r="K207" s="296"/>
      <c r="L207" s="301"/>
      <c r="M207" s="297"/>
      <c r="N207" s="298"/>
      <c r="P207" s="190" t="str">
        <f>IF(R207 = "", "", COUNT(R$4:$R207))</f>
        <v/>
      </c>
      <c r="Q207" s="190" t="str">
        <f t="shared" si="31"/>
        <v/>
      </c>
      <c r="R207" s="191" t="str">
        <f t="shared" si="32"/>
        <v/>
      </c>
      <c r="S207" s="192" t="str">
        <f t="shared" si="34"/>
        <v/>
      </c>
      <c r="T207" s="193" t="str">
        <f t="shared" si="35"/>
        <v/>
      </c>
      <c r="U207" s="194" t="str">
        <f t="shared" si="36"/>
        <v/>
      </c>
      <c r="V207" s="195" t="str">
        <f t="shared" si="33"/>
        <v/>
      </c>
      <c r="W207" s="336" t="str">
        <f t="shared" si="37"/>
        <v/>
      </c>
      <c r="X207" s="338" t="str">
        <f t="shared" si="38"/>
        <v/>
      </c>
      <c r="Y207" s="274"/>
      <c r="AR207" t="str">
        <f t="shared" si="39"/>
        <v/>
      </c>
      <c r="AS207" t="str">
        <f t="shared" si="40"/>
        <v/>
      </c>
    </row>
    <row r="208" spans="1:45">
      <c r="A208" s="291"/>
      <c r="B208" s="292"/>
      <c r="C208" s="293"/>
      <c r="D208" s="293"/>
      <c r="E208" s="293"/>
      <c r="F208" s="293"/>
      <c r="G208" s="294"/>
      <c r="H208" s="300"/>
      <c r="I208" s="295"/>
      <c r="J208" s="295"/>
      <c r="K208" s="296"/>
      <c r="L208" s="301"/>
      <c r="M208" s="297"/>
      <c r="N208" s="298"/>
      <c r="P208" s="190" t="str">
        <f>IF(R208 = "", "", COUNT(R$4:$R208))</f>
        <v/>
      </c>
      <c r="Q208" s="190" t="str">
        <f t="shared" si="31"/>
        <v/>
      </c>
      <c r="R208" s="191" t="str">
        <f t="shared" si="32"/>
        <v/>
      </c>
      <c r="S208" s="192" t="str">
        <f t="shared" si="34"/>
        <v/>
      </c>
      <c r="T208" s="193" t="str">
        <f t="shared" si="35"/>
        <v/>
      </c>
      <c r="U208" s="194" t="str">
        <f t="shared" si="36"/>
        <v/>
      </c>
      <c r="V208" s="195" t="str">
        <f t="shared" si="33"/>
        <v/>
      </c>
      <c r="W208" s="336" t="str">
        <f t="shared" si="37"/>
        <v/>
      </c>
      <c r="X208" s="338" t="str">
        <f t="shared" si="38"/>
        <v/>
      </c>
      <c r="Y208" s="274"/>
      <c r="AR208" t="str">
        <f t="shared" si="39"/>
        <v/>
      </c>
      <c r="AS208" t="str">
        <f t="shared" si="40"/>
        <v/>
      </c>
    </row>
    <row r="209" spans="1:45">
      <c r="A209" s="291"/>
      <c r="B209" s="292"/>
      <c r="C209" s="293"/>
      <c r="D209" s="293"/>
      <c r="E209" s="293"/>
      <c r="F209" s="293"/>
      <c r="G209" s="294"/>
      <c r="H209" s="300"/>
      <c r="I209" s="295"/>
      <c r="J209" s="295"/>
      <c r="K209" s="296"/>
      <c r="L209" s="301"/>
      <c r="M209" s="297"/>
      <c r="N209" s="298"/>
      <c r="P209" s="190" t="str">
        <f>IF(R209 = "", "", COUNT(R$4:$R209))</f>
        <v/>
      </c>
      <c r="Q209" s="190" t="str">
        <f t="shared" si="31"/>
        <v/>
      </c>
      <c r="R209" s="191" t="str">
        <f t="shared" si="32"/>
        <v/>
      </c>
      <c r="S209" s="192" t="str">
        <f t="shared" si="34"/>
        <v/>
      </c>
      <c r="T209" s="193" t="str">
        <f t="shared" si="35"/>
        <v/>
      </c>
      <c r="U209" s="194" t="str">
        <f t="shared" si="36"/>
        <v/>
      </c>
      <c r="V209" s="195" t="str">
        <f t="shared" si="33"/>
        <v/>
      </c>
      <c r="W209" s="336" t="str">
        <f t="shared" si="37"/>
        <v/>
      </c>
      <c r="X209" s="338" t="str">
        <f t="shared" si="38"/>
        <v/>
      </c>
      <c r="Y209" s="274"/>
      <c r="AR209" t="str">
        <f t="shared" si="39"/>
        <v/>
      </c>
      <c r="AS209" t="str">
        <f t="shared" si="40"/>
        <v/>
      </c>
    </row>
    <row r="210" spans="1:45">
      <c r="A210" s="291"/>
      <c r="B210" s="292"/>
      <c r="C210" s="293"/>
      <c r="D210" s="293"/>
      <c r="E210" s="293"/>
      <c r="F210" s="293"/>
      <c r="G210" s="294"/>
      <c r="H210" s="300"/>
      <c r="I210" s="295"/>
      <c r="J210" s="295"/>
      <c r="K210" s="296"/>
      <c r="L210" s="301"/>
      <c r="M210" s="297"/>
      <c r="N210" s="298"/>
      <c r="P210" s="190" t="str">
        <f>IF(R210 = "", "", COUNT(R$4:$R210))</f>
        <v/>
      </c>
      <c r="Q210" s="190" t="str">
        <f t="shared" si="31"/>
        <v/>
      </c>
      <c r="R210" s="191" t="str">
        <f t="shared" si="32"/>
        <v/>
      </c>
      <c r="S210" s="192" t="str">
        <f t="shared" si="34"/>
        <v/>
      </c>
      <c r="T210" s="193" t="str">
        <f t="shared" si="35"/>
        <v/>
      </c>
      <c r="U210" s="194" t="str">
        <f t="shared" si="36"/>
        <v/>
      </c>
      <c r="V210" s="195" t="str">
        <f t="shared" si="33"/>
        <v/>
      </c>
      <c r="W210" s="336" t="str">
        <f t="shared" si="37"/>
        <v/>
      </c>
      <c r="X210" s="338" t="str">
        <f t="shared" si="38"/>
        <v/>
      </c>
      <c r="Y210" s="274"/>
      <c r="AR210" t="str">
        <f t="shared" si="39"/>
        <v/>
      </c>
      <c r="AS210" t="str">
        <f t="shared" si="40"/>
        <v/>
      </c>
    </row>
    <row r="211" spans="1:45">
      <c r="A211" s="291"/>
      <c r="B211" s="292"/>
      <c r="C211" s="293"/>
      <c r="D211" s="293"/>
      <c r="E211" s="293"/>
      <c r="F211" s="293"/>
      <c r="G211" s="294"/>
      <c r="H211" s="300"/>
      <c r="I211" s="295"/>
      <c r="J211" s="295"/>
      <c r="K211" s="296"/>
      <c r="L211" s="301"/>
      <c r="M211" s="297"/>
      <c r="N211" s="298"/>
      <c r="P211" s="190" t="str">
        <f>IF(R211 = "", "", COUNT(R$4:$R211))</f>
        <v/>
      </c>
      <c r="Q211" s="190" t="str">
        <f t="shared" si="31"/>
        <v/>
      </c>
      <c r="R211" s="191" t="str">
        <f t="shared" si="32"/>
        <v/>
      </c>
      <c r="S211" s="192" t="str">
        <f t="shared" si="34"/>
        <v/>
      </c>
      <c r="T211" s="193" t="str">
        <f t="shared" si="35"/>
        <v/>
      </c>
      <c r="U211" s="194" t="str">
        <f t="shared" si="36"/>
        <v/>
      </c>
      <c r="V211" s="195" t="str">
        <f t="shared" si="33"/>
        <v/>
      </c>
      <c r="W211" s="336" t="str">
        <f t="shared" si="37"/>
        <v/>
      </c>
      <c r="X211" s="338" t="str">
        <f t="shared" si="38"/>
        <v/>
      </c>
      <c r="Y211" s="274"/>
      <c r="AR211" t="str">
        <f t="shared" si="39"/>
        <v/>
      </c>
      <c r="AS211" t="str">
        <f t="shared" si="40"/>
        <v/>
      </c>
    </row>
    <row r="212" spans="1:45">
      <c r="A212" s="291"/>
      <c r="B212" s="292"/>
      <c r="C212" s="293"/>
      <c r="D212" s="293"/>
      <c r="E212" s="293"/>
      <c r="F212" s="293"/>
      <c r="G212" s="294"/>
      <c r="H212" s="300"/>
      <c r="I212" s="295"/>
      <c r="J212" s="295"/>
      <c r="K212" s="296"/>
      <c r="L212" s="301"/>
      <c r="M212" s="297"/>
      <c r="N212" s="298"/>
      <c r="P212" s="190" t="str">
        <f>IF(R212 = "", "", COUNT(R$4:$R212))</f>
        <v/>
      </c>
      <c r="Q212" s="190" t="str">
        <f t="shared" si="31"/>
        <v/>
      </c>
      <c r="R212" s="191" t="str">
        <f t="shared" si="32"/>
        <v/>
      </c>
      <c r="S212" s="192" t="str">
        <f t="shared" si="34"/>
        <v/>
      </c>
      <c r="T212" s="193" t="str">
        <f t="shared" si="35"/>
        <v/>
      </c>
      <c r="U212" s="194" t="str">
        <f t="shared" si="36"/>
        <v/>
      </c>
      <c r="V212" s="195" t="str">
        <f t="shared" si="33"/>
        <v/>
      </c>
      <c r="W212" s="336" t="str">
        <f t="shared" si="37"/>
        <v/>
      </c>
      <c r="X212" s="338" t="str">
        <f t="shared" si="38"/>
        <v/>
      </c>
      <c r="Y212" s="274"/>
      <c r="AR212" t="str">
        <f t="shared" si="39"/>
        <v/>
      </c>
      <c r="AS212" t="str">
        <f t="shared" si="40"/>
        <v/>
      </c>
    </row>
    <row r="213" spans="1:45">
      <c r="A213" s="291"/>
      <c r="B213" s="292"/>
      <c r="C213" s="293"/>
      <c r="D213" s="293"/>
      <c r="E213" s="293"/>
      <c r="F213" s="293"/>
      <c r="G213" s="294"/>
      <c r="H213" s="300"/>
      <c r="I213" s="295"/>
      <c r="J213" s="295"/>
      <c r="K213" s="296"/>
      <c r="L213" s="301"/>
      <c r="M213" s="297"/>
      <c r="N213" s="298"/>
      <c r="P213" s="190" t="str">
        <f>IF(R213 = "", "", COUNT(R$4:$R213))</f>
        <v/>
      </c>
      <c r="Q213" s="190" t="str">
        <f t="shared" si="31"/>
        <v/>
      </c>
      <c r="R213" s="191" t="str">
        <f t="shared" si="32"/>
        <v/>
      </c>
      <c r="S213" s="192" t="str">
        <f t="shared" si="34"/>
        <v/>
      </c>
      <c r="T213" s="193" t="str">
        <f t="shared" si="35"/>
        <v/>
      </c>
      <c r="U213" s="194" t="str">
        <f t="shared" si="36"/>
        <v/>
      </c>
      <c r="V213" s="195" t="str">
        <f t="shared" si="33"/>
        <v/>
      </c>
      <c r="W213" s="336" t="str">
        <f t="shared" si="37"/>
        <v/>
      </c>
      <c r="X213" s="338" t="str">
        <f t="shared" si="38"/>
        <v/>
      </c>
      <c r="Y213" s="274"/>
      <c r="AR213" t="str">
        <f t="shared" si="39"/>
        <v/>
      </c>
      <c r="AS213" t="str">
        <f t="shared" si="40"/>
        <v/>
      </c>
    </row>
    <row r="214" spans="1:45">
      <c r="A214" s="291"/>
      <c r="B214" s="292"/>
      <c r="C214" s="293"/>
      <c r="D214" s="293"/>
      <c r="E214" s="293"/>
      <c r="F214" s="293"/>
      <c r="G214" s="294"/>
      <c r="H214" s="300"/>
      <c r="I214" s="295"/>
      <c r="J214" s="295"/>
      <c r="K214" s="296"/>
      <c r="L214" s="301"/>
      <c r="M214" s="297"/>
      <c r="N214" s="298"/>
      <c r="P214" s="190" t="str">
        <f>IF(R214 = "", "", COUNT(R$4:$R214))</f>
        <v/>
      </c>
      <c r="Q214" s="190" t="str">
        <f t="shared" si="31"/>
        <v/>
      </c>
      <c r="R214" s="191" t="str">
        <f t="shared" si="32"/>
        <v/>
      </c>
      <c r="S214" s="192" t="str">
        <f t="shared" si="34"/>
        <v/>
      </c>
      <c r="T214" s="193" t="str">
        <f t="shared" si="35"/>
        <v/>
      </c>
      <c r="U214" s="194" t="str">
        <f t="shared" si="36"/>
        <v/>
      </c>
      <c r="V214" s="195" t="str">
        <f t="shared" si="33"/>
        <v/>
      </c>
      <c r="W214" s="336" t="str">
        <f t="shared" si="37"/>
        <v/>
      </c>
      <c r="X214" s="338" t="str">
        <f t="shared" si="38"/>
        <v/>
      </c>
      <c r="Y214" s="274"/>
      <c r="AR214" t="str">
        <f t="shared" si="39"/>
        <v/>
      </c>
      <c r="AS214" t="str">
        <f t="shared" si="40"/>
        <v/>
      </c>
    </row>
    <row r="215" spans="1:45">
      <c r="A215" s="291"/>
      <c r="B215" s="292"/>
      <c r="C215" s="293"/>
      <c r="D215" s="293"/>
      <c r="E215" s="293"/>
      <c r="F215" s="293"/>
      <c r="G215" s="294"/>
      <c r="H215" s="300"/>
      <c r="I215" s="295"/>
      <c r="J215" s="295"/>
      <c r="K215" s="296"/>
      <c r="L215" s="301"/>
      <c r="M215" s="297"/>
      <c r="N215" s="298"/>
      <c r="P215" s="190" t="str">
        <f>IF(R215 = "", "", COUNT(R$4:$R215))</f>
        <v/>
      </c>
      <c r="Q215" s="190" t="str">
        <f t="shared" si="31"/>
        <v/>
      </c>
      <c r="R215" s="191" t="str">
        <f t="shared" si="32"/>
        <v/>
      </c>
      <c r="S215" s="192" t="str">
        <f t="shared" si="34"/>
        <v/>
      </c>
      <c r="T215" s="193" t="str">
        <f t="shared" si="35"/>
        <v/>
      </c>
      <c r="U215" s="194" t="str">
        <f t="shared" si="36"/>
        <v/>
      </c>
      <c r="V215" s="195" t="str">
        <f t="shared" si="33"/>
        <v/>
      </c>
      <c r="W215" s="336" t="str">
        <f t="shared" si="37"/>
        <v/>
      </c>
      <c r="X215" s="338" t="str">
        <f t="shared" si="38"/>
        <v/>
      </c>
      <c r="Y215" s="274"/>
      <c r="AR215" t="str">
        <f t="shared" si="39"/>
        <v/>
      </c>
      <c r="AS215" t="str">
        <f t="shared" si="40"/>
        <v/>
      </c>
    </row>
    <row r="216" spans="1:45">
      <c r="A216" s="291"/>
      <c r="B216" s="292"/>
      <c r="C216" s="293"/>
      <c r="D216" s="293"/>
      <c r="E216" s="293"/>
      <c r="F216" s="293"/>
      <c r="G216" s="294"/>
      <c r="H216" s="300"/>
      <c r="I216" s="295"/>
      <c r="J216" s="295"/>
      <c r="K216" s="296"/>
      <c r="L216" s="301"/>
      <c r="M216" s="297"/>
      <c r="N216" s="298"/>
      <c r="P216" s="190" t="str">
        <f>IF(R216 = "", "", COUNT(R$4:$R216))</f>
        <v/>
      </c>
      <c r="Q216" s="190" t="str">
        <f t="shared" si="31"/>
        <v/>
      </c>
      <c r="R216" s="191" t="str">
        <f t="shared" si="32"/>
        <v/>
      </c>
      <c r="S216" s="192" t="str">
        <f t="shared" si="34"/>
        <v/>
      </c>
      <c r="T216" s="193" t="str">
        <f t="shared" si="35"/>
        <v/>
      </c>
      <c r="U216" s="194" t="str">
        <f t="shared" si="36"/>
        <v/>
      </c>
      <c r="V216" s="195" t="str">
        <f t="shared" si="33"/>
        <v/>
      </c>
      <c r="W216" s="336" t="str">
        <f t="shared" si="37"/>
        <v/>
      </c>
      <c r="X216" s="338" t="str">
        <f t="shared" si="38"/>
        <v/>
      </c>
      <c r="Y216" s="274"/>
      <c r="AR216" t="str">
        <f t="shared" si="39"/>
        <v/>
      </c>
      <c r="AS216" t="str">
        <f t="shared" si="40"/>
        <v/>
      </c>
    </row>
    <row r="217" spans="1:45">
      <c r="A217" s="291"/>
      <c r="B217" s="292"/>
      <c r="C217" s="293"/>
      <c r="D217" s="293"/>
      <c r="E217" s="293"/>
      <c r="F217" s="293"/>
      <c r="G217" s="294"/>
      <c r="H217" s="300"/>
      <c r="I217" s="295"/>
      <c r="J217" s="295"/>
      <c r="K217" s="296"/>
      <c r="L217" s="301"/>
      <c r="M217" s="297"/>
      <c r="N217" s="298"/>
      <c r="P217" s="190" t="str">
        <f>IF(R217 = "", "", COUNT(R$4:$R217))</f>
        <v/>
      </c>
      <c r="Q217" s="190" t="str">
        <f t="shared" si="31"/>
        <v/>
      </c>
      <c r="R217" s="191" t="str">
        <f t="shared" si="32"/>
        <v/>
      </c>
      <c r="S217" s="192" t="str">
        <f t="shared" si="34"/>
        <v/>
      </c>
      <c r="T217" s="193" t="str">
        <f t="shared" si="35"/>
        <v/>
      </c>
      <c r="U217" s="194" t="str">
        <f t="shared" si="36"/>
        <v/>
      </c>
      <c r="V217" s="195" t="str">
        <f t="shared" si="33"/>
        <v/>
      </c>
      <c r="W217" s="336" t="str">
        <f t="shared" si="37"/>
        <v/>
      </c>
      <c r="X217" s="338" t="str">
        <f t="shared" si="38"/>
        <v/>
      </c>
      <c r="Y217" s="274"/>
      <c r="AR217" t="str">
        <f t="shared" si="39"/>
        <v/>
      </c>
      <c r="AS217" t="str">
        <f t="shared" si="40"/>
        <v/>
      </c>
    </row>
    <row r="218" spans="1:45">
      <c r="A218" s="291"/>
      <c r="B218" s="292"/>
      <c r="C218" s="293"/>
      <c r="D218" s="293"/>
      <c r="E218" s="293"/>
      <c r="F218" s="293"/>
      <c r="G218" s="294"/>
      <c r="H218" s="300"/>
      <c r="I218" s="295"/>
      <c r="J218" s="295"/>
      <c r="K218" s="296"/>
      <c r="L218" s="301"/>
      <c r="M218" s="297"/>
      <c r="N218" s="298"/>
      <c r="P218" s="190" t="str">
        <f>IF(R218 = "", "", COUNT(R$4:$R218))</f>
        <v/>
      </c>
      <c r="Q218" s="190" t="str">
        <f t="shared" si="31"/>
        <v/>
      </c>
      <c r="R218" s="191" t="str">
        <f t="shared" si="32"/>
        <v/>
      </c>
      <c r="S218" s="192" t="str">
        <f t="shared" si="34"/>
        <v/>
      </c>
      <c r="T218" s="193" t="str">
        <f t="shared" si="35"/>
        <v/>
      </c>
      <c r="U218" s="194" t="str">
        <f t="shared" si="36"/>
        <v/>
      </c>
      <c r="V218" s="195" t="str">
        <f t="shared" si="33"/>
        <v/>
      </c>
      <c r="W218" s="336" t="str">
        <f t="shared" si="37"/>
        <v/>
      </c>
      <c r="X218" s="338" t="str">
        <f t="shared" si="38"/>
        <v/>
      </c>
      <c r="Y218" s="274"/>
      <c r="AR218" t="str">
        <f t="shared" si="39"/>
        <v/>
      </c>
      <c r="AS218" t="str">
        <f t="shared" si="40"/>
        <v/>
      </c>
    </row>
    <row r="219" spans="1:45">
      <c r="A219" s="291"/>
      <c r="B219" s="292"/>
      <c r="C219" s="293"/>
      <c r="D219" s="293"/>
      <c r="E219" s="293"/>
      <c r="F219" s="293"/>
      <c r="G219" s="294"/>
      <c r="H219" s="300"/>
      <c r="I219" s="295"/>
      <c r="J219" s="295"/>
      <c r="K219" s="296"/>
      <c r="L219" s="301"/>
      <c r="M219" s="297"/>
      <c r="N219" s="298"/>
      <c r="P219" s="190" t="str">
        <f>IF(R219 = "", "", COUNT(R$4:$R219))</f>
        <v/>
      </c>
      <c r="Q219" s="190" t="str">
        <f t="shared" si="31"/>
        <v/>
      </c>
      <c r="R219" s="191" t="str">
        <f t="shared" si="32"/>
        <v/>
      </c>
      <c r="S219" s="192" t="str">
        <f t="shared" si="34"/>
        <v/>
      </c>
      <c r="T219" s="193" t="str">
        <f t="shared" si="35"/>
        <v/>
      </c>
      <c r="U219" s="194" t="str">
        <f t="shared" si="36"/>
        <v/>
      </c>
      <c r="V219" s="195" t="str">
        <f t="shared" si="33"/>
        <v/>
      </c>
      <c r="W219" s="336" t="str">
        <f t="shared" si="37"/>
        <v/>
      </c>
      <c r="X219" s="338" t="str">
        <f t="shared" si="38"/>
        <v/>
      </c>
      <c r="Y219" s="274"/>
      <c r="AR219" t="str">
        <f t="shared" si="39"/>
        <v/>
      </c>
      <c r="AS219" t="str">
        <f t="shared" si="40"/>
        <v/>
      </c>
    </row>
    <row r="220" spans="1:45">
      <c r="A220" s="291"/>
      <c r="B220" s="292"/>
      <c r="C220" s="293"/>
      <c r="D220" s="293"/>
      <c r="E220" s="293"/>
      <c r="F220" s="293"/>
      <c r="G220" s="294"/>
      <c r="H220" s="300"/>
      <c r="I220" s="295"/>
      <c r="J220" s="295"/>
      <c r="K220" s="296"/>
      <c r="L220" s="301"/>
      <c r="M220" s="297"/>
      <c r="N220" s="298"/>
      <c r="P220" s="190" t="str">
        <f>IF(R220 = "", "", COUNT(R$4:$R220))</f>
        <v/>
      </c>
      <c r="Q220" s="190" t="str">
        <f t="shared" si="31"/>
        <v/>
      </c>
      <c r="R220" s="191" t="str">
        <f t="shared" si="32"/>
        <v/>
      </c>
      <c r="S220" s="192" t="str">
        <f t="shared" si="34"/>
        <v/>
      </c>
      <c r="T220" s="193" t="str">
        <f t="shared" si="35"/>
        <v/>
      </c>
      <c r="U220" s="194" t="str">
        <f t="shared" si="36"/>
        <v/>
      </c>
      <c r="V220" s="195" t="str">
        <f t="shared" si="33"/>
        <v/>
      </c>
      <c r="W220" s="336" t="str">
        <f t="shared" si="37"/>
        <v/>
      </c>
      <c r="X220" s="338" t="str">
        <f t="shared" si="38"/>
        <v/>
      </c>
      <c r="Y220" s="274"/>
      <c r="AR220" t="str">
        <f t="shared" si="39"/>
        <v/>
      </c>
      <c r="AS220" t="str">
        <f t="shared" si="40"/>
        <v/>
      </c>
    </row>
    <row r="221" spans="1:45">
      <c r="A221" s="291"/>
      <c r="B221" s="292"/>
      <c r="C221" s="293"/>
      <c r="D221" s="293"/>
      <c r="E221" s="293"/>
      <c r="F221" s="293"/>
      <c r="G221" s="294"/>
      <c r="H221" s="300"/>
      <c r="I221" s="295"/>
      <c r="J221" s="295"/>
      <c r="K221" s="296"/>
      <c r="L221" s="301"/>
      <c r="M221" s="297"/>
      <c r="N221" s="298"/>
      <c r="P221" s="190" t="str">
        <f>IF(R221 = "", "", COUNT(R$4:$R221))</f>
        <v/>
      </c>
      <c r="Q221" s="190" t="str">
        <f t="shared" si="31"/>
        <v/>
      </c>
      <c r="R221" s="191" t="str">
        <f t="shared" si="32"/>
        <v/>
      </c>
      <c r="S221" s="192" t="str">
        <f t="shared" si="34"/>
        <v/>
      </c>
      <c r="T221" s="193" t="str">
        <f t="shared" si="35"/>
        <v/>
      </c>
      <c r="U221" s="194" t="str">
        <f t="shared" si="36"/>
        <v/>
      </c>
      <c r="V221" s="195" t="str">
        <f t="shared" si="33"/>
        <v/>
      </c>
      <c r="W221" s="336" t="str">
        <f t="shared" si="37"/>
        <v/>
      </c>
      <c r="X221" s="338" t="str">
        <f t="shared" si="38"/>
        <v/>
      </c>
      <c r="Y221" s="274"/>
      <c r="AR221" t="str">
        <f t="shared" si="39"/>
        <v/>
      </c>
      <c r="AS221" t="str">
        <f t="shared" si="40"/>
        <v/>
      </c>
    </row>
    <row r="222" spans="1:45">
      <c r="A222" s="291"/>
      <c r="B222" s="292"/>
      <c r="C222" s="293"/>
      <c r="D222" s="293"/>
      <c r="E222" s="293"/>
      <c r="F222" s="293"/>
      <c r="G222" s="294"/>
      <c r="H222" s="300"/>
      <c r="I222" s="295"/>
      <c r="J222" s="295"/>
      <c r="K222" s="296"/>
      <c r="L222" s="301"/>
      <c r="M222" s="297"/>
      <c r="N222" s="298"/>
      <c r="P222" s="190" t="str">
        <f>IF(R222 = "", "", COUNT(R$4:$R222))</f>
        <v/>
      </c>
      <c r="Q222" s="190" t="str">
        <f t="shared" si="31"/>
        <v/>
      </c>
      <c r="R222" s="191" t="str">
        <f t="shared" si="32"/>
        <v/>
      </c>
      <c r="S222" s="192" t="str">
        <f t="shared" si="34"/>
        <v/>
      </c>
      <c r="T222" s="193" t="str">
        <f t="shared" si="35"/>
        <v/>
      </c>
      <c r="U222" s="194" t="str">
        <f t="shared" si="36"/>
        <v/>
      </c>
      <c r="V222" s="195" t="str">
        <f t="shared" si="33"/>
        <v/>
      </c>
      <c r="W222" s="336" t="str">
        <f t="shared" si="37"/>
        <v/>
      </c>
      <c r="X222" s="338" t="str">
        <f t="shared" si="38"/>
        <v/>
      </c>
      <c r="Y222" s="274"/>
      <c r="AR222" t="str">
        <f t="shared" si="39"/>
        <v/>
      </c>
      <c r="AS222" t="str">
        <f t="shared" si="40"/>
        <v/>
      </c>
    </row>
    <row r="223" spans="1:45">
      <c r="A223" s="291"/>
      <c r="B223" s="292"/>
      <c r="C223" s="293"/>
      <c r="D223" s="293"/>
      <c r="E223" s="293"/>
      <c r="F223" s="293"/>
      <c r="G223" s="294"/>
      <c r="H223" s="300"/>
      <c r="I223" s="295"/>
      <c r="J223" s="295"/>
      <c r="K223" s="296"/>
      <c r="L223" s="301"/>
      <c r="M223" s="297"/>
      <c r="N223" s="298"/>
      <c r="P223" s="190" t="str">
        <f>IF(R223 = "", "", COUNT(R$4:$R223))</f>
        <v/>
      </c>
      <c r="Q223" s="190" t="str">
        <f t="shared" si="31"/>
        <v/>
      </c>
      <c r="R223" s="191" t="str">
        <f t="shared" si="32"/>
        <v/>
      </c>
      <c r="S223" s="192" t="str">
        <f t="shared" si="34"/>
        <v/>
      </c>
      <c r="T223" s="193" t="str">
        <f t="shared" si="35"/>
        <v/>
      </c>
      <c r="U223" s="194" t="str">
        <f t="shared" si="36"/>
        <v/>
      </c>
      <c r="V223" s="195" t="str">
        <f t="shared" si="33"/>
        <v/>
      </c>
      <c r="W223" s="336" t="str">
        <f t="shared" si="37"/>
        <v/>
      </c>
      <c r="X223" s="338" t="str">
        <f t="shared" si="38"/>
        <v/>
      </c>
      <c r="Y223" s="274"/>
      <c r="AR223" t="str">
        <f t="shared" si="39"/>
        <v/>
      </c>
      <c r="AS223" t="str">
        <f t="shared" si="40"/>
        <v/>
      </c>
    </row>
    <row r="224" spans="1:45">
      <c r="A224" s="291"/>
      <c r="B224" s="292"/>
      <c r="C224" s="293"/>
      <c r="D224" s="293"/>
      <c r="E224" s="293"/>
      <c r="F224" s="293"/>
      <c r="G224" s="294"/>
      <c r="H224" s="300"/>
      <c r="I224" s="295"/>
      <c r="J224" s="295"/>
      <c r="K224" s="296"/>
      <c r="L224" s="301"/>
      <c r="M224" s="297"/>
      <c r="N224" s="298"/>
      <c r="P224" s="190" t="str">
        <f>IF(R224 = "", "", COUNT(R$4:$R224))</f>
        <v/>
      </c>
      <c r="Q224" s="190" t="str">
        <f t="shared" si="31"/>
        <v/>
      </c>
      <c r="R224" s="191" t="str">
        <f t="shared" si="32"/>
        <v/>
      </c>
      <c r="S224" s="192" t="str">
        <f t="shared" si="34"/>
        <v/>
      </c>
      <c r="T224" s="193" t="str">
        <f t="shared" si="35"/>
        <v/>
      </c>
      <c r="U224" s="194" t="str">
        <f t="shared" si="36"/>
        <v/>
      </c>
      <c r="V224" s="195" t="str">
        <f t="shared" si="33"/>
        <v/>
      </c>
      <c r="W224" s="336" t="str">
        <f t="shared" si="37"/>
        <v/>
      </c>
      <c r="X224" s="338" t="str">
        <f t="shared" si="38"/>
        <v/>
      </c>
      <c r="Y224" s="274"/>
      <c r="AR224" t="str">
        <f t="shared" si="39"/>
        <v/>
      </c>
      <c r="AS224" t="str">
        <f t="shared" si="40"/>
        <v/>
      </c>
    </row>
    <row r="225" spans="1:45">
      <c r="A225" s="291"/>
      <c r="B225" s="292"/>
      <c r="C225" s="293"/>
      <c r="D225" s="293"/>
      <c r="E225" s="293"/>
      <c r="F225" s="293"/>
      <c r="G225" s="294"/>
      <c r="H225" s="300"/>
      <c r="I225" s="295"/>
      <c r="J225" s="295"/>
      <c r="K225" s="296"/>
      <c r="L225" s="301"/>
      <c r="M225" s="297"/>
      <c r="N225" s="298"/>
      <c r="P225" s="190" t="str">
        <f>IF(R225 = "", "", COUNT(R$4:$R225))</f>
        <v/>
      </c>
      <c r="Q225" s="190" t="str">
        <f t="shared" si="31"/>
        <v/>
      </c>
      <c r="R225" s="191" t="str">
        <f t="shared" si="32"/>
        <v/>
      </c>
      <c r="S225" s="192" t="str">
        <f t="shared" si="34"/>
        <v/>
      </c>
      <c r="T225" s="193" t="str">
        <f t="shared" si="35"/>
        <v/>
      </c>
      <c r="U225" s="194" t="str">
        <f t="shared" si="36"/>
        <v/>
      </c>
      <c r="V225" s="195" t="str">
        <f t="shared" si="33"/>
        <v/>
      </c>
      <c r="W225" s="336" t="str">
        <f t="shared" si="37"/>
        <v/>
      </c>
      <c r="X225" s="338" t="str">
        <f t="shared" si="38"/>
        <v/>
      </c>
      <c r="Y225" s="274"/>
      <c r="AR225" t="str">
        <f t="shared" si="39"/>
        <v/>
      </c>
      <c r="AS225" t="str">
        <f t="shared" si="40"/>
        <v/>
      </c>
    </row>
    <row r="226" spans="1:45">
      <c r="A226" s="291"/>
      <c r="B226" s="292"/>
      <c r="C226" s="293"/>
      <c r="D226" s="293"/>
      <c r="E226" s="293"/>
      <c r="F226" s="293"/>
      <c r="G226" s="294"/>
      <c r="H226" s="300"/>
      <c r="I226" s="295"/>
      <c r="J226" s="295"/>
      <c r="K226" s="296"/>
      <c r="L226" s="301"/>
      <c r="M226" s="297"/>
      <c r="N226" s="298"/>
      <c r="P226" s="190" t="str">
        <f>IF(R226 = "", "", COUNT(R$4:$R226))</f>
        <v/>
      </c>
      <c r="Q226" s="190" t="str">
        <f t="shared" si="31"/>
        <v/>
      </c>
      <c r="R226" s="191" t="str">
        <f t="shared" si="32"/>
        <v/>
      </c>
      <c r="S226" s="192" t="str">
        <f t="shared" si="34"/>
        <v/>
      </c>
      <c r="T226" s="193" t="str">
        <f t="shared" si="35"/>
        <v/>
      </c>
      <c r="U226" s="194" t="str">
        <f t="shared" si="36"/>
        <v/>
      </c>
      <c r="V226" s="195" t="str">
        <f t="shared" si="33"/>
        <v/>
      </c>
      <c r="W226" s="336" t="str">
        <f t="shared" si="37"/>
        <v/>
      </c>
      <c r="X226" s="338" t="str">
        <f t="shared" si="38"/>
        <v/>
      </c>
      <c r="Y226" s="274"/>
      <c r="AR226" t="str">
        <f t="shared" si="39"/>
        <v/>
      </c>
      <c r="AS226" t="str">
        <f t="shared" si="40"/>
        <v/>
      </c>
    </row>
    <row r="227" spans="1:45">
      <c r="A227" s="291"/>
      <c r="B227" s="292"/>
      <c r="C227" s="293"/>
      <c r="D227" s="293"/>
      <c r="E227" s="293"/>
      <c r="F227" s="293"/>
      <c r="G227" s="294"/>
      <c r="H227" s="300"/>
      <c r="I227" s="295"/>
      <c r="J227" s="295"/>
      <c r="K227" s="296"/>
      <c r="L227" s="301"/>
      <c r="M227" s="297"/>
      <c r="N227" s="298"/>
      <c r="P227" s="190" t="str">
        <f>IF(R227 = "", "", COUNT(R$4:$R227))</f>
        <v/>
      </c>
      <c r="Q227" s="190" t="str">
        <f t="shared" si="31"/>
        <v/>
      </c>
      <c r="R227" s="191" t="str">
        <f t="shared" si="32"/>
        <v/>
      </c>
      <c r="S227" s="192" t="str">
        <f t="shared" si="34"/>
        <v/>
      </c>
      <c r="T227" s="193" t="str">
        <f t="shared" si="35"/>
        <v/>
      </c>
      <c r="U227" s="194" t="str">
        <f t="shared" si="36"/>
        <v/>
      </c>
      <c r="V227" s="195" t="str">
        <f t="shared" si="33"/>
        <v/>
      </c>
      <c r="W227" s="336" t="str">
        <f t="shared" si="37"/>
        <v/>
      </c>
      <c r="X227" s="338" t="str">
        <f t="shared" si="38"/>
        <v/>
      </c>
      <c r="Y227" s="274"/>
      <c r="AR227" t="str">
        <f t="shared" si="39"/>
        <v/>
      </c>
      <c r="AS227" t="str">
        <f t="shared" si="40"/>
        <v/>
      </c>
    </row>
    <row r="228" spans="1:45">
      <c r="A228" s="291"/>
      <c r="B228" s="292"/>
      <c r="C228" s="293"/>
      <c r="D228" s="293"/>
      <c r="E228" s="293"/>
      <c r="F228" s="293"/>
      <c r="G228" s="294"/>
      <c r="H228" s="300"/>
      <c r="I228" s="295"/>
      <c r="J228" s="295"/>
      <c r="K228" s="296"/>
      <c r="L228" s="301"/>
      <c r="M228" s="297"/>
      <c r="N228" s="298"/>
      <c r="P228" s="190" t="str">
        <f>IF(R228 = "", "", COUNT(R$4:$R228))</f>
        <v/>
      </c>
      <c r="Q228" s="190" t="str">
        <f t="shared" si="31"/>
        <v/>
      </c>
      <c r="R228" s="191" t="str">
        <f t="shared" si="32"/>
        <v/>
      </c>
      <c r="S228" s="192" t="str">
        <f t="shared" si="34"/>
        <v/>
      </c>
      <c r="T228" s="193" t="str">
        <f t="shared" si="35"/>
        <v/>
      </c>
      <c r="U228" s="194" t="str">
        <f t="shared" si="36"/>
        <v/>
      </c>
      <c r="V228" s="195" t="str">
        <f t="shared" si="33"/>
        <v/>
      </c>
      <c r="W228" s="336" t="str">
        <f t="shared" si="37"/>
        <v/>
      </c>
      <c r="X228" s="338" t="str">
        <f t="shared" si="38"/>
        <v/>
      </c>
      <c r="Y228" s="274"/>
      <c r="AR228" t="str">
        <f t="shared" si="39"/>
        <v/>
      </c>
      <c r="AS228" t="str">
        <f t="shared" si="40"/>
        <v/>
      </c>
    </row>
    <row r="229" spans="1:45">
      <c r="A229" s="291"/>
      <c r="B229" s="292"/>
      <c r="C229" s="293"/>
      <c r="D229" s="293"/>
      <c r="E229" s="293"/>
      <c r="F229" s="293"/>
      <c r="G229" s="294"/>
      <c r="H229" s="300"/>
      <c r="I229" s="295"/>
      <c r="J229" s="295"/>
      <c r="K229" s="296"/>
      <c r="L229" s="301"/>
      <c r="M229" s="297"/>
      <c r="N229" s="298"/>
      <c r="P229" s="190" t="str">
        <f>IF(R229 = "", "", COUNT(R$4:$R229))</f>
        <v/>
      </c>
      <c r="Q229" s="190" t="str">
        <f t="shared" si="31"/>
        <v/>
      </c>
      <c r="R229" s="191" t="str">
        <f t="shared" si="32"/>
        <v/>
      </c>
      <c r="S229" s="192" t="str">
        <f t="shared" si="34"/>
        <v/>
      </c>
      <c r="T229" s="193" t="str">
        <f t="shared" si="35"/>
        <v/>
      </c>
      <c r="U229" s="194" t="str">
        <f t="shared" si="36"/>
        <v/>
      </c>
      <c r="V229" s="195" t="str">
        <f t="shared" si="33"/>
        <v/>
      </c>
      <c r="W229" s="336" t="str">
        <f t="shared" si="37"/>
        <v/>
      </c>
      <c r="X229" s="338" t="str">
        <f t="shared" si="38"/>
        <v/>
      </c>
      <c r="Y229" s="274"/>
      <c r="AR229" t="str">
        <f t="shared" si="39"/>
        <v/>
      </c>
      <c r="AS229" t="str">
        <f t="shared" si="40"/>
        <v/>
      </c>
    </row>
    <row r="230" spans="1:45">
      <c r="A230" s="291"/>
      <c r="B230" s="292"/>
      <c r="C230" s="293"/>
      <c r="D230" s="293"/>
      <c r="E230" s="293"/>
      <c r="F230" s="293"/>
      <c r="G230" s="294"/>
      <c r="H230" s="300"/>
      <c r="I230" s="295"/>
      <c r="J230" s="295"/>
      <c r="K230" s="296"/>
      <c r="L230" s="301"/>
      <c r="M230" s="297"/>
      <c r="N230" s="298"/>
      <c r="P230" s="190" t="str">
        <f>IF(R230 = "", "", COUNT(R$4:$R230))</f>
        <v/>
      </c>
      <c r="Q230" s="190" t="str">
        <f t="shared" si="31"/>
        <v/>
      </c>
      <c r="R230" s="191" t="str">
        <f t="shared" si="32"/>
        <v/>
      </c>
      <c r="S230" s="192" t="str">
        <f t="shared" si="34"/>
        <v/>
      </c>
      <c r="T230" s="193" t="str">
        <f t="shared" si="35"/>
        <v/>
      </c>
      <c r="U230" s="194" t="str">
        <f t="shared" si="36"/>
        <v/>
      </c>
      <c r="V230" s="195" t="str">
        <f t="shared" si="33"/>
        <v/>
      </c>
      <c r="W230" s="336" t="str">
        <f t="shared" si="37"/>
        <v/>
      </c>
      <c r="X230" s="338" t="str">
        <f t="shared" si="38"/>
        <v/>
      </c>
      <c r="Y230" s="274"/>
      <c r="AR230" t="str">
        <f t="shared" si="39"/>
        <v/>
      </c>
      <c r="AS230" t="str">
        <f t="shared" si="40"/>
        <v/>
      </c>
    </row>
    <row r="231" spans="1:45">
      <c r="A231" s="291"/>
      <c r="B231" s="292"/>
      <c r="C231" s="293"/>
      <c r="D231" s="293"/>
      <c r="E231" s="293"/>
      <c r="F231" s="293"/>
      <c r="G231" s="294"/>
      <c r="H231" s="300"/>
      <c r="I231" s="295"/>
      <c r="J231" s="295"/>
      <c r="K231" s="296"/>
      <c r="L231" s="301"/>
      <c r="M231" s="297"/>
      <c r="N231" s="298"/>
      <c r="P231" s="190" t="str">
        <f>IF(R231 = "", "", COUNT(R$4:$R231))</f>
        <v/>
      </c>
      <c r="Q231" s="190" t="str">
        <f t="shared" si="31"/>
        <v/>
      </c>
      <c r="R231" s="191" t="str">
        <f t="shared" si="32"/>
        <v/>
      </c>
      <c r="S231" s="192" t="str">
        <f t="shared" si="34"/>
        <v/>
      </c>
      <c r="T231" s="193" t="str">
        <f t="shared" si="35"/>
        <v/>
      </c>
      <c r="U231" s="194" t="str">
        <f t="shared" si="36"/>
        <v/>
      </c>
      <c r="V231" s="195" t="str">
        <f t="shared" si="33"/>
        <v/>
      </c>
      <c r="W231" s="336" t="str">
        <f t="shared" si="37"/>
        <v/>
      </c>
      <c r="X231" s="338" t="str">
        <f t="shared" si="38"/>
        <v/>
      </c>
      <c r="Y231" s="274"/>
      <c r="AR231" t="str">
        <f t="shared" si="39"/>
        <v/>
      </c>
      <c r="AS231" t="str">
        <f t="shared" si="40"/>
        <v/>
      </c>
    </row>
    <row r="232" spans="1:45">
      <c r="A232" s="291"/>
      <c r="B232" s="292"/>
      <c r="C232" s="293"/>
      <c r="D232" s="293"/>
      <c r="E232" s="293"/>
      <c r="F232" s="293"/>
      <c r="G232" s="294"/>
      <c r="H232" s="300"/>
      <c r="I232" s="295"/>
      <c r="J232" s="295"/>
      <c r="K232" s="296"/>
      <c r="L232" s="301"/>
      <c r="M232" s="297"/>
      <c r="N232" s="298"/>
      <c r="P232" s="190" t="str">
        <f>IF(R232 = "", "", COUNT(R$4:$R232))</f>
        <v/>
      </c>
      <c r="Q232" s="190" t="str">
        <f t="shared" si="31"/>
        <v/>
      </c>
      <c r="R232" s="191" t="str">
        <f t="shared" si="32"/>
        <v/>
      </c>
      <c r="S232" s="192" t="str">
        <f t="shared" si="34"/>
        <v/>
      </c>
      <c r="T232" s="193" t="str">
        <f t="shared" si="35"/>
        <v/>
      </c>
      <c r="U232" s="194" t="str">
        <f t="shared" si="36"/>
        <v/>
      </c>
      <c r="V232" s="195" t="str">
        <f t="shared" si="33"/>
        <v/>
      </c>
      <c r="W232" s="336" t="str">
        <f t="shared" si="37"/>
        <v/>
      </c>
      <c r="X232" s="338" t="str">
        <f t="shared" si="38"/>
        <v/>
      </c>
      <c r="Y232" s="274"/>
      <c r="AR232" t="str">
        <f t="shared" si="39"/>
        <v/>
      </c>
      <c r="AS232" t="str">
        <f t="shared" si="40"/>
        <v/>
      </c>
    </row>
    <row r="233" spans="1:45">
      <c r="A233" s="291"/>
      <c r="B233" s="292"/>
      <c r="C233" s="293"/>
      <c r="D233" s="293"/>
      <c r="E233" s="293"/>
      <c r="F233" s="293"/>
      <c r="G233" s="294"/>
      <c r="H233" s="300"/>
      <c r="I233" s="295"/>
      <c r="J233" s="295"/>
      <c r="K233" s="296"/>
      <c r="L233" s="301"/>
      <c r="M233" s="297"/>
      <c r="N233" s="298"/>
      <c r="P233" s="190" t="str">
        <f>IF(R233 = "", "", COUNT(R$4:$R233))</f>
        <v/>
      </c>
      <c r="Q233" s="190" t="str">
        <f t="shared" si="31"/>
        <v/>
      </c>
      <c r="R233" s="191" t="str">
        <f t="shared" si="32"/>
        <v/>
      </c>
      <c r="S233" s="192" t="str">
        <f t="shared" si="34"/>
        <v/>
      </c>
      <c r="T233" s="193" t="str">
        <f t="shared" si="35"/>
        <v/>
      </c>
      <c r="U233" s="194" t="str">
        <f t="shared" si="36"/>
        <v/>
      </c>
      <c r="V233" s="195" t="str">
        <f t="shared" si="33"/>
        <v/>
      </c>
      <c r="W233" s="336" t="str">
        <f t="shared" si="37"/>
        <v/>
      </c>
      <c r="X233" s="338" t="str">
        <f t="shared" si="38"/>
        <v/>
      </c>
      <c r="Y233" s="274"/>
      <c r="AR233" t="str">
        <f t="shared" si="39"/>
        <v/>
      </c>
      <c r="AS233" t="str">
        <f t="shared" si="40"/>
        <v/>
      </c>
    </row>
    <row r="234" spans="1:45">
      <c r="A234" s="291"/>
      <c r="B234" s="292"/>
      <c r="C234" s="293"/>
      <c r="D234" s="293"/>
      <c r="E234" s="293"/>
      <c r="F234" s="293"/>
      <c r="G234" s="294"/>
      <c r="H234" s="300"/>
      <c r="I234" s="295"/>
      <c r="J234" s="295"/>
      <c r="K234" s="296"/>
      <c r="L234" s="301"/>
      <c r="M234" s="297"/>
      <c r="N234" s="298"/>
      <c r="P234" s="190" t="str">
        <f>IF(R234 = "", "", COUNT(R$4:$R234))</f>
        <v/>
      </c>
      <c r="Q234" s="190" t="str">
        <f t="shared" si="31"/>
        <v/>
      </c>
      <c r="R234" s="191" t="str">
        <f t="shared" si="32"/>
        <v/>
      </c>
      <c r="S234" s="192" t="str">
        <f t="shared" si="34"/>
        <v/>
      </c>
      <c r="T234" s="193" t="str">
        <f t="shared" si="35"/>
        <v/>
      </c>
      <c r="U234" s="194" t="str">
        <f t="shared" si="36"/>
        <v/>
      </c>
      <c r="V234" s="195" t="str">
        <f t="shared" si="33"/>
        <v/>
      </c>
      <c r="W234" s="336" t="str">
        <f t="shared" si="37"/>
        <v/>
      </c>
      <c r="X234" s="338" t="str">
        <f t="shared" si="38"/>
        <v/>
      </c>
      <c r="Y234" s="274"/>
      <c r="AR234" t="str">
        <f t="shared" si="39"/>
        <v/>
      </c>
      <c r="AS234" t="str">
        <f t="shared" si="40"/>
        <v/>
      </c>
    </row>
    <row r="235" spans="1:45">
      <c r="A235" s="291"/>
      <c r="B235" s="292"/>
      <c r="C235" s="293"/>
      <c r="D235" s="293"/>
      <c r="E235" s="293"/>
      <c r="F235" s="293"/>
      <c r="G235" s="294"/>
      <c r="H235" s="300"/>
      <c r="I235" s="295"/>
      <c r="J235" s="295"/>
      <c r="K235" s="296"/>
      <c r="L235" s="301"/>
      <c r="M235" s="297"/>
      <c r="N235" s="298"/>
      <c r="P235" s="190" t="str">
        <f>IF(R235 = "", "", COUNT(R$4:$R235))</f>
        <v/>
      </c>
      <c r="Q235" s="190" t="str">
        <f t="shared" si="31"/>
        <v/>
      </c>
      <c r="R235" s="191" t="str">
        <f t="shared" si="32"/>
        <v/>
      </c>
      <c r="S235" s="192" t="str">
        <f t="shared" si="34"/>
        <v/>
      </c>
      <c r="T235" s="193" t="str">
        <f t="shared" si="35"/>
        <v/>
      </c>
      <c r="U235" s="194" t="str">
        <f t="shared" si="36"/>
        <v/>
      </c>
      <c r="V235" s="195" t="str">
        <f t="shared" si="33"/>
        <v/>
      </c>
      <c r="W235" s="336" t="str">
        <f t="shared" si="37"/>
        <v/>
      </c>
      <c r="X235" s="338" t="str">
        <f t="shared" si="38"/>
        <v/>
      </c>
      <c r="Y235" s="274"/>
      <c r="AR235" t="str">
        <f t="shared" si="39"/>
        <v/>
      </c>
      <c r="AS235" t="str">
        <f t="shared" si="40"/>
        <v/>
      </c>
    </row>
    <row r="236" spans="1:45">
      <c r="A236" s="291"/>
      <c r="B236" s="292"/>
      <c r="C236" s="293"/>
      <c r="D236" s="293"/>
      <c r="E236" s="293"/>
      <c r="F236" s="293"/>
      <c r="G236" s="294"/>
      <c r="H236" s="300"/>
      <c r="I236" s="295"/>
      <c r="J236" s="295"/>
      <c r="K236" s="296"/>
      <c r="L236" s="301"/>
      <c r="M236" s="297"/>
      <c r="N236" s="298"/>
      <c r="P236" s="190" t="str">
        <f>IF(R236 = "", "", COUNT(R$4:$R236))</f>
        <v/>
      </c>
      <c r="Q236" s="190" t="str">
        <f t="shared" si="31"/>
        <v/>
      </c>
      <c r="R236" s="191" t="str">
        <f t="shared" si="32"/>
        <v/>
      </c>
      <c r="S236" s="192" t="str">
        <f t="shared" si="34"/>
        <v/>
      </c>
      <c r="T236" s="193" t="str">
        <f t="shared" si="35"/>
        <v/>
      </c>
      <c r="U236" s="194" t="str">
        <f t="shared" si="36"/>
        <v/>
      </c>
      <c r="V236" s="195" t="str">
        <f t="shared" si="33"/>
        <v/>
      </c>
      <c r="W236" s="336" t="str">
        <f t="shared" si="37"/>
        <v/>
      </c>
      <c r="X236" s="338" t="str">
        <f t="shared" si="38"/>
        <v/>
      </c>
      <c r="Y236" s="274"/>
      <c r="AR236" t="str">
        <f t="shared" si="39"/>
        <v/>
      </c>
      <c r="AS236" t="str">
        <f t="shared" si="40"/>
        <v/>
      </c>
    </row>
    <row r="237" spans="1:45">
      <c r="A237" s="291"/>
      <c r="B237" s="292"/>
      <c r="C237" s="293"/>
      <c r="D237" s="293"/>
      <c r="E237" s="293"/>
      <c r="F237" s="293"/>
      <c r="G237" s="294"/>
      <c r="H237" s="300"/>
      <c r="I237" s="295"/>
      <c r="J237" s="295"/>
      <c r="K237" s="296"/>
      <c r="L237" s="301"/>
      <c r="M237" s="297"/>
      <c r="N237" s="298"/>
      <c r="P237" s="190" t="str">
        <f>IF(R237 = "", "", COUNT(R$4:$R237))</f>
        <v/>
      </c>
      <c r="Q237" s="190" t="str">
        <f t="shared" si="31"/>
        <v/>
      </c>
      <c r="R237" s="191" t="str">
        <f t="shared" si="32"/>
        <v/>
      </c>
      <c r="S237" s="192" t="str">
        <f t="shared" si="34"/>
        <v/>
      </c>
      <c r="T237" s="193" t="str">
        <f t="shared" si="35"/>
        <v/>
      </c>
      <c r="U237" s="194" t="str">
        <f t="shared" si="36"/>
        <v/>
      </c>
      <c r="V237" s="195" t="str">
        <f t="shared" si="33"/>
        <v/>
      </c>
      <c r="W237" s="336" t="str">
        <f t="shared" si="37"/>
        <v/>
      </c>
      <c r="X237" s="338" t="str">
        <f t="shared" si="38"/>
        <v/>
      </c>
      <c r="Y237" s="274"/>
      <c r="AR237" t="str">
        <f t="shared" si="39"/>
        <v/>
      </c>
      <c r="AS237" t="str">
        <f t="shared" si="40"/>
        <v/>
      </c>
    </row>
    <row r="238" spans="1:45">
      <c r="A238" s="291"/>
      <c r="B238" s="292"/>
      <c r="C238" s="293"/>
      <c r="D238" s="293"/>
      <c r="E238" s="293"/>
      <c r="F238" s="293"/>
      <c r="G238" s="294"/>
      <c r="H238" s="300"/>
      <c r="I238" s="295"/>
      <c r="J238" s="295"/>
      <c r="K238" s="296"/>
      <c r="L238" s="301"/>
      <c r="M238" s="297"/>
      <c r="N238" s="298"/>
      <c r="P238" s="190" t="str">
        <f>IF(R238 = "", "", COUNT(R$4:$R238))</f>
        <v/>
      </c>
      <c r="Q238" s="190" t="str">
        <f t="shared" si="31"/>
        <v/>
      </c>
      <c r="R238" s="191" t="str">
        <f t="shared" si="32"/>
        <v/>
      </c>
      <c r="S238" s="192" t="str">
        <f t="shared" si="34"/>
        <v/>
      </c>
      <c r="T238" s="193" t="str">
        <f t="shared" si="35"/>
        <v/>
      </c>
      <c r="U238" s="194" t="str">
        <f t="shared" si="36"/>
        <v/>
      </c>
      <c r="V238" s="195" t="str">
        <f t="shared" si="33"/>
        <v/>
      </c>
      <c r="W238" s="336" t="str">
        <f t="shared" si="37"/>
        <v/>
      </c>
      <c r="X238" s="338" t="str">
        <f t="shared" si="38"/>
        <v/>
      </c>
      <c r="Y238" s="274"/>
      <c r="AR238" t="str">
        <f t="shared" si="39"/>
        <v/>
      </c>
      <c r="AS238" t="str">
        <f t="shared" si="40"/>
        <v/>
      </c>
    </row>
    <row r="239" spans="1:45">
      <c r="A239" s="291"/>
      <c r="B239" s="292"/>
      <c r="C239" s="293"/>
      <c r="D239" s="293"/>
      <c r="E239" s="293"/>
      <c r="F239" s="293"/>
      <c r="G239" s="294"/>
      <c r="H239" s="300"/>
      <c r="I239" s="295"/>
      <c r="J239" s="295"/>
      <c r="K239" s="296"/>
      <c r="L239" s="301"/>
      <c r="M239" s="297"/>
      <c r="N239" s="298"/>
      <c r="P239" s="190" t="str">
        <f>IF(R239 = "", "", COUNT(R$4:$R239))</f>
        <v/>
      </c>
      <c r="Q239" s="190" t="str">
        <f t="shared" si="31"/>
        <v/>
      </c>
      <c r="R239" s="191" t="str">
        <f t="shared" si="32"/>
        <v/>
      </c>
      <c r="S239" s="192" t="str">
        <f t="shared" si="34"/>
        <v/>
      </c>
      <c r="T239" s="193" t="str">
        <f t="shared" si="35"/>
        <v/>
      </c>
      <c r="U239" s="194" t="str">
        <f t="shared" si="36"/>
        <v/>
      </c>
      <c r="V239" s="195" t="str">
        <f t="shared" si="33"/>
        <v/>
      </c>
      <c r="W239" s="336" t="str">
        <f t="shared" si="37"/>
        <v/>
      </c>
      <c r="X239" s="338" t="str">
        <f t="shared" si="38"/>
        <v/>
      </c>
      <c r="Y239" s="274"/>
      <c r="AR239" t="str">
        <f t="shared" si="39"/>
        <v/>
      </c>
      <c r="AS239" t="str">
        <f t="shared" si="40"/>
        <v/>
      </c>
    </row>
    <row r="240" spans="1:45">
      <c r="A240" s="291"/>
      <c r="B240" s="292"/>
      <c r="C240" s="293"/>
      <c r="D240" s="293"/>
      <c r="E240" s="293"/>
      <c r="F240" s="293"/>
      <c r="G240" s="294"/>
      <c r="H240" s="300"/>
      <c r="I240" s="295"/>
      <c r="J240" s="295"/>
      <c r="K240" s="296"/>
      <c r="L240" s="301"/>
      <c r="M240" s="297"/>
      <c r="N240" s="298"/>
      <c r="P240" s="190" t="str">
        <f>IF(R240 = "", "", COUNT(R$4:$R240))</f>
        <v/>
      </c>
      <c r="Q240" s="190" t="str">
        <f t="shared" si="31"/>
        <v/>
      </c>
      <c r="R240" s="191" t="str">
        <f t="shared" si="32"/>
        <v/>
      </c>
      <c r="S240" s="192" t="str">
        <f t="shared" si="34"/>
        <v/>
      </c>
      <c r="T240" s="193" t="str">
        <f t="shared" si="35"/>
        <v/>
      </c>
      <c r="U240" s="194" t="str">
        <f t="shared" si="36"/>
        <v/>
      </c>
      <c r="V240" s="195" t="str">
        <f t="shared" si="33"/>
        <v/>
      </c>
      <c r="W240" s="336" t="str">
        <f t="shared" si="37"/>
        <v/>
      </c>
      <c r="X240" s="338" t="str">
        <f t="shared" si="38"/>
        <v/>
      </c>
      <c r="Y240" s="274"/>
      <c r="AR240" t="str">
        <f t="shared" si="39"/>
        <v/>
      </c>
      <c r="AS240" t="str">
        <f t="shared" si="40"/>
        <v/>
      </c>
    </row>
    <row r="241" spans="1:45">
      <c r="A241" s="291"/>
      <c r="B241" s="292"/>
      <c r="C241" s="293"/>
      <c r="D241" s="293"/>
      <c r="E241" s="293"/>
      <c r="F241" s="293"/>
      <c r="G241" s="294"/>
      <c r="H241" s="300"/>
      <c r="I241" s="295"/>
      <c r="J241" s="295"/>
      <c r="K241" s="296"/>
      <c r="L241" s="301"/>
      <c r="M241" s="297"/>
      <c r="N241" s="298"/>
      <c r="P241" s="190" t="str">
        <f>IF(R241 = "", "", COUNT(R$4:$R241))</f>
        <v/>
      </c>
      <c r="Q241" s="190" t="str">
        <f t="shared" si="31"/>
        <v/>
      </c>
      <c r="R241" s="191" t="str">
        <f t="shared" si="32"/>
        <v/>
      </c>
      <c r="S241" s="192" t="str">
        <f t="shared" si="34"/>
        <v/>
      </c>
      <c r="T241" s="193" t="str">
        <f t="shared" si="35"/>
        <v/>
      </c>
      <c r="U241" s="194" t="str">
        <f t="shared" si="36"/>
        <v/>
      </c>
      <c r="V241" s="195" t="str">
        <f t="shared" si="33"/>
        <v/>
      </c>
      <c r="W241" s="336" t="str">
        <f t="shared" si="37"/>
        <v/>
      </c>
      <c r="X241" s="338" t="str">
        <f t="shared" si="38"/>
        <v/>
      </c>
      <c r="Y241" s="274"/>
      <c r="AR241" t="str">
        <f t="shared" si="39"/>
        <v/>
      </c>
      <c r="AS241" t="str">
        <f t="shared" si="40"/>
        <v/>
      </c>
    </row>
    <row r="242" spans="1:45">
      <c r="A242" s="291"/>
      <c r="B242" s="292"/>
      <c r="C242" s="293"/>
      <c r="D242" s="293"/>
      <c r="E242" s="293"/>
      <c r="F242" s="293"/>
      <c r="G242" s="294"/>
      <c r="H242" s="300"/>
      <c r="I242" s="295"/>
      <c r="J242" s="295"/>
      <c r="K242" s="296"/>
      <c r="L242" s="301"/>
      <c r="M242" s="297"/>
      <c r="N242" s="298"/>
      <c r="P242" s="190" t="str">
        <f>IF(R242 = "", "", COUNT(R$4:$R242))</f>
        <v/>
      </c>
      <c r="Q242" s="190" t="str">
        <f t="shared" si="31"/>
        <v/>
      </c>
      <c r="R242" s="191" t="str">
        <f t="shared" si="32"/>
        <v/>
      </c>
      <c r="S242" s="192" t="str">
        <f t="shared" si="34"/>
        <v/>
      </c>
      <c r="T242" s="193" t="str">
        <f t="shared" si="35"/>
        <v/>
      </c>
      <c r="U242" s="194" t="str">
        <f t="shared" si="36"/>
        <v/>
      </c>
      <c r="V242" s="195" t="str">
        <f t="shared" si="33"/>
        <v/>
      </c>
      <c r="W242" s="336" t="str">
        <f t="shared" si="37"/>
        <v/>
      </c>
      <c r="X242" s="338" t="str">
        <f t="shared" si="38"/>
        <v/>
      </c>
      <c r="Y242" s="274"/>
      <c r="AR242" t="str">
        <f t="shared" si="39"/>
        <v/>
      </c>
      <c r="AS242" t="str">
        <f t="shared" si="40"/>
        <v/>
      </c>
    </row>
    <row r="243" spans="1:45">
      <c r="A243" s="291"/>
      <c r="B243" s="292"/>
      <c r="C243" s="293"/>
      <c r="D243" s="293"/>
      <c r="E243" s="293"/>
      <c r="F243" s="293"/>
      <c r="G243" s="294"/>
      <c r="H243" s="300"/>
      <c r="I243" s="295"/>
      <c r="J243" s="295"/>
      <c r="K243" s="296"/>
      <c r="L243" s="301"/>
      <c r="M243" s="297"/>
      <c r="N243" s="298"/>
      <c r="P243" s="190" t="str">
        <f>IF(R243 = "", "", COUNT(R$4:$R243))</f>
        <v/>
      </c>
      <c r="Q243" s="190" t="str">
        <f t="shared" si="31"/>
        <v/>
      </c>
      <c r="R243" s="191" t="str">
        <f t="shared" si="32"/>
        <v/>
      </c>
      <c r="S243" s="192" t="str">
        <f t="shared" si="34"/>
        <v/>
      </c>
      <c r="T243" s="193" t="str">
        <f t="shared" si="35"/>
        <v/>
      </c>
      <c r="U243" s="194" t="str">
        <f t="shared" si="36"/>
        <v/>
      </c>
      <c r="V243" s="195" t="str">
        <f t="shared" si="33"/>
        <v/>
      </c>
      <c r="W243" s="336" t="str">
        <f t="shared" si="37"/>
        <v/>
      </c>
      <c r="X243" s="338" t="str">
        <f t="shared" si="38"/>
        <v/>
      </c>
      <c r="Y243" s="274"/>
      <c r="AR243" t="str">
        <f t="shared" si="39"/>
        <v/>
      </c>
      <c r="AS243" t="str">
        <f t="shared" si="40"/>
        <v/>
      </c>
    </row>
    <row r="244" spans="1:45">
      <c r="A244" s="291"/>
      <c r="B244" s="292"/>
      <c r="C244" s="293"/>
      <c r="D244" s="293"/>
      <c r="E244" s="293"/>
      <c r="F244" s="293"/>
      <c r="G244" s="294"/>
      <c r="H244" s="300"/>
      <c r="I244" s="295"/>
      <c r="J244" s="295"/>
      <c r="K244" s="296"/>
      <c r="L244" s="301"/>
      <c r="M244" s="297"/>
      <c r="N244" s="298"/>
      <c r="P244" s="190" t="str">
        <f>IF(R244 = "", "", COUNT(R$4:$R244))</f>
        <v/>
      </c>
      <c r="Q244" s="190" t="str">
        <f t="shared" si="31"/>
        <v/>
      </c>
      <c r="R244" s="191" t="str">
        <f t="shared" si="32"/>
        <v/>
      </c>
      <c r="S244" s="192" t="str">
        <f t="shared" si="34"/>
        <v/>
      </c>
      <c r="T244" s="193" t="str">
        <f t="shared" si="35"/>
        <v/>
      </c>
      <c r="U244" s="194" t="str">
        <f t="shared" si="36"/>
        <v/>
      </c>
      <c r="V244" s="195" t="str">
        <f t="shared" si="33"/>
        <v/>
      </c>
      <c r="W244" s="336" t="str">
        <f t="shared" si="37"/>
        <v/>
      </c>
      <c r="X244" s="338" t="str">
        <f t="shared" si="38"/>
        <v/>
      </c>
      <c r="Y244" s="274"/>
      <c r="AR244" t="str">
        <f t="shared" si="39"/>
        <v/>
      </c>
      <c r="AS244" t="str">
        <f t="shared" si="40"/>
        <v/>
      </c>
    </row>
    <row r="245" spans="1:45">
      <c r="A245" s="291"/>
      <c r="B245" s="292"/>
      <c r="C245" s="293"/>
      <c r="D245" s="293"/>
      <c r="E245" s="293"/>
      <c r="F245" s="293"/>
      <c r="G245" s="294"/>
      <c r="H245" s="300"/>
      <c r="I245" s="295"/>
      <c r="J245" s="295"/>
      <c r="K245" s="296"/>
      <c r="L245" s="301"/>
      <c r="M245" s="297"/>
      <c r="N245" s="298"/>
      <c r="P245" s="190" t="str">
        <f>IF(R245 = "", "", COUNT(R$4:$R245))</f>
        <v/>
      </c>
      <c r="Q245" s="190" t="str">
        <f t="shared" si="31"/>
        <v/>
      </c>
      <c r="R245" s="191" t="str">
        <f t="shared" si="32"/>
        <v/>
      </c>
      <c r="S245" s="192" t="str">
        <f t="shared" si="34"/>
        <v/>
      </c>
      <c r="T245" s="193" t="str">
        <f t="shared" si="35"/>
        <v/>
      </c>
      <c r="U245" s="194" t="str">
        <f t="shared" si="36"/>
        <v/>
      </c>
      <c r="V245" s="195" t="str">
        <f t="shared" si="33"/>
        <v/>
      </c>
      <c r="W245" s="336" t="str">
        <f t="shared" si="37"/>
        <v/>
      </c>
      <c r="X245" s="338" t="str">
        <f t="shared" si="38"/>
        <v/>
      </c>
      <c r="Y245" s="274"/>
      <c r="AR245" t="str">
        <f t="shared" si="39"/>
        <v/>
      </c>
      <c r="AS245" t="str">
        <f t="shared" si="40"/>
        <v/>
      </c>
    </row>
    <row r="246" spans="1:45">
      <c r="A246" s="291"/>
      <c r="B246" s="292"/>
      <c r="C246" s="293"/>
      <c r="D246" s="293"/>
      <c r="E246" s="293"/>
      <c r="F246" s="293"/>
      <c r="G246" s="294"/>
      <c r="H246" s="300"/>
      <c r="I246" s="295"/>
      <c r="J246" s="295"/>
      <c r="K246" s="296"/>
      <c r="L246" s="301"/>
      <c r="M246" s="297"/>
      <c r="N246" s="298"/>
      <c r="P246" s="190" t="str">
        <f>IF(R246 = "", "", COUNT(R$4:$R246))</f>
        <v/>
      </c>
      <c r="Q246" s="190" t="str">
        <f t="shared" si="31"/>
        <v/>
      </c>
      <c r="R246" s="191" t="str">
        <f t="shared" si="32"/>
        <v/>
      </c>
      <c r="S246" s="192" t="str">
        <f t="shared" si="34"/>
        <v/>
      </c>
      <c r="T246" s="193" t="str">
        <f t="shared" si="35"/>
        <v/>
      </c>
      <c r="U246" s="194" t="str">
        <f t="shared" si="36"/>
        <v/>
      </c>
      <c r="V246" s="195" t="str">
        <f t="shared" si="33"/>
        <v/>
      </c>
      <c r="W246" s="336" t="str">
        <f t="shared" si="37"/>
        <v/>
      </c>
      <c r="X246" s="338" t="str">
        <f t="shared" si="38"/>
        <v/>
      </c>
      <c r="Y246" s="274"/>
      <c r="AR246" t="str">
        <f t="shared" si="39"/>
        <v/>
      </c>
      <c r="AS246" t="str">
        <f t="shared" si="40"/>
        <v/>
      </c>
    </row>
    <row r="247" spans="1:45">
      <c r="A247" s="291"/>
      <c r="B247" s="292"/>
      <c r="C247" s="293"/>
      <c r="D247" s="293"/>
      <c r="E247" s="293"/>
      <c r="F247" s="293"/>
      <c r="G247" s="294"/>
      <c r="H247" s="300"/>
      <c r="I247" s="295"/>
      <c r="J247" s="295"/>
      <c r="K247" s="296"/>
      <c r="L247" s="301"/>
      <c r="M247" s="297"/>
      <c r="N247" s="298"/>
      <c r="P247" s="190" t="str">
        <f>IF(R247 = "", "", COUNT(R$4:$R247))</f>
        <v/>
      </c>
      <c r="Q247" s="190" t="str">
        <f t="shared" si="31"/>
        <v/>
      </c>
      <c r="R247" s="191" t="str">
        <f t="shared" si="32"/>
        <v/>
      </c>
      <c r="S247" s="192" t="str">
        <f t="shared" si="34"/>
        <v/>
      </c>
      <c r="T247" s="193" t="str">
        <f t="shared" si="35"/>
        <v/>
      </c>
      <c r="U247" s="194" t="str">
        <f t="shared" si="36"/>
        <v/>
      </c>
      <c r="V247" s="195" t="str">
        <f t="shared" si="33"/>
        <v/>
      </c>
      <c r="W247" s="336" t="str">
        <f t="shared" si="37"/>
        <v/>
      </c>
      <c r="X247" s="338" t="str">
        <f t="shared" si="38"/>
        <v/>
      </c>
      <c r="Y247" s="274"/>
      <c r="AR247" t="str">
        <f t="shared" si="39"/>
        <v/>
      </c>
      <c r="AS247" t="str">
        <f t="shared" si="40"/>
        <v/>
      </c>
    </row>
    <row r="248" spans="1:45">
      <c r="A248" s="291"/>
      <c r="B248" s="292"/>
      <c r="C248" s="293"/>
      <c r="D248" s="293"/>
      <c r="E248" s="293"/>
      <c r="F248" s="293"/>
      <c r="G248" s="294"/>
      <c r="H248" s="300"/>
      <c r="I248" s="295"/>
      <c r="J248" s="295"/>
      <c r="K248" s="296"/>
      <c r="L248" s="301"/>
      <c r="M248" s="297"/>
      <c r="N248" s="298"/>
      <c r="P248" s="190" t="str">
        <f>IF(R248 = "", "", COUNT(R$4:$R248))</f>
        <v/>
      </c>
      <c r="Q248" s="190" t="str">
        <f t="shared" si="31"/>
        <v/>
      </c>
      <c r="R248" s="191" t="str">
        <f t="shared" si="32"/>
        <v/>
      </c>
      <c r="S248" s="192" t="str">
        <f t="shared" si="34"/>
        <v/>
      </c>
      <c r="T248" s="193" t="str">
        <f t="shared" si="35"/>
        <v/>
      </c>
      <c r="U248" s="194" t="str">
        <f t="shared" si="36"/>
        <v/>
      </c>
      <c r="V248" s="195" t="str">
        <f t="shared" si="33"/>
        <v/>
      </c>
      <c r="W248" s="336" t="str">
        <f t="shared" si="37"/>
        <v/>
      </c>
      <c r="X248" s="338" t="str">
        <f t="shared" si="38"/>
        <v/>
      </c>
      <c r="Y248" s="274"/>
      <c r="AR248" t="str">
        <f t="shared" si="39"/>
        <v/>
      </c>
      <c r="AS248" t="str">
        <f t="shared" si="40"/>
        <v/>
      </c>
    </row>
    <row r="249" spans="1:45">
      <c r="A249" s="291"/>
      <c r="B249" s="292"/>
      <c r="C249" s="293"/>
      <c r="D249" s="293"/>
      <c r="E249" s="293"/>
      <c r="F249" s="293"/>
      <c r="G249" s="294"/>
      <c r="H249" s="300"/>
      <c r="I249" s="295"/>
      <c r="J249" s="295"/>
      <c r="K249" s="296"/>
      <c r="L249" s="301"/>
      <c r="M249" s="297"/>
      <c r="N249" s="298"/>
      <c r="P249" s="190" t="str">
        <f>IF(R249 = "", "", COUNT(R$4:$R249))</f>
        <v/>
      </c>
      <c r="Q249" s="190" t="str">
        <f t="shared" si="31"/>
        <v/>
      </c>
      <c r="R249" s="191" t="str">
        <f t="shared" si="32"/>
        <v/>
      </c>
      <c r="S249" s="192" t="str">
        <f t="shared" si="34"/>
        <v/>
      </c>
      <c r="T249" s="193" t="str">
        <f t="shared" si="35"/>
        <v/>
      </c>
      <c r="U249" s="194" t="str">
        <f t="shared" si="36"/>
        <v/>
      </c>
      <c r="V249" s="195" t="str">
        <f t="shared" si="33"/>
        <v/>
      </c>
      <c r="W249" s="336" t="str">
        <f t="shared" si="37"/>
        <v/>
      </c>
      <c r="X249" s="338" t="str">
        <f t="shared" si="38"/>
        <v/>
      </c>
      <c r="Y249" s="274"/>
      <c r="AR249" t="str">
        <f t="shared" si="39"/>
        <v/>
      </c>
      <c r="AS249" t="str">
        <f t="shared" si="40"/>
        <v/>
      </c>
    </row>
    <row r="250" spans="1:45">
      <c r="A250" s="291"/>
      <c r="B250" s="292"/>
      <c r="C250" s="293"/>
      <c r="D250" s="293"/>
      <c r="E250" s="293"/>
      <c r="F250" s="293"/>
      <c r="G250" s="294"/>
      <c r="H250" s="300"/>
      <c r="I250" s="295"/>
      <c r="J250" s="295"/>
      <c r="K250" s="296"/>
      <c r="L250" s="301"/>
      <c r="M250" s="297"/>
      <c r="N250" s="298"/>
      <c r="P250" s="190" t="str">
        <f>IF(R250 = "", "", COUNT(R$4:$R250))</f>
        <v/>
      </c>
      <c r="Q250" s="190" t="str">
        <f t="shared" si="31"/>
        <v/>
      </c>
      <c r="R250" s="191" t="str">
        <f t="shared" si="32"/>
        <v/>
      </c>
      <c r="S250" s="192" t="str">
        <f t="shared" si="34"/>
        <v/>
      </c>
      <c r="T250" s="193" t="str">
        <f t="shared" si="35"/>
        <v/>
      </c>
      <c r="U250" s="194" t="str">
        <f t="shared" si="36"/>
        <v/>
      </c>
      <c r="V250" s="195" t="str">
        <f t="shared" si="33"/>
        <v/>
      </c>
      <c r="W250" s="336" t="str">
        <f t="shared" si="37"/>
        <v/>
      </c>
      <c r="X250" s="338" t="str">
        <f t="shared" si="38"/>
        <v/>
      </c>
      <c r="Y250" s="274"/>
      <c r="AR250" t="str">
        <f t="shared" si="39"/>
        <v/>
      </c>
      <c r="AS250" t="str">
        <f t="shared" si="40"/>
        <v/>
      </c>
    </row>
    <row r="251" spans="1:45">
      <c r="A251" s="291"/>
      <c r="B251" s="292"/>
      <c r="C251" s="293"/>
      <c r="D251" s="293"/>
      <c r="E251" s="293"/>
      <c r="F251" s="293"/>
      <c r="G251" s="294"/>
      <c r="H251" s="300"/>
      <c r="I251" s="295"/>
      <c r="J251" s="295"/>
      <c r="K251" s="296"/>
      <c r="L251" s="301"/>
      <c r="M251" s="297"/>
      <c r="N251" s="298"/>
      <c r="P251" s="190" t="str">
        <f>IF(R251 = "", "", COUNT(R$4:$R251))</f>
        <v/>
      </c>
      <c r="Q251" s="190" t="str">
        <f t="shared" si="31"/>
        <v/>
      </c>
      <c r="R251" s="191" t="str">
        <f t="shared" si="32"/>
        <v/>
      </c>
      <c r="S251" s="192" t="str">
        <f t="shared" si="34"/>
        <v/>
      </c>
      <c r="T251" s="193" t="str">
        <f t="shared" si="35"/>
        <v/>
      </c>
      <c r="U251" s="194" t="str">
        <f t="shared" si="36"/>
        <v/>
      </c>
      <c r="V251" s="195" t="str">
        <f t="shared" si="33"/>
        <v/>
      </c>
      <c r="W251" s="336" t="str">
        <f t="shared" si="37"/>
        <v/>
      </c>
      <c r="X251" s="338" t="str">
        <f t="shared" si="38"/>
        <v/>
      </c>
      <c r="Y251" s="274"/>
      <c r="AR251" t="str">
        <f t="shared" si="39"/>
        <v/>
      </c>
      <c r="AS251" t="str">
        <f t="shared" si="40"/>
        <v/>
      </c>
    </row>
    <row r="252" spans="1:45">
      <c r="A252" s="291"/>
      <c r="B252" s="292"/>
      <c r="C252" s="293"/>
      <c r="D252" s="293"/>
      <c r="E252" s="293"/>
      <c r="F252" s="293"/>
      <c r="G252" s="294"/>
      <c r="H252" s="300"/>
      <c r="I252" s="295"/>
      <c r="J252" s="295"/>
      <c r="K252" s="296"/>
      <c r="L252" s="301"/>
      <c r="M252" s="297"/>
      <c r="N252" s="298"/>
      <c r="P252" s="190" t="str">
        <f>IF(R252 = "", "", COUNT(R$4:$R252))</f>
        <v/>
      </c>
      <c r="Q252" s="190" t="str">
        <f t="shared" si="31"/>
        <v/>
      </c>
      <c r="R252" s="191" t="str">
        <f t="shared" si="32"/>
        <v/>
      </c>
      <c r="S252" s="192" t="str">
        <f t="shared" si="34"/>
        <v/>
      </c>
      <c r="T252" s="193" t="str">
        <f t="shared" si="35"/>
        <v/>
      </c>
      <c r="U252" s="194" t="str">
        <f t="shared" si="36"/>
        <v/>
      </c>
      <c r="V252" s="195" t="str">
        <f t="shared" si="33"/>
        <v/>
      </c>
      <c r="W252" s="336" t="str">
        <f t="shared" si="37"/>
        <v/>
      </c>
      <c r="X252" s="338" t="str">
        <f t="shared" si="38"/>
        <v/>
      </c>
      <c r="Y252" s="274"/>
      <c r="AR252" t="str">
        <f t="shared" si="39"/>
        <v/>
      </c>
      <c r="AS252" t="str">
        <f t="shared" si="40"/>
        <v/>
      </c>
    </row>
    <row r="253" spans="1:45">
      <c r="A253" s="291"/>
      <c r="B253" s="292"/>
      <c r="C253" s="293"/>
      <c r="D253" s="293"/>
      <c r="E253" s="293"/>
      <c r="F253" s="293"/>
      <c r="G253" s="294"/>
      <c r="H253" s="300"/>
      <c r="I253" s="295"/>
      <c r="J253" s="295"/>
      <c r="K253" s="296"/>
      <c r="L253" s="301"/>
      <c r="M253" s="297"/>
      <c r="N253" s="298"/>
      <c r="P253" s="190" t="str">
        <f>IF(R253 = "", "", COUNT(R$4:$R253))</f>
        <v/>
      </c>
      <c r="Q253" s="190" t="str">
        <f t="shared" si="31"/>
        <v/>
      </c>
      <c r="R253" s="191" t="str">
        <f t="shared" si="32"/>
        <v/>
      </c>
      <c r="S253" s="192" t="str">
        <f t="shared" si="34"/>
        <v/>
      </c>
      <c r="T253" s="193" t="str">
        <f t="shared" si="35"/>
        <v/>
      </c>
      <c r="U253" s="194" t="str">
        <f t="shared" si="36"/>
        <v/>
      </c>
      <c r="V253" s="195" t="str">
        <f t="shared" si="33"/>
        <v/>
      </c>
      <c r="W253" s="336" t="str">
        <f t="shared" si="37"/>
        <v/>
      </c>
      <c r="X253" s="338" t="str">
        <f t="shared" si="38"/>
        <v/>
      </c>
      <c r="Y253" s="274"/>
      <c r="AR253" t="str">
        <f t="shared" si="39"/>
        <v/>
      </c>
      <c r="AS253" t="str">
        <f t="shared" si="40"/>
        <v/>
      </c>
    </row>
    <row r="254" spans="1:45">
      <c r="A254" s="291"/>
      <c r="B254" s="292"/>
      <c r="C254" s="293"/>
      <c r="D254" s="293"/>
      <c r="E254" s="293"/>
      <c r="F254" s="293"/>
      <c r="G254" s="294"/>
      <c r="H254" s="300"/>
      <c r="I254" s="295"/>
      <c r="J254" s="295"/>
      <c r="K254" s="296"/>
      <c r="L254" s="301"/>
      <c r="M254" s="297"/>
      <c r="N254" s="298"/>
      <c r="P254" s="190" t="str">
        <f>IF(R254 = "", "", COUNT(R$4:$R254))</f>
        <v/>
      </c>
      <c r="Q254" s="190" t="str">
        <f t="shared" si="31"/>
        <v/>
      </c>
      <c r="R254" s="191" t="str">
        <f t="shared" si="32"/>
        <v/>
      </c>
      <c r="S254" s="192" t="str">
        <f t="shared" si="34"/>
        <v/>
      </c>
      <c r="T254" s="193" t="str">
        <f t="shared" si="35"/>
        <v/>
      </c>
      <c r="U254" s="194" t="str">
        <f t="shared" si="36"/>
        <v/>
      </c>
      <c r="V254" s="195" t="str">
        <f t="shared" si="33"/>
        <v/>
      </c>
      <c r="W254" s="336" t="str">
        <f t="shared" si="37"/>
        <v/>
      </c>
      <c r="X254" s="338" t="str">
        <f t="shared" si="38"/>
        <v/>
      </c>
      <c r="Y254" s="274"/>
      <c r="AR254" t="str">
        <f t="shared" si="39"/>
        <v/>
      </c>
      <c r="AS254" t="str">
        <f t="shared" si="40"/>
        <v/>
      </c>
    </row>
    <row r="255" spans="1:45">
      <c r="A255" s="291"/>
      <c r="B255" s="292"/>
      <c r="C255" s="293"/>
      <c r="D255" s="293"/>
      <c r="E255" s="293"/>
      <c r="F255" s="293"/>
      <c r="G255" s="294"/>
      <c r="H255" s="300"/>
      <c r="I255" s="295"/>
      <c r="J255" s="295"/>
      <c r="K255" s="296"/>
      <c r="L255" s="301"/>
      <c r="M255" s="297"/>
      <c r="N255" s="298"/>
      <c r="P255" s="190" t="str">
        <f>IF(R255 = "", "", COUNT(R$4:$R255))</f>
        <v/>
      </c>
      <c r="Q255" s="190" t="str">
        <f t="shared" si="31"/>
        <v/>
      </c>
      <c r="R255" s="191" t="str">
        <f t="shared" si="32"/>
        <v/>
      </c>
      <c r="S255" s="192" t="str">
        <f t="shared" si="34"/>
        <v/>
      </c>
      <c r="T255" s="193" t="str">
        <f t="shared" si="35"/>
        <v/>
      </c>
      <c r="U255" s="194" t="str">
        <f t="shared" si="36"/>
        <v/>
      </c>
      <c r="V255" s="195" t="str">
        <f t="shared" si="33"/>
        <v/>
      </c>
      <c r="W255" s="336" t="str">
        <f t="shared" si="37"/>
        <v/>
      </c>
      <c r="X255" s="338" t="str">
        <f t="shared" si="38"/>
        <v/>
      </c>
      <c r="Y255" s="274"/>
      <c r="AR255" t="str">
        <f t="shared" si="39"/>
        <v/>
      </c>
      <c r="AS255" t="str">
        <f t="shared" si="40"/>
        <v/>
      </c>
    </row>
    <row r="256" spans="1:45">
      <c r="A256" s="291"/>
      <c r="B256" s="292"/>
      <c r="C256" s="293"/>
      <c r="D256" s="293"/>
      <c r="E256" s="293"/>
      <c r="F256" s="293"/>
      <c r="G256" s="294"/>
      <c r="H256" s="300"/>
      <c r="I256" s="295"/>
      <c r="J256" s="295"/>
      <c r="K256" s="296"/>
      <c r="L256" s="301"/>
      <c r="M256" s="297"/>
      <c r="N256" s="298"/>
      <c r="P256" s="190" t="str">
        <f>IF(R256 = "", "", COUNT(R$4:$R256))</f>
        <v/>
      </c>
      <c r="Q256" s="190" t="str">
        <f t="shared" si="31"/>
        <v/>
      </c>
      <c r="R256" s="191" t="str">
        <f t="shared" si="32"/>
        <v/>
      </c>
      <c r="S256" s="192" t="str">
        <f t="shared" si="34"/>
        <v/>
      </c>
      <c r="T256" s="193" t="str">
        <f t="shared" si="35"/>
        <v/>
      </c>
      <c r="U256" s="194" t="str">
        <f t="shared" si="36"/>
        <v/>
      </c>
      <c r="V256" s="195" t="str">
        <f t="shared" si="33"/>
        <v/>
      </c>
      <c r="W256" s="336" t="str">
        <f t="shared" si="37"/>
        <v/>
      </c>
      <c r="X256" s="338" t="str">
        <f t="shared" si="38"/>
        <v/>
      </c>
      <c r="Y256" s="274"/>
      <c r="AR256" t="str">
        <f t="shared" si="39"/>
        <v/>
      </c>
      <c r="AS256" t="str">
        <f t="shared" si="40"/>
        <v/>
      </c>
    </row>
    <row r="257" spans="1:45">
      <c r="A257" s="291"/>
      <c r="B257" s="292"/>
      <c r="C257" s="293"/>
      <c r="D257" s="293"/>
      <c r="E257" s="293"/>
      <c r="F257" s="293"/>
      <c r="G257" s="294"/>
      <c r="H257" s="300"/>
      <c r="I257" s="295"/>
      <c r="J257" s="295"/>
      <c r="K257" s="296"/>
      <c r="L257" s="301"/>
      <c r="M257" s="297"/>
      <c r="N257" s="298"/>
      <c r="P257" s="190" t="str">
        <f>IF(R257 = "", "", COUNT(R$4:$R257))</f>
        <v/>
      </c>
      <c r="Q257" s="190" t="str">
        <f t="shared" si="31"/>
        <v/>
      </c>
      <c r="R257" s="191" t="str">
        <f t="shared" si="32"/>
        <v/>
      </c>
      <c r="S257" s="192" t="str">
        <f t="shared" si="34"/>
        <v/>
      </c>
      <c r="T257" s="193" t="str">
        <f t="shared" si="35"/>
        <v/>
      </c>
      <c r="U257" s="194" t="str">
        <f t="shared" si="36"/>
        <v/>
      </c>
      <c r="V257" s="195" t="str">
        <f t="shared" si="33"/>
        <v/>
      </c>
      <c r="W257" s="336" t="str">
        <f t="shared" si="37"/>
        <v/>
      </c>
      <c r="X257" s="338" t="str">
        <f t="shared" si="38"/>
        <v/>
      </c>
      <c r="Y257" s="274"/>
      <c r="AR257" t="str">
        <f t="shared" si="39"/>
        <v/>
      </c>
      <c r="AS257" t="str">
        <f t="shared" si="40"/>
        <v/>
      </c>
    </row>
    <row r="258" spans="1:45">
      <c r="A258" s="291"/>
      <c r="B258" s="292"/>
      <c r="C258" s="293"/>
      <c r="D258" s="293"/>
      <c r="E258" s="293"/>
      <c r="F258" s="293"/>
      <c r="G258" s="294"/>
      <c r="H258" s="300"/>
      <c r="I258" s="295"/>
      <c r="J258" s="295"/>
      <c r="K258" s="296"/>
      <c r="L258" s="301"/>
      <c r="M258" s="297"/>
      <c r="N258" s="298"/>
      <c r="P258" s="190" t="str">
        <f>IF(R258 = "", "", COUNT(R$4:$R258))</f>
        <v/>
      </c>
      <c r="Q258" s="190" t="str">
        <f t="shared" si="31"/>
        <v/>
      </c>
      <c r="R258" s="191" t="str">
        <f t="shared" si="32"/>
        <v/>
      </c>
      <c r="S258" s="192" t="str">
        <f t="shared" si="34"/>
        <v/>
      </c>
      <c r="T258" s="193" t="str">
        <f t="shared" si="35"/>
        <v/>
      </c>
      <c r="U258" s="194" t="str">
        <f t="shared" si="36"/>
        <v/>
      </c>
      <c r="V258" s="195" t="str">
        <f t="shared" si="33"/>
        <v/>
      </c>
      <c r="W258" s="336" t="str">
        <f t="shared" si="37"/>
        <v/>
      </c>
      <c r="X258" s="338" t="str">
        <f t="shared" si="38"/>
        <v/>
      </c>
      <c r="Y258" s="274"/>
      <c r="AR258" t="str">
        <f t="shared" si="39"/>
        <v/>
      </c>
      <c r="AS258" t="str">
        <f t="shared" si="40"/>
        <v/>
      </c>
    </row>
    <row r="259" spans="1:45">
      <c r="A259" s="291"/>
      <c r="B259" s="292"/>
      <c r="C259" s="293"/>
      <c r="D259" s="293"/>
      <c r="E259" s="293"/>
      <c r="F259" s="293"/>
      <c r="G259" s="294"/>
      <c r="H259" s="300"/>
      <c r="I259" s="295"/>
      <c r="J259" s="295"/>
      <c r="K259" s="296"/>
      <c r="L259" s="301"/>
      <c r="M259" s="297"/>
      <c r="N259" s="298"/>
      <c r="P259" s="190" t="str">
        <f>IF(R259 = "", "", COUNT(R$4:$R259))</f>
        <v/>
      </c>
      <c r="Q259" s="190" t="str">
        <f t="shared" si="31"/>
        <v/>
      </c>
      <c r="R259" s="191" t="str">
        <f t="shared" si="32"/>
        <v/>
      </c>
      <c r="S259" s="192" t="str">
        <f t="shared" si="34"/>
        <v/>
      </c>
      <c r="T259" s="193" t="str">
        <f t="shared" si="35"/>
        <v/>
      </c>
      <c r="U259" s="194" t="str">
        <f t="shared" si="36"/>
        <v/>
      </c>
      <c r="V259" s="195" t="str">
        <f t="shared" si="33"/>
        <v/>
      </c>
      <c r="W259" s="336" t="str">
        <f t="shared" si="37"/>
        <v/>
      </c>
      <c r="X259" s="338" t="str">
        <f t="shared" si="38"/>
        <v/>
      </c>
      <c r="Y259" s="274"/>
      <c r="AR259" t="str">
        <f t="shared" si="39"/>
        <v/>
      </c>
      <c r="AS259" t="str">
        <f t="shared" si="40"/>
        <v/>
      </c>
    </row>
    <row r="260" spans="1:45">
      <c r="A260" s="291"/>
      <c r="B260" s="292"/>
      <c r="C260" s="293"/>
      <c r="D260" s="293"/>
      <c r="E260" s="293"/>
      <c r="F260" s="293"/>
      <c r="G260" s="294"/>
      <c r="H260" s="300"/>
      <c r="I260" s="295"/>
      <c r="J260" s="295"/>
      <c r="K260" s="296"/>
      <c r="L260" s="301"/>
      <c r="M260" s="297"/>
      <c r="N260" s="298"/>
      <c r="P260" s="190" t="str">
        <f>IF(R260 = "", "", COUNT(R$4:$R260))</f>
        <v/>
      </c>
      <c r="Q260" s="190" t="str">
        <f t="shared" ref="Q260:Q323" si="41">IF(C260 &gt; 0, YEAR(B260), "")</f>
        <v/>
      </c>
      <c r="R260" s="191" t="str">
        <f t="shared" ref="R260:R323" si="42">IF(A260="", "", IF(G260="",1,IF(G260="O",1,IF(G260="C",8.4,IF(G260="B",8.4,IF(G260="A",76.8,IF(G260="K",76.8,"ERR")))))))</f>
        <v/>
      </c>
      <c r="S260" s="192" t="str">
        <f t="shared" si="34"/>
        <v/>
      </c>
      <c r="T260" s="193" t="str">
        <f t="shared" si="35"/>
        <v/>
      </c>
      <c r="U260" s="194" t="str">
        <f t="shared" si="36"/>
        <v/>
      </c>
      <c r="V260" s="195" t="str">
        <f t="shared" ref="V260:V323" si="43">IF(IF(M260&lt;&gt;"",G260,"")=0, "O", IF(M260&lt;&gt;"",G260,""))</f>
        <v/>
      </c>
      <c r="W260" s="336" t="str">
        <f t="shared" si="37"/>
        <v/>
      </c>
      <c r="X260" s="338" t="str">
        <f t="shared" si="38"/>
        <v/>
      </c>
      <c r="Y260" s="274"/>
      <c r="AR260" t="str">
        <f t="shared" si="39"/>
        <v/>
      </c>
      <c r="AS260" t="str">
        <f t="shared" si="40"/>
        <v/>
      </c>
    </row>
    <row r="261" spans="1:45">
      <c r="A261" s="291"/>
      <c r="B261" s="292"/>
      <c r="C261" s="293"/>
      <c r="D261" s="293"/>
      <c r="E261" s="293"/>
      <c r="F261" s="293"/>
      <c r="G261" s="294"/>
      <c r="H261" s="300"/>
      <c r="I261" s="295"/>
      <c r="J261" s="295"/>
      <c r="K261" s="296"/>
      <c r="L261" s="301"/>
      <c r="M261" s="297"/>
      <c r="N261" s="298"/>
      <c r="P261" s="190" t="str">
        <f>IF(R261 = "", "", COUNT(R$4:$R261))</f>
        <v/>
      </c>
      <c r="Q261" s="190" t="str">
        <f t="shared" si="41"/>
        <v/>
      </c>
      <c r="R261" s="191" t="str">
        <f t="shared" si="42"/>
        <v/>
      </c>
      <c r="S261" s="192" t="str">
        <f t="shared" ref="S261:S324" si="44">IF(L261&lt;&gt;"",R261,"")</f>
        <v/>
      </c>
      <c r="T261" s="193" t="str">
        <f t="shared" ref="T261:T324" si="45">IF(IF(L261&lt;&gt;"",G261,"")=0, "O", IF(L261&lt;&gt;"",G261,""))</f>
        <v/>
      </c>
      <c r="U261" s="194" t="str">
        <f t="shared" ref="U261:U324" si="46">IF(M261&lt;&gt;"",R261,"")</f>
        <v/>
      </c>
      <c r="V261" s="195" t="str">
        <f t="shared" si="43"/>
        <v/>
      </c>
      <c r="W261" s="336" t="str">
        <f t="shared" ref="W261:W324" si="47">IF(N261&lt;&gt;"",R261,"")</f>
        <v/>
      </c>
      <c r="X261" s="338" t="str">
        <f t="shared" ref="X261:X324" si="48">IF(IF(N261&lt;&gt;"",G261,"")=0, "O", IF(N261&lt;&gt;"",G261,""))</f>
        <v/>
      </c>
      <c r="Y261" s="274"/>
      <c r="AR261" t="str">
        <f t="shared" ref="AR261:AR324" si="49">IF(P261&gt;0, P261, "")</f>
        <v/>
      </c>
      <c r="AS261" t="str">
        <f t="shared" ref="AS261:AS324" si="50">IF(OR(L261="Y",M261="Y",N261="Y"),"Y","")</f>
        <v/>
      </c>
    </row>
    <row r="262" spans="1:45">
      <c r="A262" s="291"/>
      <c r="B262" s="292"/>
      <c r="C262" s="293"/>
      <c r="D262" s="293"/>
      <c r="E262" s="293"/>
      <c r="F262" s="293"/>
      <c r="G262" s="294"/>
      <c r="H262" s="300"/>
      <c r="I262" s="295"/>
      <c r="J262" s="295"/>
      <c r="K262" s="296"/>
      <c r="L262" s="301"/>
      <c r="M262" s="297"/>
      <c r="N262" s="298"/>
      <c r="P262" s="190" t="str">
        <f>IF(R262 = "", "", COUNT(R$4:$R262))</f>
        <v/>
      </c>
      <c r="Q262" s="190" t="str">
        <f t="shared" si="41"/>
        <v/>
      </c>
      <c r="R262" s="191" t="str">
        <f t="shared" si="42"/>
        <v/>
      </c>
      <c r="S262" s="192" t="str">
        <f t="shared" si="44"/>
        <v/>
      </c>
      <c r="T262" s="193" t="str">
        <f t="shared" si="45"/>
        <v/>
      </c>
      <c r="U262" s="194" t="str">
        <f t="shared" si="46"/>
        <v/>
      </c>
      <c r="V262" s="195" t="str">
        <f t="shared" si="43"/>
        <v/>
      </c>
      <c r="W262" s="336" t="str">
        <f t="shared" si="47"/>
        <v/>
      </c>
      <c r="X262" s="338" t="str">
        <f t="shared" si="48"/>
        <v/>
      </c>
      <c r="Y262" s="274"/>
      <c r="AR262" t="str">
        <f t="shared" si="49"/>
        <v/>
      </c>
      <c r="AS262" t="str">
        <f t="shared" si="50"/>
        <v/>
      </c>
    </row>
    <row r="263" spans="1:45">
      <c r="A263" s="291"/>
      <c r="B263" s="292"/>
      <c r="C263" s="293"/>
      <c r="D263" s="293"/>
      <c r="E263" s="293"/>
      <c r="F263" s="293"/>
      <c r="G263" s="294"/>
      <c r="H263" s="300"/>
      <c r="I263" s="295"/>
      <c r="J263" s="295"/>
      <c r="K263" s="296"/>
      <c r="L263" s="301"/>
      <c r="M263" s="297"/>
      <c r="N263" s="298"/>
      <c r="P263" s="190" t="str">
        <f>IF(R263 = "", "", COUNT(R$4:$R263))</f>
        <v/>
      </c>
      <c r="Q263" s="190" t="str">
        <f t="shared" si="41"/>
        <v/>
      </c>
      <c r="R263" s="191" t="str">
        <f t="shared" si="42"/>
        <v/>
      </c>
      <c r="S263" s="192" t="str">
        <f t="shared" si="44"/>
        <v/>
      </c>
      <c r="T263" s="193" t="str">
        <f t="shared" si="45"/>
        <v/>
      </c>
      <c r="U263" s="194" t="str">
        <f t="shared" si="46"/>
        <v/>
      </c>
      <c r="V263" s="195" t="str">
        <f t="shared" si="43"/>
        <v/>
      </c>
      <c r="W263" s="336" t="str">
        <f t="shared" si="47"/>
        <v/>
      </c>
      <c r="X263" s="338" t="str">
        <f t="shared" si="48"/>
        <v/>
      </c>
      <c r="Y263" s="274"/>
      <c r="AR263" t="str">
        <f t="shared" si="49"/>
        <v/>
      </c>
      <c r="AS263" t="str">
        <f t="shared" si="50"/>
        <v/>
      </c>
    </row>
    <row r="264" spans="1:45">
      <c r="A264" s="291"/>
      <c r="B264" s="292"/>
      <c r="C264" s="293"/>
      <c r="D264" s="293"/>
      <c r="E264" s="293"/>
      <c r="F264" s="293"/>
      <c r="G264" s="294"/>
      <c r="H264" s="300"/>
      <c r="I264" s="295"/>
      <c r="J264" s="295"/>
      <c r="K264" s="296"/>
      <c r="L264" s="301"/>
      <c r="M264" s="297"/>
      <c r="N264" s="298"/>
      <c r="P264" s="190" t="str">
        <f>IF(R264 = "", "", COUNT(R$4:$R264))</f>
        <v/>
      </c>
      <c r="Q264" s="190" t="str">
        <f t="shared" si="41"/>
        <v/>
      </c>
      <c r="R264" s="191" t="str">
        <f t="shared" si="42"/>
        <v/>
      </c>
      <c r="S264" s="192" t="str">
        <f t="shared" si="44"/>
        <v/>
      </c>
      <c r="T264" s="193" t="str">
        <f t="shared" si="45"/>
        <v/>
      </c>
      <c r="U264" s="194" t="str">
        <f t="shared" si="46"/>
        <v/>
      </c>
      <c r="V264" s="195" t="str">
        <f t="shared" si="43"/>
        <v/>
      </c>
      <c r="W264" s="336" t="str">
        <f t="shared" si="47"/>
        <v/>
      </c>
      <c r="X264" s="338" t="str">
        <f t="shared" si="48"/>
        <v/>
      </c>
      <c r="Y264" s="274"/>
      <c r="AR264" t="str">
        <f t="shared" si="49"/>
        <v/>
      </c>
      <c r="AS264" t="str">
        <f t="shared" si="50"/>
        <v/>
      </c>
    </row>
    <row r="265" spans="1:45">
      <c r="A265" s="291"/>
      <c r="B265" s="292"/>
      <c r="C265" s="293"/>
      <c r="D265" s="293"/>
      <c r="E265" s="293"/>
      <c r="F265" s="293"/>
      <c r="G265" s="294"/>
      <c r="H265" s="300"/>
      <c r="I265" s="295"/>
      <c r="J265" s="295"/>
      <c r="K265" s="296"/>
      <c r="L265" s="301"/>
      <c r="M265" s="297"/>
      <c r="N265" s="298"/>
      <c r="P265" s="190" t="str">
        <f>IF(R265 = "", "", COUNT(R$4:$R265))</f>
        <v/>
      </c>
      <c r="Q265" s="190" t="str">
        <f t="shared" si="41"/>
        <v/>
      </c>
      <c r="R265" s="191" t="str">
        <f t="shared" si="42"/>
        <v/>
      </c>
      <c r="S265" s="192" t="str">
        <f t="shared" si="44"/>
        <v/>
      </c>
      <c r="T265" s="193" t="str">
        <f t="shared" si="45"/>
        <v/>
      </c>
      <c r="U265" s="194" t="str">
        <f t="shared" si="46"/>
        <v/>
      </c>
      <c r="V265" s="195" t="str">
        <f t="shared" si="43"/>
        <v/>
      </c>
      <c r="W265" s="336" t="str">
        <f t="shared" si="47"/>
        <v/>
      </c>
      <c r="X265" s="338" t="str">
        <f t="shared" si="48"/>
        <v/>
      </c>
      <c r="Y265" s="274"/>
      <c r="AR265" t="str">
        <f t="shared" si="49"/>
        <v/>
      </c>
      <c r="AS265" t="str">
        <f t="shared" si="50"/>
        <v/>
      </c>
    </row>
    <row r="266" spans="1:45">
      <c r="A266" s="291"/>
      <c r="B266" s="292"/>
      <c r="C266" s="293"/>
      <c r="D266" s="293"/>
      <c r="E266" s="293"/>
      <c r="F266" s="293"/>
      <c r="G266" s="294"/>
      <c r="H266" s="300"/>
      <c r="I266" s="295"/>
      <c r="J266" s="295"/>
      <c r="K266" s="296"/>
      <c r="L266" s="301"/>
      <c r="M266" s="297"/>
      <c r="N266" s="298"/>
      <c r="P266" s="190" t="str">
        <f>IF(R266 = "", "", COUNT(R$4:$R266))</f>
        <v/>
      </c>
      <c r="Q266" s="190" t="str">
        <f t="shared" si="41"/>
        <v/>
      </c>
      <c r="R266" s="191" t="str">
        <f t="shared" si="42"/>
        <v/>
      </c>
      <c r="S266" s="192" t="str">
        <f t="shared" si="44"/>
        <v/>
      </c>
      <c r="T266" s="193" t="str">
        <f t="shared" si="45"/>
        <v/>
      </c>
      <c r="U266" s="194" t="str">
        <f t="shared" si="46"/>
        <v/>
      </c>
      <c r="V266" s="195" t="str">
        <f t="shared" si="43"/>
        <v/>
      </c>
      <c r="W266" s="336" t="str">
        <f t="shared" si="47"/>
        <v/>
      </c>
      <c r="X266" s="338" t="str">
        <f t="shared" si="48"/>
        <v/>
      </c>
      <c r="Y266" s="274"/>
      <c r="AR266" t="str">
        <f t="shared" si="49"/>
        <v/>
      </c>
      <c r="AS266" t="str">
        <f t="shared" si="50"/>
        <v/>
      </c>
    </row>
    <row r="267" spans="1:45">
      <c r="A267" s="291"/>
      <c r="B267" s="292"/>
      <c r="C267" s="293"/>
      <c r="D267" s="293"/>
      <c r="E267" s="293"/>
      <c r="F267" s="293"/>
      <c r="G267" s="294"/>
      <c r="H267" s="300"/>
      <c r="I267" s="295"/>
      <c r="J267" s="295"/>
      <c r="K267" s="296"/>
      <c r="L267" s="301"/>
      <c r="M267" s="297"/>
      <c r="N267" s="298"/>
      <c r="P267" s="190" t="str">
        <f>IF(R267 = "", "", COUNT(R$4:$R267))</f>
        <v/>
      </c>
      <c r="Q267" s="190" t="str">
        <f t="shared" si="41"/>
        <v/>
      </c>
      <c r="R267" s="191" t="str">
        <f t="shared" si="42"/>
        <v/>
      </c>
      <c r="S267" s="192" t="str">
        <f t="shared" si="44"/>
        <v/>
      </c>
      <c r="T267" s="193" t="str">
        <f t="shared" si="45"/>
        <v/>
      </c>
      <c r="U267" s="194" t="str">
        <f t="shared" si="46"/>
        <v/>
      </c>
      <c r="V267" s="195" t="str">
        <f t="shared" si="43"/>
        <v/>
      </c>
      <c r="W267" s="336" t="str">
        <f t="shared" si="47"/>
        <v/>
      </c>
      <c r="X267" s="338" t="str">
        <f t="shared" si="48"/>
        <v/>
      </c>
      <c r="Y267" s="274"/>
      <c r="AR267" t="str">
        <f t="shared" si="49"/>
        <v/>
      </c>
      <c r="AS267" t="str">
        <f t="shared" si="50"/>
        <v/>
      </c>
    </row>
    <row r="268" spans="1:45">
      <c r="A268" s="291"/>
      <c r="B268" s="292"/>
      <c r="C268" s="293"/>
      <c r="D268" s="293"/>
      <c r="E268" s="293"/>
      <c r="F268" s="293"/>
      <c r="G268" s="294"/>
      <c r="H268" s="300"/>
      <c r="I268" s="295"/>
      <c r="J268" s="295"/>
      <c r="K268" s="296"/>
      <c r="L268" s="301"/>
      <c r="M268" s="297"/>
      <c r="N268" s="298"/>
      <c r="P268" s="190" t="str">
        <f>IF(R268 = "", "", COUNT(R$4:$R268))</f>
        <v/>
      </c>
      <c r="Q268" s="190" t="str">
        <f t="shared" si="41"/>
        <v/>
      </c>
      <c r="R268" s="191" t="str">
        <f t="shared" si="42"/>
        <v/>
      </c>
      <c r="S268" s="192" t="str">
        <f t="shared" si="44"/>
        <v/>
      </c>
      <c r="T268" s="193" t="str">
        <f t="shared" si="45"/>
        <v/>
      </c>
      <c r="U268" s="194" t="str">
        <f t="shared" si="46"/>
        <v/>
      </c>
      <c r="V268" s="195" t="str">
        <f t="shared" si="43"/>
        <v/>
      </c>
      <c r="W268" s="336" t="str">
        <f t="shared" si="47"/>
        <v/>
      </c>
      <c r="X268" s="338" t="str">
        <f t="shared" si="48"/>
        <v/>
      </c>
      <c r="Y268" s="274"/>
      <c r="AR268" t="str">
        <f t="shared" si="49"/>
        <v/>
      </c>
      <c r="AS268" t="str">
        <f t="shared" si="50"/>
        <v/>
      </c>
    </row>
    <row r="269" spans="1:45">
      <c r="A269" s="291"/>
      <c r="B269" s="292"/>
      <c r="C269" s="293"/>
      <c r="D269" s="293"/>
      <c r="E269" s="293"/>
      <c r="F269" s="293"/>
      <c r="G269" s="294"/>
      <c r="H269" s="300"/>
      <c r="I269" s="295"/>
      <c r="J269" s="295"/>
      <c r="K269" s="296"/>
      <c r="L269" s="301"/>
      <c r="M269" s="297"/>
      <c r="N269" s="298"/>
      <c r="P269" s="190" t="str">
        <f>IF(R269 = "", "", COUNT(R$4:$R269))</f>
        <v/>
      </c>
      <c r="Q269" s="190" t="str">
        <f t="shared" si="41"/>
        <v/>
      </c>
      <c r="R269" s="191" t="str">
        <f t="shared" si="42"/>
        <v/>
      </c>
      <c r="S269" s="192" t="str">
        <f t="shared" si="44"/>
        <v/>
      </c>
      <c r="T269" s="193" t="str">
        <f t="shared" si="45"/>
        <v/>
      </c>
      <c r="U269" s="194" t="str">
        <f t="shared" si="46"/>
        <v/>
      </c>
      <c r="V269" s="195" t="str">
        <f t="shared" si="43"/>
        <v/>
      </c>
      <c r="W269" s="336" t="str">
        <f t="shared" si="47"/>
        <v/>
      </c>
      <c r="X269" s="338" t="str">
        <f t="shared" si="48"/>
        <v/>
      </c>
      <c r="Y269" s="274"/>
      <c r="AR269" t="str">
        <f t="shared" si="49"/>
        <v/>
      </c>
      <c r="AS269" t="str">
        <f t="shared" si="50"/>
        <v/>
      </c>
    </row>
    <row r="270" spans="1:45">
      <c r="A270" s="291"/>
      <c r="B270" s="292"/>
      <c r="C270" s="293"/>
      <c r="D270" s="293"/>
      <c r="E270" s="293"/>
      <c r="F270" s="293"/>
      <c r="G270" s="294"/>
      <c r="H270" s="300"/>
      <c r="I270" s="295"/>
      <c r="J270" s="295"/>
      <c r="K270" s="296"/>
      <c r="L270" s="301"/>
      <c r="M270" s="297"/>
      <c r="N270" s="298"/>
      <c r="P270" s="190" t="str">
        <f>IF(R270 = "", "", COUNT(R$4:$R270))</f>
        <v/>
      </c>
      <c r="Q270" s="190" t="str">
        <f t="shared" si="41"/>
        <v/>
      </c>
      <c r="R270" s="191" t="str">
        <f t="shared" si="42"/>
        <v/>
      </c>
      <c r="S270" s="192" t="str">
        <f t="shared" si="44"/>
        <v/>
      </c>
      <c r="T270" s="193" t="str">
        <f t="shared" si="45"/>
        <v/>
      </c>
      <c r="U270" s="194" t="str">
        <f t="shared" si="46"/>
        <v/>
      </c>
      <c r="V270" s="195" t="str">
        <f t="shared" si="43"/>
        <v/>
      </c>
      <c r="W270" s="336" t="str">
        <f t="shared" si="47"/>
        <v/>
      </c>
      <c r="X270" s="338" t="str">
        <f t="shared" si="48"/>
        <v/>
      </c>
      <c r="Y270" s="274"/>
      <c r="AR270" t="str">
        <f t="shared" si="49"/>
        <v/>
      </c>
      <c r="AS270" t="str">
        <f t="shared" si="50"/>
        <v/>
      </c>
    </row>
    <row r="271" spans="1:45">
      <c r="A271" s="291"/>
      <c r="B271" s="292"/>
      <c r="C271" s="293"/>
      <c r="D271" s="293"/>
      <c r="E271" s="293"/>
      <c r="F271" s="293"/>
      <c r="G271" s="294"/>
      <c r="H271" s="300"/>
      <c r="I271" s="295"/>
      <c r="J271" s="295"/>
      <c r="K271" s="296"/>
      <c r="L271" s="301"/>
      <c r="M271" s="297"/>
      <c r="N271" s="298"/>
      <c r="P271" s="190" t="str">
        <f>IF(R271 = "", "", COUNT(R$4:$R271))</f>
        <v/>
      </c>
      <c r="Q271" s="190" t="str">
        <f t="shared" si="41"/>
        <v/>
      </c>
      <c r="R271" s="191" t="str">
        <f t="shared" si="42"/>
        <v/>
      </c>
      <c r="S271" s="192" t="str">
        <f t="shared" si="44"/>
        <v/>
      </c>
      <c r="T271" s="193" t="str">
        <f t="shared" si="45"/>
        <v/>
      </c>
      <c r="U271" s="194" t="str">
        <f t="shared" si="46"/>
        <v/>
      </c>
      <c r="V271" s="195" t="str">
        <f t="shared" si="43"/>
        <v/>
      </c>
      <c r="W271" s="336" t="str">
        <f t="shared" si="47"/>
        <v/>
      </c>
      <c r="X271" s="338" t="str">
        <f t="shared" si="48"/>
        <v/>
      </c>
      <c r="Y271" s="274"/>
      <c r="AR271" t="str">
        <f t="shared" si="49"/>
        <v/>
      </c>
      <c r="AS271" t="str">
        <f t="shared" si="50"/>
        <v/>
      </c>
    </row>
    <row r="272" spans="1:45">
      <c r="A272" s="291"/>
      <c r="B272" s="292"/>
      <c r="C272" s="293"/>
      <c r="D272" s="293"/>
      <c r="E272" s="293"/>
      <c r="F272" s="293"/>
      <c r="G272" s="294"/>
      <c r="H272" s="300"/>
      <c r="I272" s="295"/>
      <c r="J272" s="295"/>
      <c r="K272" s="296"/>
      <c r="L272" s="301"/>
      <c r="M272" s="297"/>
      <c r="N272" s="298"/>
      <c r="P272" s="190" t="str">
        <f>IF(R272 = "", "", COUNT(R$4:$R272))</f>
        <v/>
      </c>
      <c r="Q272" s="190" t="str">
        <f t="shared" si="41"/>
        <v/>
      </c>
      <c r="R272" s="191" t="str">
        <f t="shared" si="42"/>
        <v/>
      </c>
      <c r="S272" s="192" t="str">
        <f t="shared" si="44"/>
        <v/>
      </c>
      <c r="T272" s="193" t="str">
        <f t="shared" si="45"/>
        <v/>
      </c>
      <c r="U272" s="194" t="str">
        <f t="shared" si="46"/>
        <v/>
      </c>
      <c r="V272" s="195" t="str">
        <f t="shared" si="43"/>
        <v/>
      </c>
      <c r="W272" s="336" t="str">
        <f t="shared" si="47"/>
        <v/>
      </c>
      <c r="X272" s="338" t="str">
        <f t="shared" si="48"/>
        <v/>
      </c>
      <c r="Y272" s="274"/>
      <c r="AR272" t="str">
        <f t="shared" si="49"/>
        <v/>
      </c>
      <c r="AS272" t="str">
        <f t="shared" si="50"/>
        <v/>
      </c>
    </row>
    <row r="273" spans="1:45">
      <c r="A273" s="291"/>
      <c r="B273" s="292"/>
      <c r="C273" s="293"/>
      <c r="D273" s="293"/>
      <c r="E273" s="293"/>
      <c r="F273" s="293"/>
      <c r="G273" s="294"/>
      <c r="H273" s="300"/>
      <c r="I273" s="295"/>
      <c r="J273" s="295"/>
      <c r="K273" s="296"/>
      <c r="L273" s="301"/>
      <c r="M273" s="297"/>
      <c r="N273" s="298"/>
      <c r="P273" s="190" t="str">
        <f>IF(R273 = "", "", COUNT(R$4:$R273))</f>
        <v/>
      </c>
      <c r="Q273" s="190" t="str">
        <f t="shared" si="41"/>
        <v/>
      </c>
      <c r="R273" s="191" t="str">
        <f t="shared" si="42"/>
        <v/>
      </c>
      <c r="S273" s="192" t="str">
        <f t="shared" si="44"/>
        <v/>
      </c>
      <c r="T273" s="193" t="str">
        <f t="shared" si="45"/>
        <v/>
      </c>
      <c r="U273" s="194" t="str">
        <f t="shared" si="46"/>
        <v/>
      </c>
      <c r="V273" s="195" t="str">
        <f t="shared" si="43"/>
        <v/>
      </c>
      <c r="W273" s="336" t="str">
        <f t="shared" si="47"/>
        <v/>
      </c>
      <c r="X273" s="338" t="str">
        <f t="shared" si="48"/>
        <v/>
      </c>
      <c r="Y273" s="274"/>
      <c r="AR273" t="str">
        <f t="shared" si="49"/>
        <v/>
      </c>
      <c r="AS273" t="str">
        <f t="shared" si="50"/>
        <v/>
      </c>
    </row>
    <row r="274" spans="1:45">
      <c r="A274" s="291"/>
      <c r="B274" s="292"/>
      <c r="C274" s="293"/>
      <c r="D274" s="293"/>
      <c r="E274" s="293"/>
      <c r="F274" s="293"/>
      <c r="G274" s="294"/>
      <c r="H274" s="300"/>
      <c r="I274" s="295"/>
      <c r="J274" s="295"/>
      <c r="K274" s="296"/>
      <c r="L274" s="301"/>
      <c r="M274" s="297"/>
      <c r="N274" s="298"/>
      <c r="P274" s="190" t="str">
        <f>IF(R274 = "", "", COUNT(R$4:$R274))</f>
        <v/>
      </c>
      <c r="Q274" s="190" t="str">
        <f t="shared" si="41"/>
        <v/>
      </c>
      <c r="R274" s="191" t="str">
        <f t="shared" si="42"/>
        <v/>
      </c>
      <c r="S274" s="192" t="str">
        <f t="shared" si="44"/>
        <v/>
      </c>
      <c r="T274" s="193" t="str">
        <f t="shared" si="45"/>
        <v/>
      </c>
      <c r="U274" s="194" t="str">
        <f t="shared" si="46"/>
        <v/>
      </c>
      <c r="V274" s="195" t="str">
        <f t="shared" si="43"/>
        <v/>
      </c>
      <c r="W274" s="336" t="str">
        <f t="shared" si="47"/>
        <v/>
      </c>
      <c r="X274" s="338" t="str">
        <f t="shared" si="48"/>
        <v/>
      </c>
      <c r="Y274" s="274"/>
      <c r="AR274" t="str">
        <f t="shared" si="49"/>
        <v/>
      </c>
      <c r="AS274" t="str">
        <f t="shared" si="50"/>
        <v/>
      </c>
    </row>
    <row r="275" spans="1:45">
      <c r="A275" s="291"/>
      <c r="B275" s="292"/>
      <c r="C275" s="293"/>
      <c r="D275" s="293"/>
      <c r="E275" s="293"/>
      <c r="F275" s="293"/>
      <c r="G275" s="294"/>
      <c r="H275" s="300"/>
      <c r="I275" s="295"/>
      <c r="J275" s="295"/>
      <c r="K275" s="296"/>
      <c r="L275" s="301"/>
      <c r="M275" s="297"/>
      <c r="N275" s="298"/>
      <c r="P275" s="190" t="str">
        <f>IF(R275 = "", "", COUNT(R$4:$R275))</f>
        <v/>
      </c>
      <c r="Q275" s="190" t="str">
        <f t="shared" si="41"/>
        <v/>
      </c>
      <c r="R275" s="191" t="str">
        <f t="shared" si="42"/>
        <v/>
      </c>
      <c r="S275" s="192" t="str">
        <f t="shared" si="44"/>
        <v/>
      </c>
      <c r="T275" s="193" t="str">
        <f t="shared" si="45"/>
        <v/>
      </c>
      <c r="U275" s="194" t="str">
        <f t="shared" si="46"/>
        <v/>
      </c>
      <c r="V275" s="195" t="str">
        <f t="shared" si="43"/>
        <v/>
      </c>
      <c r="W275" s="336" t="str">
        <f t="shared" si="47"/>
        <v/>
      </c>
      <c r="X275" s="338" t="str">
        <f t="shared" si="48"/>
        <v/>
      </c>
      <c r="Y275" s="274"/>
      <c r="AR275" t="str">
        <f t="shared" si="49"/>
        <v/>
      </c>
      <c r="AS275" t="str">
        <f t="shared" si="50"/>
        <v/>
      </c>
    </row>
    <row r="276" spans="1:45">
      <c r="A276" s="291"/>
      <c r="B276" s="292"/>
      <c r="C276" s="293"/>
      <c r="D276" s="293"/>
      <c r="E276" s="293"/>
      <c r="F276" s="293"/>
      <c r="G276" s="294"/>
      <c r="H276" s="300"/>
      <c r="I276" s="295"/>
      <c r="J276" s="295"/>
      <c r="K276" s="296"/>
      <c r="L276" s="301"/>
      <c r="M276" s="297"/>
      <c r="N276" s="298"/>
      <c r="P276" s="190" t="str">
        <f>IF(R276 = "", "", COUNT(R$4:$R276))</f>
        <v/>
      </c>
      <c r="Q276" s="190" t="str">
        <f t="shared" si="41"/>
        <v/>
      </c>
      <c r="R276" s="191" t="str">
        <f t="shared" si="42"/>
        <v/>
      </c>
      <c r="S276" s="192" t="str">
        <f t="shared" si="44"/>
        <v/>
      </c>
      <c r="T276" s="193" t="str">
        <f t="shared" si="45"/>
        <v/>
      </c>
      <c r="U276" s="194" t="str">
        <f t="shared" si="46"/>
        <v/>
      </c>
      <c r="V276" s="195" t="str">
        <f t="shared" si="43"/>
        <v/>
      </c>
      <c r="W276" s="336" t="str">
        <f t="shared" si="47"/>
        <v/>
      </c>
      <c r="X276" s="338" t="str">
        <f t="shared" si="48"/>
        <v/>
      </c>
      <c r="Y276" s="274"/>
      <c r="AR276" t="str">
        <f t="shared" si="49"/>
        <v/>
      </c>
      <c r="AS276" t="str">
        <f t="shared" si="50"/>
        <v/>
      </c>
    </row>
    <row r="277" spans="1:45">
      <c r="A277" s="291"/>
      <c r="B277" s="292"/>
      <c r="C277" s="293"/>
      <c r="D277" s="293"/>
      <c r="E277" s="293"/>
      <c r="F277" s="293"/>
      <c r="G277" s="294"/>
      <c r="H277" s="300"/>
      <c r="I277" s="295"/>
      <c r="J277" s="295"/>
      <c r="K277" s="296"/>
      <c r="L277" s="301"/>
      <c r="M277" s="297"/>
      <c r="N277" s="298"/>
      <c r="P277" s="190" t="str">
        <f>IF(R277 = "", "", COUNT(R$4:$R277))</f>
        <v/>
      </c>
      <c r="Q277" s="190" t="str">
        <f t="shared" si="41"/>
        <v/>
      </c>
      <c r="R277" s="191" t="str">
        <f t="shared" si="42"/>
        <v/>
      </c>
      <c r="S277" s="192" t="str">
        <f t="shared" si="44"/>
        <v/>
      </c>
      <c r="T277" s="193" t="str">
        <f t="shared" si="45"/>
        <v/>
      </c>
      <c r="U277" s="194" t="str">
        <f t="shared" si="46"/>
        <v/>
      </c>
      <c r="V277" s="195" t="str">
        <f t="shared" si="43"/>
        <v/>
      </c>
      <c r="W277" s="336" t="str">
        <f t="shared" si="47"/>
        <v/>
      </c>
      <c r="X277" s="338" t="str">
        <f t="shared" si="48"/>
        <v/>
      </c>
      <c r="Y277" s="274"/>
      <c r="AR277" t="str">
        <f t="shared" si="49"/>
        <v/>
      </c>
      <c r="AS277" t="str">
        <f t="shared" si="50"/>
        <v/>
      </c>
    </row>
    <row r="278" spans="1:45">
      <c r="A278" s="291"/>
      <c r="B278" s="292"/>
      <c r="C278" s="293"/>
      <c r="D278" s="293"/>
      <c r="E278" s="293"/>
      <c r="F278" s="293"/>
      <c r="G278" s="294"/>
      <c r="H278" s="300"/>
      <c r="I278" s="295"/>
      <c r="J278" s="295"/>
      <c r="K278" s="296"/>
      <c r="L278" s="301"/>
      <c r="M278" s="297"/>
      <c r="N278" s="298"/>
      <c r="P278" s="190" t="str">
        <f>IF(R278 = "", "", COUNT(R$4:$R278))</f>
        <v/>
      </c>
      <c r="Q278" s="190" t="str">
        <f t="shared" si="41"/>
        <v/>
      </c>
      <c r="R278" s="191" t="str">
        <f t="shared" si="42"/>
        <v/>
      </c>
      <c r="S278" s="192" t="str">
        <f t="shared" si="44"/>
        <v/>
      </c>
      <c r="T278" s="193" t="str">
        <f t="shared" si="45"/>
        <v/>
      </c>
      <c r="U278" s="194" t="str">
        <f t="shared" si="46"/>
        <v/>
      </c>
      <c r="V278" s="195" t="str">
        <f t="shared" si="43"/>
        <v/>
      </c>
      <c r="W278" s="336" t="str">
        <f t="shared" si="47"/>
        <v/>
      </c>
      <c r="X278" s="338" t="str">
        <f t="shared" si="48"/>
        <v/>
      </c>
      <c r="Y278" s="274"/>
      <c r="AR278" t="str">
        <f t="shared" si="49"/>
        <v/>
      </c>
      <c r="AS278" t="str">
        <f t="shared" si="50"/>
        <v/>
      </c>
    </row>
    <row r="279" spans="1:45">
      <c r="A279" s="291"/>
      <c r="B279" s="292"/>
      <c r="C279" s="293"/>
      <c r="D279" s="293"/>
      <c r="E279" s="293"/>
      <c r="F279" s="293"/>
      <c r="G279" s="294"/>
      <c r="H279" s="300"/>
      <c r="I279" s="295"/>
      <c r="J279" s="295"/>
      <c r="K279" s="296"/>
      <c r="L279" s="301"/>
      <c r="M279" s="297"/>
      <c r="N279" s="298"/>
      <c r="P279" s="190" t="str">
        <f>IF(R279 = "", "", COUNT(R$4:$R279))</f>
        <v/>
      </c>
      <c r="Q279" s="190" t="str">
        <f t="shared" si="41"/>
        <v/>
      </c>
      <c r="R279" s="191" t="str">
        <f t="shared" si="42"/>
        <v/>
      </c>
      <c r="S279" s="192" t="str">
        <f t="shared" si="44"/>
        <v/>
      </c>
      <c r="T279" s="193" t="str">
        <f t="shared" si="45"/>
        <v/>
      </c>
      <c r="U279" s="194" t="str">
        <f t="shared" si="46"/>
        <v/>
      </c>
      <c r="V279" s="195" t="str">
        <f t="shared" si="43"/>
        <v/>
      </c>
      <c r="W279" s="336" t="str">
        <f t="shared" si="47"/>
        <v/>
      </c>
      <c r="X279" s="338" t="str">
        <f t="shared" si="48"/>
        <v/>
      </c>
      <c r="Y279" s="274"/>
      <c r="AR279" t="str">
        <f t="shared" si="49"/>
        <v/>
      </c>
      <c r="AS279" t="str">
        <f t="shared" si="50"/>
        <v/>
      </c>
    </row>
    <row r="280" spans="1:45">
      <c r="A280" s="291"/>
      <c r="B280" s="292"/>
      <c r="C280" s="293"/>
      <c r="D280" s="293"/>
      <c r="E280" s="293"/>
      <c r="F280" s="293"/>
      <c r="G280" s="294"/>
      <c r="H280" s="300"/>
      <c r="I280" s="295"/>
      <c r="J280" s="295"/>
      <c r="K280" s="296"/>
      <c r="L280" s="301"/>
      <c r="M280" s="297"/>
      <c r="N280" s="298"/>
      <c r="P280" s="190" t="str">
        <f>IF(R280 = "", "", COUNT(R$4:$R280))</f>
        <v/>
      </c>
      <c r="Q280" s="190" t="str">
        <f t="shared" si="41"/>
        <v/>
      </c>
      <c r="R280" s="191" t="str">
        <f t="shared" si="42"/>
        <v/>
      </c>
      <c r="S280" s="192" t="str">
        <f t="shared" si="44"/>
        <v/>
      </c>
      <c r="T280" s="193" t="str">
        <f t="shared" si="45"/>
        <v/>
      </c>
      <c r="U280" s="194" t="str">
        <f t="shared" si="46"/>
        <v/>
      </c>
      <c r="V280" s="195" t="str">
        <f t="shared" si="43"/>
        <v/>
      </c>
      <c r="W280" s="336" t="str">
        <f t="shared" si="47"/>
        <v/>
      </c>
      <c r="X280" s="338" t="str">
        <f t="shared" si="48"/>
        <v/>
      </c>
      <c r="Y280" s="274"/>
      <c r="AR280" t="str">
        <f t="shared" si="49"/>
        <v/>
      </c>
      <c r="AS280" t="str">
        <f t="shared" si="50"/>
        <v/>
      </c>
    </row>
    <row r="281" spans="1:45">
      <c r="A281" s="291"/>
      <c r="B281" s="292"/>
      <c r="C281" s="293"/>
      <c r="D281" s="293"/>
      <c r="E281" s="293"/>
      <c r="F281" s="293"/>
      <c r="G281" s="294"/>
      <c r="H281" s="300"/>
      <c r="I281" s="295"/>
      <c r="J281" s="295"/>
      <c r="K281" s="296"/>
      <c r="L281" s="301"/>
      <c r="M281" s="297"/>
      <c r="N281" s="298"/>
      <c r="P281" s="190" t="str">
        <f>IF(R281 = "", "", COUNT(R$4:$R281))</f>
        <v/>
      </c>
      <c r="Q281" s="190" t="str">
        <f t="shared" si="41"/>
        <v/>
      </c>
      <c r="R281" s="191" t="str">
        <f t="shared" si="42"/>
        <v/>
      </c>
      <c r="S281" s="192" t="str">
        <f t="shared" si="44"/>
        <v/>
      </c>
      <c r="T281" s="193" t="str">
        <f t="shared" si="45"/>
        <v/>
      </c>
      <c r="U281" s="194" t="str">
        <f t="shared" si="46"/>
        <v/>
      </c>
      <c r="V281" s="195" t="str">
        <f t="shared" si="43"/>
        <v/>
      </c>
      <c r="W281" s="336" t="str">
        <f t="shared" si="47"/>
        <v/>
      </c>
      <c r="X281" s="338" t="str">
        <f t="shared" si="48"/>
        <v/>
      </c>
      <c r="Y281" s="274"/>
      <c r="AR281" t="str">
        <f t="shared" si="49"/>
        <v/>
      </c>
      <c r="AS281" t="str">
        <f t="shared" si="50"/>
        <v/>
      </c>
    </row>
    <row r="282" spans="1:45">
      <c r="A282" s="291"/>
      <c r="B282" s="292"/>
      <c r="C282" s="293"/>
      <c r="D282" s="293"/>
      <c r="E282" s="293"/>
      <c r="F282" s="293"/>
      <c r="G282" s="294"/>
      <c r="H282" s="300"/>
      <c r="I282" s="295"/>
      <c r="J282" s="295"/>
      <c r="K282" s="296"/>
      <c r="L282" s="301"/>
      <c r="M282" s="297"/>
      <c r="N282" s="298"/>
      <c r="P282" s="190" t="str">
        <f>IF(R282 = "", "", COUNT(R$4:$R282))</f>
        <v/>
      </c>
      <c r="Q282" s="190" t="str">
        <f t="shared" si="41"/>
        <v/>
      </c>
      <c r="R282" s="191" t="str">
        <f t="shared" si="42"/>
        <v/>
      </c>
      <c r="S282" s="192" t="str">
        <f t="shared" si="44"/>
        <v/>
      </c>
      <c r="T282" s="193" t="str">
        <f t="shared" si="45"/>
        <v/>
      </c>
      <c r="U282" s="194" t="str">
        <f t="shared" si="46"/>
        <v/>
      </c>
      <c r="V282" s="195" t="str">
        <f t="shared" si="43"/>
        <v/>
      </c>
      <c r="W282" s="336" t="str">
        <f t="shared" si="47"/>
        <v/>
      </c>
      <c r="X282" s="338" t="str">
        <f t="shared" si="48"/>
        <v/>
      </c>
      <c r="Y282" s="274"/>
      <c r="AR282" t="str">
        <f t="shared" si="49"/>
        <v/>
      </c>
      <c r="AS282" t="str">
        <f t="shared" si="50"/>
        <v/>
      </c>
    </row>
    <row r="283" spans="1:45">
      <c r="A283" s="291"/>
      <c r="B283" s="292"/>
      <c r="C283" s="293"/>
      <c r="D283" s="293"/>
      <c r="E283" s="293"/>
      <c r="F283" s="293"/>
      <c r="G283" s="294"/>
      <c r="H283" s="300"/>
      <c r="I283" s="295"/>
      <c r="J283" s="295"/>
      <c r="K283" s="296"/>
      <c r="L283" s="301"/>
      <c r="M283" s="297"/>
      <c r="N283" s="298"/>
      <c r="P283" s="190" t="str">
        <f>IF(R283 = "", "", COUNT(R$4:$R283))</f>
        <v/>
      </c>
      <c r="Q283" s="190" t="str">
        <f t="shared" si="41"/>
        <v/>
      </c>
      <c r="R283" s="191" t="str">
        <f t="shared" si="42"/>
        <v/>
      </c>
      <c r="S283" s="192" t="str">
        <f t="shared" si="44"/>
        <v/>
      </c>
      <c r="T283" s="193" t="str">
        <f t="shared" si="45"/>
        <v/>
      </c>
      <c r="U283" s="194" t="str">
        <f t="shared" si="46"/>
        <v/>
      </c>
      <c r="V283" s="195" t="str">
        <f t="shared" si="43"/>
        <v/>
      </c>
      <c r="W283" s="336" t="str">
        <f t="shared" si="47"/>
        <v/>
      </c>
      <c r="X283" s="338" t="str">
        <f t="shared" si="48"/>
        <v/>
      </c>
      <c r="Y283" s="274"/>
      <c r="AR283" t="str">
        <f t="shared" si="49"/>
        <v/>
      </c>
      <c r="AS283" t="str">
        <f t="shared" si="50"/>
        <v/>
      </c>
    </row>
    <row r="284" spans="1:45">
      <c r="A284" s="291"/>
      <c r="B284" s="292"/>
      <c r="C284" s="293"/>
      <c r="D284" s="293"/>
      <c r="E284" s="293"/>
      <c r="F284" s="293"/>
      <c r="G284" s="294"/>
      <c r="H284" s="300"/>
      <c r="I284" s="295"/>
      <c r="J284" s="295"/>
      <c r="K284" s="296"/>
      <c r="L284" s="301"/>
      <c r="M284" s="297"/>
      <c r="N284" s="298"/>
      <c r="P284" s="190" t="str">
        <f>IF(R284 = "", "", COUNT(R$4:$R284))</f>
        <v/>
      </c>
      <c r="Q284" s="190" t="str">
        <f t="shared" si="41"/>
        <v/>
      </c>
      <c r="R284" s="191" t="str">
        <f t="shared" si="42"/>
        <v/>
      </c>
      <c r="S284" s="192" t="str">
        <f t="shared" si="44"/>
        <v/>
      </c>
      <c r="T284" s="193" t="str">
        <f t="shared" si="45"/>
        <v/>
      </c>
      <c r="U284" s="194" t="str">
        <f t="shared" si="46"/>
        <v/>
      </c>
      <c r="V284" s="195" t="str">
        <f t="shared" si="43"/>
        <v/>
      </c>
      <c r="W284" s="336" t="str">
        <f t="shared" si="47"/>
        <v/>
      </c>
      <c r="X284" s="338" t="str">
        <f t="shared" si="48"/>
        <v/>
      </c>
      <c r="Y284" s="274"/>
      <c r="AR284" t="str">
        <f t="shared" si="49"/>
        <v/>
      </c>
      <c r="AS284" t="str">
        <f t="shared" si="50"/>
        <v/>
      </c>
    </row>
    <row r="285" spans="1:45">
      <c r="A285" s="291"/>
      <c r="B285" s="292"/>
      <c r="C285" s="293"/>
      <c r="D285" s="293"/>
      <c r="E285" s="293"/>
      <c r="F285" s="293"/>
      <c r="G285" s="294"/>
      <c r="H285" s="300"/>
      <c r="I285" s="295"/>
      <c r="J285" s="295"/>
      <c r="K285" s="296"/>
      <c r="L285" s="301"/>
      <c r="M285" s="297"/>
      <c r="N285" s="298"/>
      <c r="P285" s="190" t="str">
        <f>IF(R285 = "", "", COUNT(R$4:$R285))</f>
        <v/>
      </c>
      <c r="Q285" s="190" t="str">
        <f t="shared" si="41"/>
        <v/>
      </c>
      <c r="R285" s="191" t="str">
        <f t="shared" si="42"/>
        <v/>
      </c>
      <c r="S285" s="192" t="str">
        <f t="shared" si="44"/>
        <v/>
      </c>
      <c r="T285" s="193" t="str">
        <f t="shared" si="45"/>
        <v/>
      </c>
      <c r="U285" s="194" t="str">
        <f t="shared" si="46"/>
        <v/>
      </c>
      <c r="V285" s="195" t="str">
        <f t="shared" si="43"/>
        <v/>
      </c>
      <c r="W285" s="336" t="str">
        <f t="shared" si="47"/>
        <v/>
      </c>
      <c r="X285" s="338" t="str">
        <f t="shared" si="48"/>
        <v/>
      </c>
      <c r="Y285" s="274"/>
      <c r="AR285" t="str">
        <f t="shared" si="49"/>
        <v/>
      </c>
      <c r="AS285" t="str">
        <f t="shared" si="50"/>
        <v/>
      </c>
    </row>
    <row r="286" spans="1:45">
      <c r="A286" s="291"/>
      <c r="B286" s="292"/>
      <c r="C286" s="293"/>
      <c r="D286" s="293"/>
      <c r="E286" s="293"/>
      <c r="F286" s="293"/>
      <c r="G286" s="294"/>
      <c r="H286" s="300"/>
      <c r="I286" s="295"/>
      <c r="J286" s="295"/>
      <c r="K286" s="296"/>
      <c r="L286" s="301"/>
      <c r="M286" s="297"/>
      <c r="N286" s="298"/>
      <c r="P286" s="190" t="str">
        <f>IF(R286 = "", "", COUNT(R$4:$R286))</f>
        <v/>
      </c>
      <c r="Q286" s="190" t="str">
        <f t="shared" si="41"/>
        <v/>
      </c>
      <c r="R286" s="191" t="str">
        <f t="shared" si="42"/>
        <v/>
      </c>
      <c r="S286" s="192" t="str">
        <f t="shared" si="44"/>
        <v/>
      </c>
      <c r="T286" s="193" t="str">
        <f t="shared" si="45"/>
        <v/>
      </c>
      <c r="U286" s="194" t="str">
        <f t="shared" si="46"/>
        <v/>
      </c>
      <c r="V286" s="195" t="str">
        <f t="shared" si="43"/>
        <v/>
      </c>
      <c r="W286" s="336" t="str">
        <f t="shared" si="47"/>
        <v/>
      </c>
      <c r="X286" s="338" t="str">
        <f t="shared" si="48"/>
        <v/>
      </c>
      <c r="Y286" s="274"/>
      <c r="AR286" t="str">
        <f t="shared" si="49"/>
        <v/>
      </c>
      <c r="AS286" t="str">
        <f t="shared" si="50"/>
        <v/>
      </c>
    </row>
    <row r="287" spans="1:45">
      <c r="A287" s="291"/>
      <c r="B287" s="292"/>
      <c r="C287" s="293"/>
      <c r="D287" s="293"/>
      <c r="E287" s="293"/>
      <c r="F287" s="293"/>
      <c r="G287" s="294"/>
      <c r="H287" s="300"/>
      <c r="I287" s="295"/>
      <c r="J287" s="295"/>
      <c r="K287" s="296"/>
      <c r="L287" s="301"/>
      <c r="M287" s="297"/>
      <c r="N287" s="298"/>
      <c r="P287" s="190" t="str">
        <f>IF(R287 = "", "", COUNT(R$4:$R287))</f>
        <v/>
      </c>
      <c r="Q287" s="190" t="str">
        <f t="shared" si="41"/>
        <v/>
      </c>
      <c r="R287" s="191" t="str">
        <f t="shared" si="42"/>
        <v/>
      </c>
      <c r="S287" s="192" t="str">
        <f t="shared" si="44"/>
        <v/>
      </c>
      <c r="T287" s="193" t="str">
        <f t="shared" si="45"/>
        <v/>
      </c>
      <c r="U287" s="194" t="str">
        <f t="shared" si="46"/>
        <v/>
      </c>
      <c r="V287" s="195" t="str">
        <f t="shared" si="43"/>
        <v/>
      </c>
      <c r="W287" s="336" t="str">
        <f t="shared" si="47"/>
        <v/>
      </c>
      <c r="X287" s="338" t="str">
        <f t="shared" si="48"/>
        <v/>
      </c>
      <c r="Y287" s="274"/>
      <c r="AR287" t="str">
        <f t="shared" si="49"/>
        <v/>
      </c>
      <c r="AS287" t="str">
        <f t="shared" si="50"/>
        <v/>
      </c>
    </row>
    <row r="288" spans="1:45">
      <c r="A288" s="291"/>
      <c r="B288" s="292"/>
      <c r="C288" s="293"/>
      <c r="D288" s="293"/>
      <c r="E288" s="293"/>
      <c r="F288" s="293"/>
      <c r="G288" s="294"/>
      <c r="H288" s="300"/>
      <c r="I288" s="295"/>
      <c r="J288" s="295"/>
      <c r="K288" s="296"/>
      <c r="L288" s="301"/>
      <c r="M288" s="297"/>
      <c r="N288" s="298"/>
      <c r="P288" s="190" t="str">
        <f>IF(R288 = "", "", COUNT(R$4:$R288))</f>
        <v/>
      </c>
      <c r="Q288" s="190" t="str">
        <f t="shared" si="41"/>
        <v/>
      </c>
      <c r="R288" s="191" t="str">
        <f t="shared" si="42"/>
        <v/>
      </c>
      <c r="S288" s="192" t="str">
        <f t="shared" si="44"/>
        <v/>
      </c>
      <c r="T288" s="193" t="str">
        <f t="shared" si="45"/>
        <v/>
      </c>
      <c r="U288" s="194" t="str">
        <f t="shared" si="46"/>
        <v/>
      </c>
      <c r="V288" s="195" t="str">
        <f t="shared" si="43"/>
        <v/>
      </c>
      <c r="W288" s="336" t="str">
        <f t="shared" si="47"/>
        <v/>
      </c>
      <c r="X288" s="338" t="str">
        <f t="shared" si="48"/>
        <v/>
      </c>
      <c r="Y288" s="274"/>
      <c r="AR288" t="str">
        <f t="shared" si="49"/>
        <v/>
      </c>
      <c r="AS288" t="str">
        <f t="shared" si="50"/>
        <v/>
      </c>
    </row>
    <row r="289" spans="1:45">
      <c r="A289" s="291"/>
      <c r="B289" s="292"/>
      <c r="C289" s="293"/>
      <c r="D289" s="293"/>
      <c r="E289" s="293"/>
      <c r="F289" s="293"/>
      <c r="G289" s="294"/>
      <c r="H289" s="300"/>
      <c r="I289" s="295"/>
      <c r="J289" s="295"/>
      <c r="K289" s="296"/>
      <c r="L289" s="301"/>
      <c r="M289" s="297"/>
      <c r="N289" s="298"/>
      <c r="P289" s="190" t="str">
        <f>IF(R289 = "", "", COUNT(R$4:$R289))</f>
        <v/>
      </c>
      <c r="Q289" s="190" t="str">
        <f t="shared" si="41"/>
        <v/>
      </c>
      <c r="R289" s="191" t="str">
        <f t="shared" si="42"/>
        <v/>
      </c>
      <c r="S289" s="192" t="str">
        <f t="shared" si="44"/>
        <v/>
      </c>
      <c r="T289" s="193" t="str">
        <f t="shared" si="45"/>
        <v/>
      </c>
      <c r="U289" s="194" t="str">
        <f t="shared" si="46"/>
        <v/>
      </c>
      <c r="V289" s="195" t="str">
        <f t="shared" si="43"/>
        <v/>
      </c>
      <c r="W289" s="336" t="str">
        <f t="shared" si="47"/>
        <v/>
      </c>
      <c r="X289" s="338" t="str">
        <f t="shared" si="48"/>
        <v/>
      </c>
      <c r="Y289" s="274"/>
      <c r="AR289" t="str">
        <f t="shared" si="49"/>
        <v/>
      </c>
      <c r="AS289" t="str">
        <f t="shared" si="50"/>
        <v/>
      </c>
    </row>
    <row r="290" spans="1:45">
      <c r="A290" s="291"/>
      <c r="B290" s="292"/>
      <c r="C290" s="293"/>
      <c r="D290" s="293"/>
      <c r="E290" s="293"/>
      <c r="F290" s="293"/>
      <c r="G290" s="294"/>
      <c r="H290" s="300"/>
      <c r="I290" s="295"/>
      <c r="J290" s="295"/>
      <c r="K290" s="296"/>
      <c r="L290" s="301"/>
      <c r="M290" s="297"/>
      <c r="N290" s="298"/>
      <c r="P290" s="190" t="str">
        <f>IF(R290 = "", "", COUNT(R$4:$R290))</f>
        <v/>
      </c>
      <c r="Q290" s="190" t="str">
        <f t="shared" si="41"/>
        <v/>
      </c>
      <c r="R290" s="191" t="str">
        <f t="shared" si="42"/>
        <v/>
      </c>
      <c r="S290" s="192" t="str">
        <f t="shared" si="44"/>
        <v/>
      </c>
      <c r="T290" s="193" t="str">
        <f t="shared" si="45"/>
        <v/>
      </c>
      <c r="U290" s="194" t="str">
        <f t="shared" si="46"/>
        <v/>
      </c>
      <c r="V290" s="195" t="str">
        <f t="shared" si="43"/>
        <v/>
      </c>
      <c r="W290" s="336" t="str">
        <f t="shared" si="47"/>
        <v/>
      </c>
      <c r="X290" s="338" t="str">
        <f t="shared" si="48"/>
        <v/>
      </c>
      <c r="Y290" s="274"/>
      <c r="AR290" t="str">
        <f t="shared" si="49"/>
        <v/>
      </c>
      <c r="AS290" t="str">
        <f t="shared" si="50"/>
        <v/>
      </c>
    </row>
    <row r="291" spans="1:45">
      <c r="A291" s="291"/>
      <c r="B291" s="292"/>
      <c r="C291" s="293"/>
      <c r="D291" s="293"/>
      <c r="E291" s="293"/>
      <c r="F291" s="293"/>
      <c r="G291" s="294"/>
      <c r="H291" s="300"/>
      <c r="I291" s="295"/>
      <c r="J291" s="295"/>
      <c r="K291" s="296"/>
      <c r="L291" s="301"/>
      <c r="M291" s="297"/>
      <c r="N291" s="298"/>
      <c r="P291" s="190" t="str">
        <f>IF(R291 = "", "", COUNT(R$4:$R291))</f>
        <v/>
      </c>
      <c r="Q291" s="190" t="str">
        <f t="shared" si="41"/>
        <v/>
      </c>
      <c r="R291" s="191" t="str">
        <f t="shared" si="42"/>
        <v/>
      </c>
      <c r="S291" s="192" t="str">
        <f t="shared" si="44"/>
        <v/>
      </c>
      <c r="T291" s="193" t="str">
        <f t="shared" si="45"/>
        <v/>
      </c>
      <c r="U291" s="194" t="str">
        <f t="shared" si="46"/>
        <v/>
      </c>
      <c r="V291" s="195" t="str">
        <f t="shared" si="43"/>
        <v/>
      </c>
      <c r="W291" s="336" t="str">
        <f t="shared" si="47"/>
        <v/>
      </c>
      <c r="X291" s="338" t="str">
        <f t="shared" si="48"/>
        <v/>
      </c>
      <c r="Y291" s="274"/>
      <c r="AR291" t="str">
        <f t="shared" si="49"/>
        <v/>
      </c>
      <c r="AS291" t="str">
        <f t="shared" si="50"/>
        <v/>
      </c>
    </row>
    <row r="292" spans="1:45">
      <c r="A292" s="291"/>
      <c r="B292" s="292"/>
      <c r="C292" s="293"/>
      <c r="D292" s="293"/>
      <c r="E292" s="293"/>
      <c r="F292" s="293"/>
      <c r="G292" s="294"/>
      <c r="H292" s="300"/>
      <c r="I292" s="295"/>
      <c r="J292" s="295"/>
      <c r="K292" s="296"/>
      <c r="L292" s="301"/>
      <c r="M292" s="297"/>
      <c r="N292" s="298"/>
      <c r="P292" s="190" t="str">
        <f>IF(R292 = "", "", COUNT(R$4:$R292))</f>
        <v/>
      </c>
      <c r="Q292" s="190" t="str">
        <f t="shared" si="41"/>
        <v/>
      </c>
      <c r="R292" s="191" t="str">
        <f t="shared" si="42"/>
        <v/>
      </c>
      <c r="S292" s="192" t="str">
        <f t="shared" si="44"/>
        <v/>
      </c>
      <c r="T292" s="193" t="str">
        <f t="shared" si="45"/>
        <v/>
      </c>
      <c r="U292" s="194" t="str">
        <f t="shared" si="46"/>
        <v/>
      </c>
      <c r="V292" s="195" t="str">
        <f t="shared" si="43"/>
        <v/>
      </c>
      <c r="W292" s="336" t="str">
        <f t="shared" si="47"/>
        <v/>
      </c>
      <c r="X292" s="338" t="str">
        <f t="shared" si="48"/>
        <v/>
      </c>
      <c r="Y292" s="274"/>
      <c r="AR292" t="str">
        <f t="shared" si="49"/>
        <v/>
      </c>
      <c r="AS292" t="str">
        <f t="shared" si="50"/>
        <v/>
      </c>
    </row>
    <row r="293" spans="1:45">
      <c r="A293" s="291"/>
      <c r="B293" s="292"/>
      <c r="C293" s="293"/>
      <c r="D293" s="293"/>
      <c r="E293" s="293"/>
      <c r="F293" s="293"/>
      <c r="G293" s="294"/>
      <c r="H293" s="300"/>
      <c r="I293" s="295"/>
      <c r="J293" s="295"/>
      <c r="K293" s="296"/>
      <c r="L293" s="301"/>
      <c r="M293" s="297"/>
      <c r="N293" s="298"/>
      <c r="P293" s="190" t="str">
        <f>IF(R293 = "", "", COUNT(R$4:$R293))</f>
        <v/>
      </c>
      <c r="Q293" s="190" t="str">
        <f t="shared" si="41"/>
        <v/>
      </c>
      <c r="R293" s="191" t="str">
        <f t="shared" si="42"/>
        <v/>
      </c>
      <c r="S293" s="192" t="str">
        <f t="shared" si="44"/>
        <v/>
      </c>
      <c r="T293" s="193" t="str">
        <f t="shared" si="45"/>
        <v/>
      </c>
      <c r="U293" s="194" t="str">
        <f t="shared" si="46"/>
        <v/>
      </c>
      <c r="V293" s="195" t="str">
        <f t="shared" si="43"/>
        <v/>
      </c>
      <c r="W293" s="336" t="str">
        <f t="shared" si="47"/>
        <v/>
      </c>
      <c r="X293" s="338" t="str">
        <f t="shared" si="48"/>
        <v/>
      </c>
      <c r="Y293" s="274"/>
      <c r="AR293" t="str">
        <f t="shared" si="49"/>
        <v/>
      </c>
      <c r="AS293" t="str">
        <f t="shared" si="50"/>
        <v/>
      </c>
    </row>
    <row r="294" spans="1:45">
      <c r="A294" s="291"/>
      <c r="B294" s="292"/>
      <c r="C294" s="293"/>
      <c r="D294" s="293"/>
      <c r="E294" s="293"/>
      <c r="F294" s="293"/>
      <c r="G294" s="294"/>
      <c r="H294" s="300"/>
      <c r="I294" s="295"/>
      <c r="J294" s="295"/>
      <c r="K294" s="296"/>
      <c r="L294" s="301"/>
      <c r="M294" s="297"/>
      <c r="N294" s="298"/>
      <c r="P294" s="190" t="str">
        <f>IF(R294 = "", "", COUNT(R$4:$R294))</f>
        <v/>
      </c>
      <c r="Q294" s="190" t="str">
        <f t="shared" si="41"/>
        <v/>
      </c>
      <c r="R294" s="191" t="str">
        <f t="shared" si="42"/>
        <v/>
      </c>
      <c r="S294" s="192" t="str">
        <f t="shared" si="44"/>
        <v/>
      </c>
      <c r="T294" s="193" t="str">
        <f t="shared" si="45"/>
        <v/>
      </c>
      <c r="U294" s="194" t="str">
        <f t="shared" si="46"/>
        <v/>
      </c>
      <c r="V294" s="195" t="str">
        <f t="shared" si="43"/>
        <v/>
      </c>
      <c r="W294" s="336" t="str">
        <f t="shared" si="47"/>
        <v/>
      </c>
      <c r="X294" s="338" t="str">
        <f t="shared" si="48"/>
        <v/>
      </c>
      <c r="Y294" s="274"/>
      <c r="AR294" t="str">
        <f t="shared" si="49"/>
        <v/>
      </c>
      <c r="AS294" t="str">
        <f t="shared" si="50"/>
        <v/>
      </c>
    </row>
    <row r="295" spans="1:45">
      <c r="A295" s="291"/>
      <c r="B295" s="292"/>
      <c r="C295" s="293"/>
      <c r="D295" s="293"/>
      <c r="E295" s="293"/>
      <c r="F295" s="293"/>
      <c r="G295" s="294"/>
      <c r="H295" s="300"/>
      <c r="I295" s="295"/>
      <c r="J295" s="295"/>
      <c r="K295" s="296"/>
      <c r="L295" s="301"/>
      <c r="M295" s="297"/>
      <c r="N295" s="298"/>
      <c r="P295" s="190" t="str">
        <f>IF(R295 = "", "", COUNT(R$4:$R295))</f>
        <v/>
      </c>
      <c r="Q295" s="190" t="str">
        <f t="shared" si="41"/>
        <v/>
      </c>
      <c r="R295" s="191" t="str">
        <f t="shared" si="42"/>
        <v/>
      </c>
      <c r="S295" s="192" t="str">
        <f t="shared" si="44"/>
        <v/>
      </c>
      <c r="T295" s="193" t="str">
        <f t="shared" si="45"/>
        <v/>
      </c>
      <c r="U295" s="194" t="str">
        <f t="shared" si="46"/>
        <v/>
      </c>
      <c r="V295" s="195" t="str">
        <f t="shared" si="43"/>
        <v/>
      </c>
      <c r="W295" s="336" t="str">
        <f t="shared" si="47"/>
        <v/>
      </c>
      <c r="X295" s="338" t="str">
        <f t="shared" si="48"/>
        <v/>
      </c>
      <c r="Y295" s="274"/>
      <c r="AR295" t="str">
        <f t="shared" si="49"/>
        <v/>
      </c>
      <c r="AS295" t="str">
        <f t="shared" si="50"/>
        <v/>
      </c>
    </row>
    <row r="296" spans="1:45">
      <c r="A296" s="291"/>
      <c r="B296" s="292"/>
      <c r="C296" s="293"/>
      <c r="D296" s="293"/>
      <c r="E296" s="293"/>
      <c r="F296" s="293"/>
      <c r="G296" s="294"/>
      <c r="H296" s="300"/>
      <c r="I296" s="295"/>
      <c r="J296" s="295"/>
      <c r="K296" s="296"/>
      <c r="L296" s="301"/>
      <c r="M296" s="297"/>
      <c r="N296" s="298"/>
      <c r="P296" s="190" t="str">
        <f>IF(R296 = "", "", COUNT(R$4:$R296))</f>
        <v/>
      </c>
      <c r="Q296" s="190" t="str">
        <f t="shared" si="41"/>
        <v/>
      </c>
      <c r="R296" s="191" t="str">
        <f t="shared" si="42"/>
        <v/>
      </c>
      <c r="S296" s="192" t="str">
        <f t="shared" si="44"/>
        <v/>
      </c>
      <c r="T296" s="193" t="str">
        <f t="shared" si="45"/>
        <v/>
      </c>
      <c r="U296" s="194" t="str">
        <f t="shared" si="46"/>
        <v/>
      </c>
      <c r="V296" s="195" t="str">
        <f t="shared" si="43"/>
        <v/>
      </c>
      <c r="W296" s="336" t="str">
        <f t="shared" si="47"/>
        <v/>
      </c>
      <c r="X296" s="338" t="str">
        <f t="shared" si="48"/>
        <v/>
      </c>
      <c r="Y296" s="274"/>
      <c r="AR296" t="str">
        <f t="shared" si="49"/>
        <v/>
      </c>
      <c r="AS296" t="str">
        <f t="shared" si="50"/>
        <v/>
      </c>
    </row>
    <row r="297" spans="1:45">
      <c r="A297" s="291"/>
      <c r="B297" s="292"/>
      <c r="C297" s="293"/>
      <c r="D297" s="293"/>
      <c r="E297" s="293"/>
      <c r="F297" s="293"/>
      <c r="G297" s="294"/>
      <c r="H297" s="300"/>
      <c r="I297" s="295"/>
      <c r="J297" s="295"/>
      <c r="K297" s="296"/>
      <c r="L297" s="301"/>
      <c r="M297" s="297"/>
      <c r="N297" s="298"/>
      <c r="P297" s="190" t="str">
        <f>IF(R297 = "", "", COUNT(R$4:$R297))</f>
        <v/>
      </c>
      <c r="Q297" s="190" t="str">
        <f t="shared" si="41"/>
        <v/>
      </c>
      <c r="R297" s="191" t="str">
        <f t="shared" si="42"/>
        <v/>
      </c>
      <c r="S297" s="192" t="str">
        <f t="shared" si="44"/>
        <v/>
      </c>
      <c r="T297" s="193" t="str">
        <f t="shared" si="45"/>
        <v/>
      </c>
      <c r="U297" s="194" t="str">
        <f t="shared" si="46"/>
        <v/>
      </c>
      <c r="V297" s="195" t="str">
        <f t="shared" si="43"/>
        <v/>
      </c>
      <c r="W297" s="336" t="str">
        <f t="shared" si="47"/>
        <v/>
      </c>
      <c r="X297" s="338" t="str">
        <f t="shared" si="48"/>
        <v/>
      </c>
      <c r="Y297" s="274"/>
      <c r="AR297" t="str">
        <f t="shared" si="49"/>
        <v/>
      </c>
      <c r="AS297" t="str">
        <f t="shared" si="50"/>
        <v/>
      </c>
    </row>
    <row r="298" spans="1:45">
      <c r="A298" s="291"/>
      <c r="B298" s="292"/>
      <c r="C298" s="293"/>
      <c r="D298" s="293"/>
      <c r="E298" s="293"/>
      <c r="F298" s="293"/>
      <c r="G298" s="294"/>
      <c r="H298" s="300"/>
      <c r="I298" s="295"/>
      <c r="J298" s="295"/>
      <c r="K298" s="296"/>
      <c r="L298" s="301"/>
      <c r="M298" s="297"/>
      <c r="N298" s="298"/>
      <c r="P298" s="190" t="str">
        <f>IF(R298 = "", "", COUNT(R$4:$R298))</f>
        <v/>
      </c>
      <c r="Q298" s="190" t="str">
        <f t="shared" si="41"/>
        <v/>
      </c>
      <c r="R298" s="191" t="str">
        <f t="shared" si="42"/>
        <v/>
      </c>
      <c r="S298" s="192" t="str">
        <f t="shared" si="44"/>
        <v/>
      </c>
      <c r="T298" s="193" t="str">
        <f t="shared" si="45"/>
        <v/>
      </c>
      <c r="U298" s="194" t="str">
        <f t="shared" si="46"/>
        <v/>
      </c>
      <c r="V298" s="195" t="str">
        <f t="shared" si="43"/>
        <v/>
      </c>
      <c r="W298" s="336" t="str">
        <f t="shared" si="47"/>
        <v/>
      </c>
      <c r="X298" s="338" t="str">
        <f t="shared" si="48"/>
        <v/>
      </c>
      <c r="Y298" s="274"/>
      <c r="AR298" t="str">
        <f t="shared" si="49"/>
        <v/>
      </c>
      <c r="AS298" t="str">
        <f t="shared" si="50"/>
        <v/>
      </c>
    </row>
    <row r="299" spans="1:45">
      <c r="A299" s="291"/>
      <c r="B299" s="292"/>
      <c r="C299" s="293"/>
      <c r="D299" s="293"/>
      <c r="E299" s="293"/>
      <c r="F299" s="293"/>
      <c r="G299" s="294"/>
      <c r="H299" s="300"/>
      <c r="I299" s="295"/>
      <c r="J299" s="295"/>
      <c r="K299" s="296"/>
      <c r="L299" s="301"/>
      <c r="M299" s="297"/>
      <c r="N299" s="298"/>
      <c r="P299" s="190" t="str">
        <f>IF(R299 = "", "", COUNT(R$4:$R299))</f>
        <v/>
      </c>
      <c r="Q299" s="190" t="str">
        <f t="shared" si="41"/>
        <v/>
      </c>
      <c r="R299" s="191" t="str">
        <f t="shared" si="42"/>
        <v/>
      </c>
      <c r="S299" s="192" t="str">
        <f t="shared" si="44"/>
        <v/>
      </c>
      <c r="T299" s="193" t="str">
        <f t="shared" si="45"/>
        <v/>
      </c>
      <c r="U299" s="194" t="str">
        <f t="shared" si="46"/>
        <v/>
      </c>
      <c r="V299" s="195" t="str">
        <f t="shared" si="43"/>
        <v/>
      </c>
      <c r="W299" s="336" t="str">
        <f t="shared" si="47"/>
        <v/>
      </c>
      <c r="X299" s="338" t="str">
        <f t="shared" si="48"/>
        <v/>
      </c>
      <c r="Y299" s="274"/>
      <c r="AR299" t="str">
        <f t="shared" si="49"/>
        <v/>
      </c>
      <c r="AS299" t="str">
        <f t="shared" si="50"/>
        <v/>
      </c>
    </row>
    <row r="300" spans="1:45">
      <c r="A300" s="291"/>
      <c r="B300" s="292"/>
      <c r="C300" s="293"/>
      <c r="D300" s="293"/>
      <c r="E300" s="293"/>
      <c r="F300" s="293"/>
      <c r="G300" s="294"/>
      <c r="H300" s="300"/>
      <c r="I300" s="295"/>
      <c r="J300" s="295"/>
      <c r="K300" s="296"/>
      <c r="L300" s="301"/>
      <c r="M300" s="297"/>
      <c r="N300" s="298"/>
      <c r="P300" s="190" t="str">
        <f>IF(R300 = "", "", COUNT(R$4:$R300))</f>
        <v/>
      </c>
      <c r="Q300" s="190" t="str">
        <f t="shared" si="41"/>
        <v/>
      </c>
      <c r="R300" s="191" t="str">
        <f t="shared" si="42"/>
        <v/>
      </c>
      <c r="S300" s="192" t="str">
        <f t="shared" si="44"/>
        <v/>
      </c>
      <c r="T300" s="193" t="str">
        <f t="shared" si="45"/>
        <v/>
      </c>
      <c r="U300" s="194" t="str">
        <f t="shared" si="46"/>
        <v/>
      </c>
      <c r="V300" s="195" t="str">
        <f t="shared" si="43"/>
        <v/>
      </c>
      <c r="W300" s="336" t="str">
        <f t="shared" si="47"/>
        <v/>
      </c>
      <c r="X300" s="338" t="str">
        <f t="shared" si="48"/>
        <v/>
      </c>
      <c r="Y300" s="274"/>
      <c r="AR300" t="str">
        <f t="shared" si="49"/>
        <v/>
      </c>
      <c r="AS300" t="str">
        <f t="shared" si="50"/>
        <v/>
      </c>
    </row>
    <row r="301" spans="1:45">
      <c r="A301" s="291"/>
      <c r="B301" s="292"/>
      <c r="C301" s="293"/>
      <c r="D301" s="293"/>
      <c r="E301" s="293"/>
      <c r="F301" s="293"/>
      <c r="G301" s="294"/>
      <c r="H301" s="300"/>
      <c r="I301" s="295"/>
      <c r="J301" s="295"/>
      <c r="K301" s="296"/>
      <c r="L301" s="301"/>
      <c r="M301" s="297"/>
      <c r="N301" s="298"/>
      <c r="P301" s="190" t="str">
        <f>IF(R301 = "", "", COUNT(R$4:$R301))</f>
        <v/>
      </c>
      <c r="Q301" s="190" t="str">
        <f t="shared" si="41"/>
        <v/>
      </c>
      <c r="R301" s="191" t="str">
        <f t="shared" si="42"/>
        <v/>
      </c>
      <c r="S301" s="192" t="str">
        <f t="shared" si="44"/>
        <v/>
      </c>
      <c r="T301" s="193" t="str">
        <f t="shared" si="45"/>
        <v/>
      </c>
      <c r="U301" s="194" t="str">
        <f t="shared" si="46"/>
        <v/>
      </c>
      <c r="V301" s="195" t="str">
        <f t="shared" si="43"/>
        <v/>
      </c>
      <c r="W301" s="336" t="str">
        <f t="shared" si="47"/>
        <v/>
      </c>
      <c r="X301" s="338" t="str">
        <f t="shared" si="48"/>
        <v/>
      </c>
      <c r="Y301" s="274"/>
      <c r="AR301" t="str">
        <f t="shared" si="49"/>
        <v/>
      </c>
      <c r="AS301" t="str">
        <f t="shared" si="50"/>
        <v/>
      </c>
    </row>
    <row r="302" spans="1:45">
      <c r="A302" s="291"/>
      <c r="B302" s="292"/>
      <c r="C302" s="293"/>
      <c r="D302" s="293"/>
      <c r="E302" s="293"/>
      <c r="F302" s="293"/>
      <c r="G302" s="294"/>
      <c r="H302" s="300"/>
      <c r="I302" s="295"/>
      <c r="J302" s="295"/>
      <c r="K302" s="296"/>
      <c r="L302" s="301"/>
      <c r="M302" s="297"/>
      <c r="N302" s="298"/>
      <c r="P302" s="190" t="str">
        <f>IF(R302 = "", "", COUNT(R$4:$R302))</f>
        <v/>
      </c>
      <c r="Q302" s="190" t="str">
        <f t="shared" si="41"/>
        <v/>
      </c>
      <c r="R302" s="191" t="str">
        <f t="shared" si="42"/>
        <v/>
      </c>
      <c r="S302" s="192" t="str">
        <f t="shared" si="44"/>
        <v/>
      </c>
      <c r="T302" s="193" t="str">
        <f t="shared" si="45"/>
        <v/>
      </c>
      <c r="U302" s="194" t="str">
        <f t="shared" si="46"/>
        <v/>
      </c>
      <c r="V302" s="195" t="str">
        <f t="shared" si="43"/>
        <v/>
      </c>
      <c r="W302" s="336" t="str">
        <f t="shared" si="47"/>
        <v/>
      </c>
      <c r="X302" s="338" t="str">
        <f t="shared" si="48"/>
        <v/>
      </c>
      <c r="Y302" s="274"/>
      <c r="AR302" t="str">
        <f t="shared" si="49"/>
        <v/>
      </c>
      <c r="AS302" t="str">
        <f t="shared" si="50"/>
        <v/>
      </c>
    </row>
    <row r="303" spans="1:45">
      <c r="A303" s="291"/>
      <c r="B303" s="292"/>
      <c r="C303" s="293"/>
      <c r="D303" s="293"/>
      <c r="E303" s="293"/>
      <c r="F303" s="293"/>
      <c r="G303" s="294"/>
      <c r="H303" s="300"/>
      <c r="I303" s="295"/>
      <c r="J303" s="295"/>
      <c r="K303" s="296"/>
      <c r="L303" s="301"/>
      <c r="M303" s="297"/>
      <c r="N303" s="298"/>
      <c r="P303" s="190" t="str">
        <f>IF(R303 = "", "", COUNT(R$4:$R303))</f>
        <v/>
      </c>
      <c r="Q303" s="190" t="str">
        <f t="shared" si="41"/>
        <v/>
      </c>
      <c r="R303" s="191" t="str">
        <f t="shared" si="42"/>
        <v/>
      </c>
      <c r="S303" s="192" t="str">
        <f t="shared" si="44"/>
        <v/>
      </c>
      <c r="T303" s="193" t="str">
        <f t="shared" si="45"/>
        <v/>
      </c>
      <c r="U303" s="194" t="str">
        <f t="shared" si="46"/>
        <v/>
      </c>
      <c r="V303" s="195" t="str">
        <f t="shared" si="43"/>
        <v/>
      </c>
      <c r="W303" s="336" t="str">
        <f t="shared" si="47"/>
        <v/>
      </c>
      <c r="X303" s="338" t="str">
        <f t="shared" si="48"/>
        <v/>
      </c>
      <c r="Y303" s="274"/>
      <c r="AR303" t="str">
        <f t="shared" si="49"/>
        <v/>
      </c>
      <c r="AS303" t="str">
        <f t="shared" si="50"/>
        <v/>
      </c>
    </row>
    <row r="304" spans="1:45">
      <c r="A304" s="291"/>
      <c r="B304" s="292"/>
      <c r="C304" s="293"/>
      <c r="D304" s="293"/>
      <c r="E304" s="293"/>
      <c r="F304" s="293"/>
      <c r="G304" s="294"/>
      <c r="H304" s="300"/>
      <c r="I304" s="295"/>
      <c r="J304" s="295"/>
      <c r="K304" s="296"/>
      <c r="L304" s="301"/>
      <c r="M304" s="297"/>
      <c r="N304" s="298"/>
      <c r="P304" s="190" t="str">
        <f>IF(R304 = "", "", COUNT(R$4:$R304))</f>
        <v/>
      </c>
      <c r="Q304" s="190" t="str">
        <f t="shared" si="41"/>
        <v/>
      </c>
      <c r="R304" s="191" t="str">
        <f t="shared" si="42"/>
        <v/>
      </c>
      <c r="S304" s="192" t="str">
        <f t="shared" si="44"/>
        <v/>
      </c>
      <c r="T304" s="193" t="str">
        <f t="shared" si="45"/>
        <v/>
      </c>
      <c r="U304" s="194" t="str">
        <f t="shared" si="46"/>
        <v/>
      </c>
      <c r="V304" s="195" t="str">
        <f t="shared" si="43"/>
        <v/>
      </c>
      <c r="W304" s="336" t="str">
        <f t="shared" si="47"/>
        <v/>
      </c>
      <c r="X304" s="338" t="str">
        <f t="shared" si="48"/>
        <v/>
      </c>
      <c r="Y304" s="274"/>
      <c r="AR304" t="str">
        <f t="shared" si="49"/>
        <v/>
      </c>
      <c r="AS304" t="str">
        <f t="shared" si="50"/>
        <v/>
      </c>
    </row>
    <row r="305" spans="1:45">
      <c r="A305" s="291"/>
      <c r="B305" s="292"/>
      <c r="C305" s="293"/>
      <c r="D305" s="293"/>
      <c r="E305" s="293"/>
      <c r="F305" s="293"/>
      <c r="G305" s="294"/>
      <c r="H305" s="300"/>
      <c r="I305" s="295"/>
      <c r="J305" s="295"/>
      <c r="K305" s="296"/>
      <c r="L305" s="301"/>
      <c r="M305" s="297"/>
      <c r="N305" s="298"/>
      <c r="P305" s="190" t="str">
        <f>IF(R305 = "", "", COUNT(R$4:$R305))</f>
        <v/>
      </c>
      <c r="Q305" s="190" t="str">
        <f t="shared" si="41"/>
        <v/>
      </c>
      <c r="R305" s="191" t="str">
        <f t="shared" si="42"/>
        <v/>
      </c>
      <c r="S305" s="192" t="str">
        <f t="shared" si="44"/>
        <v/>
      </c>
      <c r="T305" s="193" t="str">
        <f t="shared" si="45"/>
        <v/>
      </c>
      <c r="U305" s="194" t="str">
        <f t="shared" si="46"/>
        <v/>
      </c>
      <c r="V305" s="195" t="str">
        <f t="shared" si="43"/>
        <v/>
      </c>
      <c r="W305" s="336" t="str">
        <f t="shared" si="47"/>
        <v/>
      </c>
      <c r="X305" s="338" t="str">
        <f t="shared" si="48"/>
        <v/>
      </c>
      <c r="Y305" s="274"/>
      <c r="AR305" t="str">
        <f t="shared" si="49"/>
        <v/>
      </c>
      <c r="AS305" t="str">
        <f t="shared" si="50"/>
        <v/>
      </c>
    </row>
    <row r="306" spans="1:45">
      <c r="A306" s="291"/>
      <c r="B306" s="292"/>
      <c r="C306" s="293"/>
      <c r="D306" s="293"/>
      <c r="E306" s="293"/>
      <c r="F306" s="293"/>
      <c r="G306" s="294"/>
      <c r="H306" s="300"/>
      <c r="I306" s="295"/>
      <c r="J306" s="295"/>
      <c r="K306" s="296"/>
      <c r="L306" s="301"/>
      <c r="M306" s="297"/>
      <c r="N306" s="298"/>
      <c r="P306" s="190" t="str">
        <f>IF(R306 = "", "", COUNT(R$4:$R306))</f>
        <v/>
      </c>
      <c r="Q306" s="190" t="str">
        <f t="shared" si="41"/>
        <v/>
      </c>
      <c r="R306" s="191" t="str">
        <f t="shared" si="42"/>
        <v/>
      </c>
      <c r="S306" s="192" t="str">
        <f t="shared" si="44"/>
        <v/>
      </c>
      <c r="T306" s="193" t="str">
        <f t="shared" si="45"/>
        <v/>
      </c>
      <c r="U306" s="194" t="str">
        <f t="shared" si="46"/>
        <v/>
      </c>
      <c r="V306" s="195" t="str">
        <f t="shared" si="43"/>
        <v/>
      </c>
      <c r="W306" s="336" t="str">
        <f t="shared" si="47"/>
        <v/>
      </c>
      <c r="X306" s="338" t="str">
        <f t="shared" si="48"/>
        <v/>
      </c>
      <c r="Y306" s="274"/>
      <c r="AR306" t="str">
        <f t="shared" si="49"/>
        <v/>
      </c>
      <c r="AS306" t="str">
        <f t="shared" si="50"/>
        <v/>
      </c>
    </row>
    <row r="307" spans="1:45">
      <c r="A307" s="291"/>
      <c r="B307" s="292"/>
      <c r="C307" s="293"/>
      <c r="D307" s="293"/>
      <c r="E307" s="293"/>
      <c r="F307" s="293"/>
      <c r="G307" s="294"/>
      <c r="H307" s="300"/>
      <c r="I307" s="295"/>
      <c r="J307" s="295"/>
      <c r="K307" s="296"/>
      <c r="L307" s="301"/>
      <c r="M307" s="297"/>
      <c r="N307" s="298"/>
      <c r="P307" s="190" t="str">
        <f>IF(R307 = "", "", COUNT(R$4:$R307))</f>
        <v/>
      </c>
      <c r="Q307" s="190" t="str">
        <f t="shared" si="41"/>
        <v/>
      </c>
      <c r="R307" s="191" t="str">
        <f t="shared" si="42"/>
        <v/>
      </c>
      <c r="S307" s="192" t="str">
        <f t="shared" si="44"/>
        <v/>
      </c>
      <c r="T307" s="193" t="str">
        <f t="shared" si="45"/>
        <v/>
      </c>
      <c r="U307" s="194" t="str">
        <f t="shared" si="46"/>
        <v/>
      </c>
      <c r="V307" s="195" t="str">
        <f t="shared" si="43"/>
        <v/>
      </c>
      <c r="W307" s="336" t="str">
        <f t="shared" si="47"/>
        <v/>
      </c>
      <c r="X307" s="338" t="str">
        <f t="shared" si="48"/>
        <v/>
      </c>
      <c r="Y307" s="274"/>
      <c r="AR307" t="str">
        <f t="shared" si="49"/>
        <v/>
      </c>
      <c r="AS307" t="str">
        <f t="shared" si="50"/>
        <v/>
      </c>
    </row>
    <row r="308" spans="1:45">
      <c r="A308" s="291"/>
      <c r="B308" s="292"/>
      <c r="C308" s="293"/>
      <c r="D308" s="293"/>
      <c r="E308" s="293"/>
      <c r="F308" s="293"/>
      <c r="G308" s="294"/>
      <c r="H308" s="300"/>
      <c r="I308" s="295"/>
      <c r="J308" s="295"/>
      <c r="K308" s="296"/>
      <c r="L308" s="301"/>
      <c r="M308" s="297"/>
      <c r="N308" s="298"/>
      <c r="P308" s="190" t="str">
        <f>IF(R308 = "", "", COUNT(R$4:$R308))</f>
        <v/>
      </c>
      <c r="Q308" s="190" t="str">
        <f t="shared" si="41"/>
        <v/>
      </c>
      <c r="R308" s="191" t="str">
        <f t="shared" si="42"/>
        <v/>
      </c>
      <c r="S308" s="192" t="str">
        <f t="shared" si="44"/>
        <v/>
      </c>
      <c r="T308" s="193" t="str">
        <f t="shared" si="45"/>
        <v/>
      </c>
      <c r="U308" s="194" t="str">
        <f t="shared" si="46"/>
        <v/>
      </c>
      <c r="V308" s="195" t="str">
        <f t="shared" si="43"/>
        <v/>
      </c>
      <c r="W308" s="336" t="str">
        <f t="shared" si="47"/>
        <v/>
      </c>
      <c r="X308" s="338" t="str">
        <f t="shared" si="48"/>
        <v/>
      </c>
      <c r="Y308" s="274"/>
      <c r="AR308" t="str">
        <f t="shared" si="49"/>
        <v/>
      </c>
      <c r="AS308" t="str">
        <f t="shared" si="50"/>
        <v/>
      </c>
    </row>
    <row r="309" spans="1:45">
      <c r="A309" s="291"/>
      <c r="B309" s="292"/>
      <c r="C309" s="293"/>
      <c r="D309" s="293"/>
      <c r="E309" s="293"/>
      <c r="F309" s="293"/>
      <c r="G309" s="294"/>
      <c r="H309" s="300"/>
      <c r="I309" s="295"/>
      <c r="J309" s="295"/>
      <c r="K309" s="296"/>
      <c r="L309" s="301"/>
      <c r="M309" s="297"/>
      <c r="N309" s="298"/>
      <c r="P309" s="190" t="str">
        <f>IF(R309 = "", "", COUNT(R$4:$R309))</f>
        <v/>
      </c>
      <c r="Q309" s="190" t="str">
        <f t="shared" si="41"/>
        <v/>
      </c>
      <c r="R309" s="191" t="str">
        <f t="shared" si="42"/>
        <v/>
      </c>
      <c r="S309" s="192" t="str">
        <f t="shared" si="44"/>
        <v/>
      </c>
      <c r="T309" s="193" t="str">
        <f t="shared" si="45"/>
        <v/>
      </c>
      <c r="U309" s="194" t="str">
        <f t="shared" si="46"/>
        <v/>
      </c>
      <c r="V309" s="195" t="str">
        <f t="shared" si="43"/>
        <v/>
      </c>
      <c r="W309" s="336" t="str">
        <f t="shared" si="47"/>
        <v/>
      </c>
      <c r="X309" s="338" t="str">
        <f t="shared" si="48"/>
        <v/>
      </c>
      <c r="Y309" s="274"/>
      <c r="AR309" t="str">
        <f t="shared" si="49"/>
        <v/>
      </c>
      <c r="AS309" t="str">
        <f t="shared" si="50"/>
        <v/>
      </c>
    </row>
    <row r="310" spans="1:45">
      <c r="A310" s="291"/>
      <c r="B310" s="292"/>
      <c r="C310" s="293"/>
      <c r="D310" s="293"/>
      <c r="E310" s="293"/>
      <c r="F310" s="293"/>
      <c r="G310" s="294"/>
      <c r="H310" s="300"/>
      <c r="I310" s="295"/>
      <c r="J310" s="295"/>
      <c r="K310" s="296"/>
      <c r="L310" s="301"/>
      <c r="M310" s="297"/>
      <c r="N310" s="298"/>
      <c r="P310" s="190" t="str">
        <f>IF(R310 = "", "", COUNT(R$4:$R310))</f>
        <v/>
      </c>
      <c r="Q310" s="190" t="str">
        <f t="shared" si="41"/>
        <v/>
      </c>
      <c r="R310" s="191" t="str">
        <f t="shared" si="42"/>
        <v/>
      </c>
      <c r="S310" s="192" t="str">
        <f t="shared" si="44"/>
        <v/>
      </c>
      <c r="T310" s="193" t="str">
        <f t="shared" si="45"/>
        <v/>
      </c>
      <c r="U310" s="194" t="str">
        <f t="shared" si="46"/>
        <v/>
      </c>
      <c r="V310" s="195" t="str">
        <f t="shared" si="43"/>
        <v/>
      </c>
      <c r="W310" s="336" t="str">
        <f t="shared" si="47"/>
        <v/>
      </c>
      <c r="X310" s="338" t="str">
        <f t="shared" si="48"/>
        <v/>
      </c>
      <c r="Y310" s="274"/>
      <c r="AR310" t="str">
        <f t="shared" si="49"/>
        <v/>
      </c>
      <c r="AS310" t="str">
        <f t="shared" si="50"/>
        <v/>
      </c>
    </row>
    <row r="311" spans="1:45">
      <c r="A311" s="291"/>
      <c r="B311" s="292"/>
      <c r="C311" s="293"/>
      <c r="D311" s="293"/>
      <c r="E311" s="293"/>
      <c r="F311" s="293"/>
      <c r="G311" s="294"/>
      <c r="H311" s="300"/>
      <c r="I311" s="295"/>
      <c r="J311" s="295"/>
      <c r="K311" s="296"/>
      <c r="L311" s="301"/>
      <c r="M311" s="297"/>
      <c r="N311" s="298"/>
      <c r="P311" s="190" t="str">
        <f>IF(R311 = "", "", COUNT(R$4:$R311))</f>
        <v/>
      </c>
      <c r="Q311" s="190" t="str">
        <f t="shared" si="41"/>
        <v/>
      </c>
      <c r="R311" s="191" t="str">
        <f t="shared" si="42"/>
        <v/>
      </c>
      <c r="S311" s="192" t="str">
        <f t="shared" si="44"/>
        <v/>
      </c>
      <c r="T311" s="193" t="str">
        <f t="shared" si="45"/>
        <v/>
      </c>
      <c r="U311" s="194" t="str">
        <f t="shared" si="46"/>
        <v/>
      </c>
      <c r="V311" s="195" t="str">
        <f t="shared" si="43"/>
        <v/>
      </c>
      <c r="W311" s="336" t="str">
        <f t="shared" si="47"/>
        <v/>
      </c>
      <c r="X311" s="338" t="str">
        <f t="shared" si="48"/>
        <v/>
      </c>
      <c r="Y311" s="274"/>
      <c r="AR311" t="str">
        <f t="shared" si="49"/>
        <v/>
      </c>
      <c r="AS311" t="str">
        <f t="shared" si="50"/>
        <v/>
      </c>
    </row>
    <row r="312" spans="1:45">
      <c r="A312" s="291"/>
      <c r="B312" s="292"/>
      <c r="C312" s="293"/>
      <c r="D312" s="293"/>
      <c r="E312" s="293"/>
      <c r="F312" s="293"/>
      <c r="G312" s="294"/>
      <c r="H312" s="300"/>
      <c r="I312" s="295"/>
      <c r="J312" s="295"/>
      <c r="K312" s="296"/>
      <c r="L312" s="301"/>
      <c r="M312" s="297"/>
      <c r="N312" s="298"/>
      <c r="P312" s="190" t="str">
        <f>IF(R312 = "", "", COUNT(R$4:$R312))</f>
        <v/>
      </c>
      <c r="Q312" s="190" t="str">
        <f t="shared" si="41"/>
        <v/>
      </c>
      <c r="R312" s="191" t="str">
        <f t="shared" si="42"/>
        <v/>
      </c>
      <c r="S312" s="192" t="str">
        <f t="shared" si="44"/>
        <v/>
      </c>
      <c r="T312" s="193" t="str">
        <f t="shared" si="45"/>
        <v/>
      </c>
      <c r="U312" s="194" t="str">
        <f t="shared" si="46"/>
        <v/>
      </c>
      <c r="V312" s="195" t="str">
        <f t="shared" si="43"/>
        <v/>
      </c>
      <c r="W312" s="336" t="str">
        <f t="shared" si="47"/>
        <v/>
      </c>
      <c r="X312" s="338" t="str">
        <f t="shared" si="48"/>
        <v/>
      </c>
      <c r="Y312" s="274"/>
      <c r="AR312" t="str">
        <f t="shared" si="49"/>
        <v/>
      </c>
      <c r="AS312" t="str">
        <f t="shared" si="50"/>
        <v/>
      </c>
    </row>
    <row r="313" spans="1:45">
      <c r="A313" s="291"/>
      <c r="B313" s="292"/>
      <c r="C313" s="293"/>
      <c r="D313" s="293"/>
      <c r="E313" s="293"/>
      <c r="F313" s="293"/>
      <c r="G313" s="294"/>
      <c r="H313" s="300"/>
      <c r="I313" s="295"/>
      <c r="J313" s="295"/>
      <c r="K313" s="296"/>
      <c r="L313" s="301"/>
      <c r="M313" s="297"/>
      <c r="N313" s="298"/>
      <c r="P313" s="190" t="str">
        <f>IF(R313 = "", "", COUNT(R$4:$R313))</f>
        <v/>
      </c>
      <c r="Q313" s="190" t="str">
        <f t="shared" si="41"/>
        <v/>
      </c>
      <c r="R313" s="191" t="str">
        <f t="shared" si="42"/>
        <v/>
      </c>
      <c r="S313" s="192" t="str">
        <f t="shared" si="44"/>
        <v/>
      </c>
      <c r="T313" s="193" t="str">
        <f t="shared" si="45"/>
        <v/>
      </c>
      <c r="U313" s="194" t="str">
        <f t="shared" si="46"/>
        <v/>
      </c>
      <c r="V313" s="195" t="str">
        <f t="shared" si="43"/>
        <v/>
      </c>
      <c r="W313" s="336" t="str">
        <f t="shared" si="47"/>
        <v/>
      </c>
      <c r="X313" s="338" t="str">
        <f t="shared" si="48"/>
        <v/>
      </c>
      <c r="Y313" s="274"/>
      <c r="AR313" t="str">
        <f t="shared" si="49"/>
        <v/>
      </c>
      <c r="AS313" t="str">
        <f t="shared" si="50"/>
        <v/>
      </c>
    </row>
    <row r="314" spans="1:45">
      <c r="A314" s="291"/>
      <c r="B314" s="292"/>
      <c r="C314" s="293"/>
      <c r="D314" s="293"/>
      <c r="E314" s="293"/>
      <c r="F314" s="293"/>
      <c r="G314" s="294"/>
      <c r="H314" s="300"/>
      <c r="I314" s="295"/>
      <c r="J314" s="295"/>
      <c r="K314" s="296"/>
      <c r="L314" s="301"/>
      <c r="M314" s="297"/>
      <c r="N314" s="298"/>
      <c r="P314" s="190" t="str">
        <f>IF(R314 = "", "", COUNT(R$4:$R314))</f>
        <v/>
      </c>
      <c r="Q314" s="190" t="str">
        <f t="shared" si="41"/>
        <v/>
      </c>
      <c r="R314" s="191" t="str">
        <f t="shared" si="42"/>
        <v/>
      </c>
      <c r="S314" s="192" t="str">
        <f t="shared" si="44"/>
        <v/>
      </c>
      <c r="T314" s="193" t="str">
        <f t="shared" si="45"/>
        <v/>
      </c>
      <c r="U314" s="194" t="str">
        <f t="shared" si="46"/>
        <v/>
      </c>
      <c r="V314" s="195" t="str">
        <f t="shared" si="43"/>
        <v/>
      </c>
      <c r="W314" s="336" t="str">
        <f t="shared" si="47"/>
        <v/>
      </c>
      <c r="X314" s="338" t="str">
        <f t="shared" si="48"/>
        <v/>
      </c>
      <c r="Y314" s="274"/>
      <c r="AR314" t="str">
        <f t="shared" si="49"/>
        <v/>
      </c>
      <c r="AS314" t="str">
        <f t="shared" si="50"/>
        <v/>
      </c>
    </row>
    <row r="315" spans="1:45">
      <c r="A315" s="291"/>
      <c r="B315" s="292"/>
      <c r="C315" s="293"/>
      <c r="D315" s="293"/>
      <c r="E315" s="293"/>
      <c r="F315" s="293"/>
      <c r="G315" s="294"/>
      <c r="H315" s="300"/>
      <c r="I315" s="295"/>
      <c r="J315" s="295"/>
      <c r="K315" s="296"/>
      <c r="L315" s="301"/>
      <c r="M315" s="297"/>
      <c r="N315" s="298"/>
      <c r="P315" s="190" t="str">
        <f>IF(R315 = "", "", COUNT(R$4:$R315))</f>
        <v/>
      </c>
      <c r="Q315" s="190" t="str">
        <f t="shared" si="41"/>
        <v/>
      </c>
      <c r="R315" s="191" t="str">
        <f t="shared" si="42"/>
        <v/>
      </c>
      <c r="S315" s="192" t="str">
        <f t="shared" si="44"/>
        <v/>
      </c>
      <c r="T315" s="193" t="str">
        <f t="shared" si="45"/>
        <v/>
      </c>
      <c r="U315" s="194" t="str">
        <f t="shared" si="46"/>
        <v/>
      </c>
      <c r="V315" s="195" t="str">
        <f t="shared" si="43"/>
        <v/>
      </c>
      <c r="W315" s="336" t="str">
        <f t="shared" si="47"/>
        <v/>
      </c>
      <c r="X315" s="338" t="str">
        <f t="shared" si="48"/>
        <v/>
      </c>
      <c r="Y315" s="274"/>
      <c r="AR315" t="str">
        <f t="shared" si="49"/>
        <v/>
      </c>
      <c r="AS315" t="str">
        <f t="shared" si="50"/>
        <v/>
      </c>
    </row>
    <row r="316" spans="1:45">
      <c r="A316" s="291"/>
      <c r="B316" s="292"/>
      <c r="C316" s="293"/>
      <c r="D316" s="293"/>
      <c r="E316" s="293"/>
      <c r="F316" s="293"/>
      <c r="G316" s="294"/>
      <c r="H316" s="300"/>
      <c r="I316" s="295"/>
      <c r="J316" s="295"/>
      <c r="K316" s="296"/>
      <c r="L316" s="301"/>
      <c r="M316" s="297"/>
      <c r="N316" s="298"/>
      <c r="P316" s="190" t="str">
        <f>IF(R316 = "", "", COUNT(R$4:$R316))</f>
        <v/>
      </c>
      <c r="Q316" s="190" t="str">
        <f t="shared" si="41"/>
        <v/>
      </c>
      <c r="R316" s="191" t="str">
        <f t="shared" si="42"/>
        <v/>
      </c>
      <c r="S316" s="192" t="str">
        <f t="shared" si="44"/>
        <v/>
      </c>
      <c r="T316" s="193" t="str">
        <f t="shared" si="45"/>
        <v/>
      </c>
      <c r="U316" s="194" t="str">
        <f t="shared" si="46"/>
        <v/>
      </c>
      <c r="V316" s="195" t="str">
        <f t="shared" si="43"/>
        <v/>
      </c>
      <c r="W316" s="336" t="str">
        <f t="shared" si="47"/>
        <v/>
      </c>
      <c r="X316" s="338" t="str">
        <f t="shared" si="48"/>
        <v/>
      </c>
      <c r="Y316" s="274"/>
      <c r="AR316" t="str">
        <f t="shared" si="49"/>
        <v/>
      </c>
      <c r="AS316" t="str">
        <f t="shared" si="50"/>
        <v/>
      </c>
    </row>
    <row r="317" spans="1:45">
      <c r="A317" s="291"/>
      <c r="B317" s="292"/>
      <c r="C317" s="293"/>
      <c r="D317" s="293"/>
      <c r="E317" s="293"/>
      <c r="F317" s="293"/>
      <c r="G317" s="294"/>
      <c r="H317" s="300"/>
      <c r="I317" s="295"/>
      <c r="J317" s="295"/>
      <c r="K317" s="296"/>
      <c r="L317" s="301"/>
      <c r="M317" s="297"/>
      <c r="N317" s="298"/>
      <c r="P317" s="190" t="str">
        <f>IF(R317 = "", "", COUNT(R$4:$R317))</f>
        <v/>
      </c>
      <c r="Q317" s="190" t="str">
        <f t="shared" si="41"/>
        <v/>
      </c>
      <c r="R317" s="191" t="str">
        <f t="shared" si="42"/>
        <v/>
      </c>
      <c r="S317" s="192" t="str">
        <f t="shared" si="44"/>
        <v/>
      </c>
      <c r="T317" s="193" t="str">
        <f t="shared" si="45"/>
        <v/>
      </c>
      <c r="U317" s="194" t="str">
        <f t="shared" si="46"/>
        <v/>
      </c>
      <c r="V317" s="195" t="str">
        <f t="shared" si="43"/>
        <v/>
      </c>
      <c r="W317" s="336" t="str">
        <f t="shared" si="47"/>
        <v/>
      </c>
      <c r="X317" s="338" t="str">
        <f t="shared" si="48"/>
        <v/>
      </c>
      <c r="Y317" s="274"/>
      <c r="AR317" t="str">
        <f t="shared" si="49"/>
        <v/>
      </c>
      <c r="AS317" t="str">
        <f t="shared" si="50"/>
        <v/>
      </c>
    </row>
    <row r="318" spans="1:45">
      <c r="A318" s="291"/>
      <c r="B318" s="292"/>
      <c r="C318" s="293"/>
      <c r="D318" s="293"/>
      <c r="E318" s="293"/>
      <c r="F318" s="293"/>
      <c r="G318" s="294"/>
      <c r="H318" s="300"/>
      <c r="I318" s="295"/>
      <c r="J318" s="295"/>
      <c r="K318" s="296"/>
      <c r="L318" s="301"/>
      <c r="M318" s="297"/>
      <c r="N318" s="298"/>
      <c r="P318" s="190" t="str">
        <f>IF(R318 = "", "", COUNT(R$4:$R318))</f>
        <v/>
      </c>
      <c r="Q318" s="190" t="str">
        <f t="shared" si="41"/>
        <v/>
      </c>
      <c r="R318" s="191" t="str">
        <f t="shared" si="42"/>
        <v/>
      </c>
      <c r="S318" s="192" t="str">
        <f t="shared" si="44"/>
        <v/>
      </c>
      <c r="T318" s="193" t="str">
        <f t="shared" si="45"/>
        <v/>
      </c>
      <c r="U318" s="194" t="str">
        <f t="shared" si="46"/>
        <v/>
      </c>
      <c r="V318" s="195" t="str">
        <f t="shared" si="43"/>
        <v/>
      </c>
      <c r="W318" s="336" t="str">
        <f t="shared" si="47"/>
        <v/>
      </c>
      <c r="X318" s="338" t="str">
        <f t="shared" si="48"/>
        <v/>
      </c>
      <c r="Y318" s="274"/>
      <c r="AR318" t="str">
        <f t="shared" si="49"/>
        <v/>
      </c>
      <c r="AS318" t="str">
        <f t="shared" si="50"/>
        <v/>
      </c>
    </row>
    <row r="319" spans="1:45">
      <c r="A319" s="291"/>
      <c r="B319" s="292"/>
      <c r="C319" s="293"/>
      <c r="D319" s="293"/>
      <c r="E319" s="293"/>
      <c r="F319" s="293"/>
      <c r="G319" s="294"/>
      <c r="H319" s="300"/>
      <c r="I319" s="295"/>
      <c r="J319" s="295"/>
      <c r="K319" s="296"/>
      <c r="L319" s="301"/>
      <c r="M319" s="297"/>
      <c r="N319" s="298"/>
      <c r="P319" s="190" t="str">
        <f>IF(R319 = "", "", COUNT(R$4:$R319))</f>
        <v/>
      </c>
      <c r="Q319" s="190" t="str">
        <f t="shared" si="41"/>
        <v/>
      </c>
      <c r="R319" s="191" t="str">
        <f t="shared" si="42"/>
        <v/>
      </c>
      <c r="S319" s="192" t="str">
        <f t="shared" si="44"/>
        <v/>
      </c>
      <c r="T319" s="193" t="str">
        <f t="shared" si="45"/>
        <v/>
      </c>
      <c r="U319" s="194" t="str">
        <f t="shared" si="46"/>
        <v/>
      </c>
      <c r="V319" s="195" t="str">
        <f t="shared" si="43"/>
        <v/>
      </c>
      <c r="W319" s="336" t="str">
        <f t="shared" si="47"/>
        <v/>
      </c>
      <c r="X319" s="338" t="str">
        <f t="shared" si="48"/>
        <v/>
      </c>
      <c r="Y319" s="274"/>
      <c r="AR319" t="str">
        <f t="shared" si="49"/>
        <v/>
      </c>
      <c r="AS319" t="str">
        <f t="shared" si="50"/>
        <v/>
      </c>
    </row>
    <row r="320" spans="1:45">
      <c r="A320" s="291"/>
      <c r="B320" s="292"/>
      <c r="C320" s="293"/>
      <c r="D320" s="293"/>
      <c r="E320" s="293"/>
      <c r="F320" s="293"/>
      <c r="G320" s="294"/>
      <c r="H320" s="300"/>
      <c r="I320" s="295"/>
      <c r="J320" s="295"/>
      <c r="K320" s="296"/>
      <c r="L320" s="301"/>
      <c r="M320" s="297"/>
      <c r="N320" s="298"/>
      <c r="P320" s="190" t="str">
        <f>IF(R320 = "", "", COUNT(R$4:$R320))</f>
        <v/>
      </c>
      <c r="Q320" s="190" t="str">
        <f t="shared" si="41"/>
        <v/>
      </c>
      <c r="R320" s="191" t="str">
        <f t="shared" si="42"/>
        <v/>
      </c>
      <c r="S320" s="192" t="str">
        <f t="shared" si="44"/>
        <v/>
      </c>
      <c r="T320" s="193" t="str">
        <f t="shared" si="45"/>
        <v/>
      </c>
      <c r="U320" s="194" t="str">
        <f t="shared" si="46"/>
        <v/>
      </c>
      <c r="V320" s="195" t="str">
        <f t="shared" si="43"/>
        <v/>
      </c>
      <c r="W320" s="336" t="str">
        <f t="shared" si="47"/>
        <v/>
      </c>
      <c r="X320" s="338" t="str">
        <f t="shared" si="48"/>
        <v/>
      </c>
      <c r="Y320" s="274"/>
      <c r="AR320" t="str">
        <f t="shared" si="49"/>
        <v/>
      </c>
      <c r="AS320" t="str">
        <f t="shared" si="50"/>
        <v/>
      </c>
    </row>
    <row r="321" spans="1:45">
      <c r="A321" s="291"/>
      <c r="B321" s="292"/>
      <c r="C321" s="293"/>
      <c r="D321" s="293"/>
      <c r="E321" s="293"/>
      <c r="F321" s="293"/>
      <c r="G321" s="294"/>
      <c r="H321" s="300"/>
      <c r="I321" s="295"/>
      <c r="J321" s="295"/>
      <c r="K321" s="296"/>
      <c r="L321" s="301"/>
      <c r="M321" s="297"/>
      <c r="N321" s="298"/>
      <c r="P321" s="190" t="str">
        <f>IF(R321 = "", "", COUNT(R$4:$R321))</f>
        <v/>
      </c>
      <c r="Q321" s="190" t="str">
        <f t="shared" si="41"/>
        <v/>
      </c>
      <c r="R321" s="191" t="str">
        <f t="shared" si="42"/>
        <v/>
      </c>
      <c r="S321" s="192" t="str">
        <f t="shared" si="44"/>
        <v/>
      </c>
      <c r="T321" s="193" t="str">
        <f t="shared" si="45"/>
        <v/>
      </c>
      <c r="U321" s="194" t="str">
        <f t="shared" si="46"/>
        <v/>
      </c>
      <c r="V321" s="195" t="str">
        <f t="shared" si="43"/>
        <v/>
      </c>
      <c r="W321" s="336" t="str">
        <f t="shared" si="47"/>
        <v/>
      </c>
      <c r="X321" s="338" t="str">
        <f t="shared" si="48"/>
        <v/>
      </c>
      <c r="Y321" s="274"/>
      <c r="AR321" t="str">
        <f t="shared" si="49"/>
        <v/>
      </c>
      <c r="AS321" t="str">
        <f t="shared" si="50"/>
        <v/>
      </c>
    </row>
    <row r="322" spans="1:45">
      <c r="A322" s="291"/>
      <c r="B322" s="292"/>
      <c r="C322" s="293"/>
      <c r="D322" s="293"/>
      <c r="E322" s="293"/>
      <c r="F322" s="293"/>
      <c r="G322" s="294"/>
      <c r="H322" s="300"/>
      <c r="I322" s="295"/>
      <c r="J322" s="295"/>
      <c r="K322" s="296"/>
      <c r="L322" s="301"/>
      <c r="M322" s="297"/>
      <c r="N322" s="298"/>
      <c r="P322" s="190" t="str">
        <f>IF(R322 = "", "", COUNT(R$4:$R322))</f>
        <v/>
      </c>
      <c r="Q322" s="190" t="str">
        <f t="shared" si="41"/>
        <v/>
      </c>
      <c r="R322" s="191" t="str">
        <f t="shared" si="42"/>
        <v/>
      </c>
      <c r="S322" s="192" t="str">
        <f t="shared" si="44"/>
        <v/>
      </c>
      <c r="T322" s="193" t="str">
        <f t="shared" si="45"/>
        <v/>
      </c>
      <c r="U322" s="194" t="str">
        <f t="shared" si="46"/>
        <v/>
      </c>
      <c r="V322" s="195" t="str">
        <f t="shared" si="43"/>
        <v/>
      </c>
      <c r="W322" s="336" t="str">
        <f t="shared" si="47"/>
        <v/>
      </c>
      <c r="X322" s="338" t="str">
        <f t="shared" si="48"/>
        <v/>
      </c>
      <c r="Y322" s="274"/>
      <c r="AR322" t="str">
        <f t="shared" si="49"/>
        <v/>
      </c>
      <c r="AS322" t="str">
        <f t="shared" si="50"/>
        <v/>
      </c>
    </row>
    <row r="323" spans="1:45">
      <c r="A323" s="291"/>
      <c r="B323" s="292"/>
      <c r="C323" s="293"/>
      <c r="D323" s="293"/>
      <c r="E323" s="293"/>
      <c r="F323" s="293"/>
      <c r="G323" s="294"/>
      <c r="H323" s="300"/>
      <c r="I323" s="295"/>
      <c r="J323" s="295"/>
      <c r="K323" s="296"/>
      <c r="L323" s="301"/>
      <c r="M323" s="297"/>
      <c r="N323" s="298"/>
      <c r="P323" s="190" t="str">
        <f>IF(R323 = "", "", COUNT(R$4:$R323))</f>
        <v/>
      </c>
      <c r="Q323" s="190" t="str">
        <f t="shared" si="41"/>
        <v/>
      </c>
      <c r="R323" s="191" t="str">
        <f t="shared" si="42"/>
        <v/>
      </c>
      <c r="S323" s="192" t="str">
        <f t="shared" si="44"/>
        <v/>
      </c>
      <c r="T323" s="193" t="str">
        <f t="shared" si="45"/>
        <v/>
      </c>
      <c r="U323" s="194" t="str">
        <f t="shared" si="46"/>
        <v/>
      </c>
      <c r="V323" s="195" t="str">
        <f t="shared" si="43"/>
        <v/>
      </c>
      <c r="W323" s="336" t="str">
        <f t="shared" si="47"/>
        <v/>
      </c>
      <c r="X323" s="338" t="str">
        <f t="shared" si="48"/>
        <v/>
      </c>
      <c r="Y323" s="274"/>
      <c r="AR323" t="str">
        <f t="shared" si="49"/>
        <v/>
      </c>
      <c r="AS323" t="str">
        <f t="shared" si="50"/>
        <v/>
      </c>
    </row>
    <row r="324" spans="1:45">
      <c r="A324" s="291"/>
      <c r="B324" s="292"/>
      <c r="C324" s="293"/>
      <c r="D324" s="293"/>
      <c r="E324" s="293"/>
      <c r="F324" s="293"/>
      <c r="G324" s="294"/>
      <c r="H324" s="300"/>
      <c r="I324" s="295"/>
      <c r="J324" s="295"/>
      <c r="K324" s="296"/>
      <c r="L324" s="301"/>
      <c r="M324" s="297"/>
      <c r="N324" s="298"/>
      <c r="P324" s="190" t="str">
        <f>IF(R324 = "", "", COUNT(R$4:$R324))</f>
        <v/>
      </c>
      <c r="Q324" s="190" t="str">
        <f t="shared" ref="Q324:Q387" si="51">IF(C324 &gt; 0, YEAR(B324), "")</f>
        <v/>
      </c>
      <c r="R324" s="191" t="str">
        <f t="shared" ref="R324:R387" si="52">IF(A324="", "", IF(G324="",1,IF(G324="O",1,IF(G324="C",8.4,IF(G324="B",8.4,IF(G324="A",76.8,IF(G324="K",76.8,"ERR")))))))</f>
        <v/>
      </c>
      <c r="S324" s="192" t="str">
        <f t="shared" si="44"/>
        <v/>
      </c>
      <c r="T324" s="193" t="str">
        <f t="shared" si="45"/>
        <v/>
      </c>
      <c r="U324" s="194" t="str">
        <f t="shared" si="46"/>
        <v/>
      </c>
      <c r="V324" s="195" t="str">
        <f t="shared" ref="V324:V387" si="53">IF(IF(M324&lt;&gt;"",G324,"")=0, "O", IF(M324&lt;&gt;"",G324,""))</f>
        <v/>
      </c>
      <c r="W324" s="336" t="str">
        <f t="shared" si="47"/>
        <v/>
      </c>
      <c r="X324" s="338" t="str">
        <f t="shared" si="48"/>
        <v/>
      </c>
      <c r="Y324" s="274"/>
      <c r="AR324" t="str">
        <f t="shared" si="49"/>
        <v/>
      </c>
      <c r="AS324" t="str">
        <f t="shared" si="50"/>
        <v/>
      </c>
    </row>
    <row r="325" spans="1:45">
      <c r="A325" s="291"/>
      <c r="B325" s="292"/>
      <c r="C325" s="293"/>
      <c r="D325" s="293"/>
      <c r="E325" s="293"/>
      <c r="F325" s="293"/>
      <c r="G325" s="294"/>
      <c r="H325" s="300"/>
      <c r="I325" s="295"/>
      <c r="J325" s="295"/>
      <c r="K325" s="296"/>
      <c r="L325" s="301"/>
      <c r="M325" s="297"/>
      <c r="N325" s="298"/>
      <c r="P325" s="190" t="str">
        <f>IF(R325 = "", "", COUNT(R$4:$R325))</f>
        <v/>
      </c>
      <c r="Q325" s="190" t="str">
        <f t="shared" si="51"/>
        <v/>
      </c>
      <c r="R325" s="191" t="str">
        <f t="shared" si="52"/>
        <v/>
      </c>
      <c r="S325" s="192" t="str">
        <f t="shared" ref="S325:S388" si="54">IF(L325&lt;&gt;"",R325,"")</f>
        <v/>
      </c>
      <c r="T325" s="193" t="str">
        <f t="shared" ref="T325:T388" si="55">IF(IF(L325&lt;&gt;"",G325,"")=0, "O", IF(L325&lt;&gt;"",G325,""))</f>
        <v/>
      </c>
      <c r="U325" s="194" t="str">
        <f t="shared" ref="U325:U388" si="56">IF(M325&lt;&gt;"",R325,"")</f>
        <v/>
      </c>
      <c r="V325" s="195" t="str">
        <f t="shared" si="53"/>
        <v/>
      </c>
      <c r="W325" s="336" t="str">
        <f t="shared" ref="W325:W388" si="57">IF(N325&lt;&gt;"",R325,"")</f>
        <v/>
      </c>
      <c r="X325" s="338" t="str">
        <f t="shared" ref="X325:X388" si="58">IF(IF(N325&lt;&gt;"",G325,"")=0, "O", IF(N325&lt;&gt;"",G325,""))</f>
        <v/>
      </c>
      <c r="Y325" s="274"/>
      <c r="AR325" t="str">
        <f t="shared" ref="AR325:AR388" si="59">IF(P325&gt;0, P325, "")</f>
        <v/>
      </c>
      <c r="AS325" t="str">
        <f t="shared" ref="AS325:AS388" si="60">IF(OR(L325="Y",M325="Y",N325="Y"),"Y","")</f>
        <v/>
      </c>
    </row>
    <row r="326" spans="1:45">
      <c r="A326" s="291"/>
      <c r="B326" s="292"/>
      <c r="C326" s="293"/>
      <c r="D326" s="293"/>
      <c r="E326" s="293"/>
      <c r="F326" s="293"/>
      <c r="G326" s="294"/>
      <c r="H326" s="300"/>
      <c r="I326" s="295"/>
      <c r="J326" s="295"/>
      <c r="K326" s="296"/>
      <c r="L326" s="301"/>
      <c r="M326" s="297"/>
      <c r="N326" s="298"/>
      <c r="P326" s="190" t="str">
        <f>IF(R326 = "", "", COUNT(R$4:$R326))</f>
        <v/>
      </c>
      <c r="Q326" s="190" t="str">
        <f t="shared" si="51"/>
        <v/>
      </c>
      <c r="R326" s="191" t="str">
        <f t="shared" si="52"/>
        <v/>
      </c>
      <c r="S326" s="192" t="str">
        <f t="shared" si="54"/>
        <v/>
      </c>
      <c r="T326" s="193" t="str">
        <f t="shared" si="55"/>
        <v/>
      </c>
      <c r="U326" s="194" t="str">
        <f t="shared" si="56"/>
        <v/>
      </c>
      <c r="V326" s="195" t="str">
        <f t="shared" si="53"/>
        <v/>
      </c>
      <c r="W326" s="336" t="str">
        <f t="shared" si="57"/>
        <v/>
      </c>
      <c r="X326" s="338" t="str">
        <f t="shared" si="58"/>
        <v/>
      </c>
      <c r="Y326" s="274"/>
      <c r="AR326" t="str">
        <f t="shared" si="59"/>
        <v/>
      </c>
      <c r="AS326" t="str">
        <f t="shared" si="60"/>
        <v/>
      </c>
    </row>
    <row r="327" spans="1:45">
      <c r="A327" s="291"/>
      <c r="B327" s="292"/>
      <c r="C327" s="293"/>
      <c r="D327" s="293"/>
      <c r="E327" s="293"/>
      <c r="F327" s="293"/>
      <c r="G327" s="294"/>
      <c r="H327" s="300"/>
      <c r="I327" s="295"/>
      <c r="J327" s="295"/>
      <c r="K327" s="296"/>
      <c r="L327" s="301"/>
      <c r="M327" s="297"/>
      <c r="N327" s="298"/>
      <c r="P327" s="190" t="str">
        <f>IF(R327 = "", "", COUNT(R$4:$R327))</f>
        <v/>
      </c>
      <c r="Q327" s="190" t="str">
        <f t="shared" si="51"/>
        <v/>
      </c>
      <c r="R327" s="191" t="str">
        <f t="shared" si="52"/>
        <v/>
      </c>
      <c r="S327" s="192" t="str">
        <f t="shared" si="54"/>
        <v/>
      </c>
      <c r="T327" s="193" t="str">
        <f t="shared" si="55"/>
        <v/>
      </c>
      <c r="U327" s="194" t="str">
        <f t="shared" si="56"/>
        <v/>
      </c>
      <c r="V327" s="195" t="str">
        <f t="shared" si="53"/>
        <v/>
      </c>
      <c r="W327" s="336" t="str">
        <f t="shared" si="57"/>
        <v/>
      </c>
      <c r="X327" s="338" t="str">
        <f t="shared" si="58"/>
        <v/>
      </c>
      <c r="Y327" s="274"/>
      <c r="AR327" t="str">
        <f t="shared" si="59"/>
        <v/>
      </c>
      <c r="AS327" t="str">
        <f t="shared" si="60"/>
        <v/>
      </c>
    </row>
    <row r="328" spans="1:45">
      <c r="A328" s="291"/>
      <c r="B328" s="292"/>
      <c r="C328" s="293"/>
      <c r="D328" s="293"/>
      <c r="E328" s="293"/>
      <c r="F328" s="293"/>
      <c r="G328" s="294"/>
      <c r="H328" s="300"/>
      <c r="I328" s="295"/>
      <c r="J328" s="295"/>
      <c r="K328" s="296"/>
      <c r="L328" s="301"/>
      <c r="M328" s="297"/>
      <c r="N328" s="298"/>
      <c r="P328" s="190" t="str">
        <f>IF(R328 = "", "", COUNT(R$4:$R328))</f>
        <v/>
      </c>
      <c r="Q328" s="190" t="str">
        <f t="shared" si="51"/>
        <v/>
      </c>
      <c r="R328" s="191" t="str">
        <f t="shared" si="52"/>
        <v/>
      </c>
      <c r="S328" s="192" t="str">
        <f t="shared" si="54"/>
        <v/>
      </c>
      <c r="T328" s="193" t="str">
        <f t="shared" si="55"/>
        <v/>
      </c>
      <c r="U328" s="194" t="str">
        <f t="shared" si="56"/>
        <v/>
      </c>
      <c r="V328" s="195" t="str">
        <f t="shared" si="53"/>
        <v/>
      </c>
      <c r="W328" s="336" t="str">
        <f t="shared" si="57"/>
        <v/>
      </c>
      <c r="X328" s="338" t="str">
        <f t="shared" si="58"/>
        <v/>
      </c>
      <c r="Y328" s="274"/>
      <c r="AR328" t="str">
        <f t="shared" si="59"/>
        <v/>
      </c>
      <c r="AS328" t="str">
        <f t="shared" si="60"/>
        <v/>
      </c>
    </row>
    <row r="329" spans="1:45">
      <c r="A329" s="291"/>
      <c r="B329" s="292"/>
      <c r="C329" s="293"/>
      <c r="D329" s="293"/>
      <c r="E329" s="293"/>
      <c r="F329" s="293"/>
      <c r="G329" s="294"/>
      <c r="H329" s="300"/>
      <c r="I329" s="295"/>
      <c r="J329" s="295"/>
      <c r="K329" s="296"/>
      <c r="L329" s="301"/>
      <c r="M329" s="297"/>
      <c r="N329" s="298"/>
      <c r="P329" s="190" t="str">
        <f>IF(R329 = "", "", COUNT(R$4:$R329))</f>
        <v/>
      </c>
      <c r="Q329" s="190" t="str">
        <f t="shared" si="51"/>
        <v/>
      </c>
      <c r="R329" s="191" t="str">
        <f t="shared" si="52"/>
        <v/>
      </c>
      <c r="S329" s="192" t="str">
        <f t="shared" si="54"/>
        <v/>
      </c>
      <c r="T329" s="193" t="str">
        <f t="shared" si="55"/>
        <v/>
      </c>
      <c r="U329" s="194" t="str">
        <f t="shared" si="56"/>
        <v/>
      </c>
      <c r="V329" s="195" t="str">
        <f t="shared" si="53"/>
        <v/>
      </c>
      <c r="W329" s="336" t="str">
        <f t="shared" si="57"/>
        <v/>
      </c>
      <c r="X329" s="338" t="str">
        <f t="shared" si="58"/>
        <v/>
      </c>
      <c r="Y329" s="274"/>
      <c r="AR329" t="str">
        <f t="shared" si="59"/>
        <v/>
      </c>
      <c r="AS329" t="str">
        <f t="shared" si="60"/>
        <v/>
      </c>
    </row>
    <row r="330" spans="1:45">
      <c r="A330" s="291"/>
      <c r="B330" s="292"/>
      <c r="C330" s="293"/>
      <c r="D330" s="293"/>
      <c r="E330" s="293"/>
      <c r="F330" s="293"/>
      <c r="G330" s="294"/>
      <c r="H330" s="300"/>
      <c r="I330" s="295"/>
      <c r="J330" s="295"/>
      <c r="K330" s="296"/>
      <c r="L330" s="301"/>
      <c r="M330" s="297"/>
      <c r="N330" s="298"/>
      <c r="P330" s="190" t="str">
        <f>IF(R330 = "", "", COUNT(R$4:$R330))</f>
        <v/>
      </c>
      <c r="Q330" s="190" t="str">
        <f t="shared" si="51"/>
        <v/>
      </c>
      <c r="R330" s="191" t="str">
        <f t="shared" si="52"/>
        <v/>
      </c>
      <c r="S330" s="192" t="str">
        <f t="shared" si="54"/>
        <v/>
      </c>
      <c r="T330" s="193" t="str">
        <f t="shared" si="55"/>
        <v/>
      </c>
      <c r="U330" s="194" t="str">
        <f t="shared" si="56"/>
        <v/>
      </c>
      <c r="V330" s="195" t="str">
        <f t="shared" si="53"/>
        <v/>
      </c>
      <c r="W330" s="336" t="str">
        <f t="shared" si="57"/>
        <v/>
      </c>
      <c r="X330" s="338" t="str">
        <f t="shared" si="58"/>
        <v/>
      </c>
      <c r="Y330" s="274"/>
      <c r="AR330" t="str">
        <f t="shared" si="59"/>
        <v/>
      </c>
      <c r="AS330" t="str">
        <f t="shared" si="60"/>
        <v/>
      </c>
    </row>
    <row r="331" spans="1:45">
      <c r="A331" s="291"/>
      <c r="B331" s="292"/>
      <c r="C331" s="293"/>
      <c r="D331" s="293"/>
      <c r="E331" s="293"/>
      <c r="F331" s="293"/>
      <c r="G331" s="294"/>
      <c r="H331" s="300"/>
      <c r="I331" s="295"/>
      <c r="J331" s="295"/>
      <c r="K331" s="296"/>
      <c r="L331" s="301"/>
      <c r="M331" s="297"/>
      <c r="N331" s="298"/>
      <c r="P331" s="190" t="str">
        <f>IF(R331 = "", "", COUNT(R$4:$R331))</f>
        <v/>
      </c>
      <c r="Q331" s="190" t="str">
        <f t="shared" si="51"/>
        <v/>
      </c>
      <c r="R331" s="191" t="str">
        <f t="shared" si="52"/>
        <v/>
      </c>
      <c r="S331" s="192" t="str">
        <f t="shared" si="54"/>
        <v/>
      </c>
      <c r="T331" s="193" t="str">
        <f t="shared" si="55"/>
        <v/>
      </c>
      <c r="U331" s="194" t="str">
        <f t="shared" si="56"/>
        <v/>
      </c>
      <c r="V331" s="195" t="str">
        <f t="shared" si="53"/>
        <v/>
      </c>
      <c r="W331" s="336" t="str">
        <f t="shared" si="57"/>
        <v/>
      </c>
      <c r="X331" s="338" t="str">
        <f t="shared" si="58"/>
        <v/>
      </c>
      <c r="Y331" s="274"/>
      <c r="AR331" t="str">
        <f t="shared" si="59"/>
        <v/>
      </c>
      <c r="AS331" t="str">
        <f t="shared" si="60"/>
        <v/>
      </c>
    </row>
    <row r="332" spans="1:45">
      <c r="A332" s="291"/>
      <c r="B332" s="292"/>
      <c r="C332" s="293"/>
      <c r="D332" s="293"/>
      <c r="E332" s="293"/>
      <c r="F332" s="293"/>
      <c r="G332" s="294"/>
      <c r="H332" s="300"/>
      <c r="I332" s="295"/>
      <c r="J332" s="295"/>
      <c r="K332" s="296"/>
      <c r="L332" s="301"/>
      <c r="M332" s="297"/>
      <c r="N332" s="298"/>
      <c r="P332" s="190" t="str">
        <f>IF(R332 = "", "", COUNT(R$4:$R332))</f>
        <v/>
      </c>
      <c r="Q332" s="190" t="str">
        <f t="shared" si="51"/>
        <v/>
      </c>
      <c r="R332" s="191" t="str">
        <f t="shared" si="52"/>
        <v/>
      </c>
      <c r="S332" s="192" t="str">
        <f t="shared" si="54"/>
        <v/>
      </c>
      <c r="T332" s="193" t="str">
        <f t="shared" si="55"/>
        <v/>
      </c>
      <c r="U332" s="194" t="str">
        <f t="shared" si="56"/>
        <v/>
      </c>
      <c r="V332" s="195" t="str">
        <f t="shared" si="53"/>
        <v/>
      </c>
      <c r="W332" s="336" t="str">
        <f t="shared" si="57"/>
        <v/>
      </c>
      <c r="X332" s="338" t="str">
        <f t="shared" si="58"/>
        <v/>
      </c>
      <c r="Y332" s="274"/>
      <c r="AR332" t="str">
        <f t="shared" si="59"/>
        <v/>
      </c>
      <c r="AS332" t="str">
        <f t="shared" si="60"/>
        <v/>
      </c>
    </row>
    <row r="333" spans="1:45">
      <c r="A333" s="291"/>
      <c r="B333" s="292"/>
      <c r="C333" s="293"/>
      <c r="D333" s="293"/>
      <c r="E333" s="293"/>
      <c r="F333" s="293"/>
      <c r="G333" s="294"/>
      <c r="H333" s="300"/>
      <c r="I333" s="295"/>
      <c r="J333" s="295"/>
      <c r="K333" s="296"/>
      <c r="L333" s="301"/>
      <c r="M333" s="297"/>
      <c r="N333" s="298"/>
      <c r="P333" s="190" t="str">
        <f>IF(R333 = "", "", COUNT(R$4:$R333))</f>
        <v/>
      </c>
      <c r="Q333" s="190" t="str">
        <f t="shared" si="51"/>
        <v/>
      </c>
      <c r="R333" s="191" t="str">
        <f t="shared" si="52"/>
        <v/>
      </c>
      <c r="S333" s="192" t="str">
        <f t="shared" si="54"/>
        <v/>
      </c>
      <c r="T333" s="193" t="str">
        <f t="shared" si="55"/>
        <v/>
      </c>
      <c r="U333" s="194" t="str">
        <f t="shared" si="56"/>
        <v/>
      </c>
      <c r="V333" s="195" t="str">
        <f t="shared" si="53"/>
        <v/>
      </c>
      <c r="W333" s="336" t="str">
        <f t="shared" si="57"/>
        <v/>
      </c>
      <c r="X333" s="338" t="str">
        <f t="shared" si="58"/>
        <v/>
      </c>
      <c r="Y333" s="274"/>
      <c r="AR333" t="str">
        <f t="shared" si="59"/>
        <v/>
      </c>
      <c r="AS333" t="str">
        <f t="shared" si="60"/>
        <v/>
      </c>
    </row>
    <row r="334" spans="1:45">
      <c r="A334" s="291"/>
      <c r="B334" s="292"/>
      <c r="C334" s="293"/>
      <c r="D334" s="293"/>
      <c r="E334" s="293"/>
      <c r="F334" s="293"/>
      <c r="G334" s="294"/>
      <c r="H334" s="300"/>
      <c r="I334" s="295"/>
      <c r="J334" s="295"/>
      <c r="K334" s="296"/>
      <c r="L334" s="301"/>
      <c r="M334" s="297"/>
      <c r="N334" s="298"/>
      <c r="P334" s="190" t="str">
        <f>IF(R334 = "", "", COUNT(R$4:$R334))</f>
        <v/>
      </c>
      <c r="Q334" s="190" t="str">
        <f t="shared" si="51"/>
        <v/>
      </c>
      <c r="R334" s="191" t="str">
        <f t="shared" si="52"/>
        <v/>
      </c>
      <c r="S334" s="192" t="str">
        <f t="shared" si="54"/>
        <v/>
      </c>
      <c r="T334" s="193" t="str">
        <f t="shared" si="55"/>
        <v/>
      </c>
      <c r="U334" s="194" t="str">
        <f t="shared" si="56"/>
        <v/>
      </c>
      <c r="V334" s="195" t="str">
        <f t="shared" si="53"/>
        <v/>
      </c>
      <c r="W334" s="336" t="str">
        <f t="shared" si="57"/>
        <v/>
      </c>
      <c r="X334" s="338" t="str">
        <f t="shared" si="58"/>
        <v/>
      </c>
      <c r="Y334" s="274"/>
      <c r="AR334" t="str">
        <f t="shared" si="59"/>
        <v/>
      </c>
      <c r="AS334" t="str">
        <f t="shared" si="60"/>
        <v/>
      </c>
    </row>
    <row r="335" spans="1:45">
      <c r="A335" s="291"/>
      <c r="B335" s="292"/>
      <c r="C335" s="293"/>
      <c r="D335" s="293"/>
      <c r="E335" s="293"/>
      <c r="F335" s="293"/>
      <c r="G335" s="294"/>
      <c r="H335" s="300"/>
      <c r="I335" s="295"/>
      <c r="J335" s="295"/>
      <c r="K335" s="296"/>
      <c r="L335" s="301"/>
      <c r="M335" s="297"/>
      <c r="N335" s="298"/>
      <c r="P335" s="190" t="str">
        <f>IF(R335 = "", "", COUNT(R$4:$R335))</f>
        <v/>
      </c>
      <c r="Q335" s="190" t="str">
        <f t="shared" si="51"/>
        <v/>
      </c>
      <c r="R335" s="191" t="str">
        <f t="shared" si="52"/>
        <v/>
      </c>
      <c r="S335" s="192" t="str">
        <f t="shared" si="54"/>
        <v/>
      </c>
      <c r="T335" s="193" t="str">
        <f t="shared" si="55"/>
        <v/>
      </c>
      <c r="U335" s="194" t="str">
        <f t="shared" si="56"/>
        <v/>
      </c>
      <c r="V335" s="195" t="str">
        <f t="shared" si="53"/>
        <v/>
      </c>
      <c r="W335" s="336" t="str">
        <f t="shared" si="57"/>
        <v/>
      </c>
      <c r="X335" s="338" t="str">
        <f t="shared" si="58"/>
        <v/>
      </c>
      <c r="Y335" s="274"/>
      <c r="AR335" t="str">
        <f t="shared" si="59"/>
        <v/>
      </c>
      <c r="AS335" t="str">
        <f t="shared" si="60"/>
        <v/>
      </c>
    </row>
    <row r="336" spans="1:45">
      <c r="A336" s="291"/>
      <c r="B336" s="292"/>
      <c r="C336" s="293"/>
      <c r="D336" s="293"/>
      <c r="E336" s="293"/>
      <c r="F336" s="293"/>
      <c r="G336" s="294"/>
      <c r="H336" s="300"/>
      <c r="I336" s="295"/>
      <c r="J336" s="295"/>
      <c r="K336" s="296"/>
      <c r="L336" s="301"/>
      <c r="M336" s="297"/>
      <c r="N336" s="298"/>
      <c r="P336" s="190" t="str">
        <f>IF(R336 = "", "", COUNT(R$4:$R336))</f>
        <v/>
      </c>
      <c r="Q336" s="190" t="str">
        <f t="shared" si="51"/>
        <v/>
      </c>
      <c r="R336" s="191" t="str">
        <f t="shared" si="52"/>
        <v/>
      </c>
      <c r="S336" s="192" t="str">
        <f t="shared" si="54"/>
        <v/>
      </c>
      <c r="T336" s="193" t="str">
        <f t="shared" si="55"/>
        <v/>
      </c>
      <c r="U336" s="194" t="str">
        <f t="shared" si="56"/>
        <v/>
      </c>
      <c r="V336" s="195" t="str">
        <f t="shared" si="53"/>
        <v/>
      </c>
      <c r="W336" s="336" t="str">
        <f t="shared" si="57"/>
        <v/>
      </c>
      <c r="X336" s="338" t="str">
        <f t="shared" si="58"/>
        <v/>
      </c>
      <c r="Y336" s="274"/>
      <c r="AR336" t="str">
        <f t="shared" si="59"/>
        <v/>
      </c>
      <c r="AS336" t="str">
        <f t="shared" si="60"/>
        <v/>
      </c>
    </row>
    <row r="337" spans="1:45">
      <c r="A337" s="291"/>
      <c r="B337" s="292"/>
      <c r="C337" s="293"/>
      <c r="D337" s="293"/>
      <c r="E337" s="293"/>
      <c r="F337" s="293"/>
      <c r="G337" s="294"/>
      <c r="H337" s="300"/>
      <c r="I337" s="295"/>
      <c r="J337" s="295"/>
      <c r="K337" s="296"/>
      <c r="L337" s="301"/>
      <c r="M337" s="297"/>
      <c r="N337" s="298"/>
      <c r="P337" s="190" t="str">
        <f>IF(R337 = "", "", COUNT(R$4:$R337))</f>
        <v/>
      </c>
      <c r="Q337" s="190" t="str">
        <f t="shared" si="51"/>
        <v/>
      </c>
      <c r="R337" s="191" t="str">
        <f t="shared" si="52"/>
        <v/>
      </c>
      <c r="S337" s="192" t="str">
        <f t="shared" si="54"/>
        <v/>
      </c>
      <c r="T337" s="193" t="str">
        <f t="shared" si="55"/>
        <v/>
      </c>
      <c r="U337" s="194" t="str">
        <f t="shared" si="56"/>
        <v/>
      </c>
      <c r="V337" s="195" t="str">
        <f t="shared" si="53"/>
        <v/>
      </c>
      <c r="W337" s="336" t="str">
        <f t="shared" si="57"/>
        <v/>
      </c>
      <c r="X337" s="338" t="str">
        <f t="shared" si="58"/>
        <v/>
      </c>
      <c r="Y337" s="274"/>
      <c r="AR337" t="str">
        <f t="shared" si="59"/>
        <v/>
      </c>
      <c r="AS337" t="str">
        <f t="shared" si="60"/>
        <v/>
      </c>
    </row>
    <row r="338" spans="1:45">
      <c r="A338" s="291"/>
      <c r="B338" s="292"/>
      <c r="C338" s="293"/>
      <c r="D338" s="293"/>
      <c r="E338" s="293"/>
      <c r="F338" s="293"/>
      <c r="G338" s="294"/>
      <c r="H338" s="300"/>
      <c r="I338" s="295"/>
      <c r="J338" s="295"/>
      <c r="K338" s="296"/>
      <c r="L338" s="301"/>
      <c r="M338" s="297"/>
      <c r="N338" s="298"/>
      <c r="P338" s="190" t="str">
        <f>IF(R338 = "", "", COUNT(R$4:$R338))</f>
        <v/>
      </c>
      <c r="Q338" s="190" t="str">
        <f t="shared" si="51"/>
        <v/>
      </c>
      <c r="R338" s="191" t="str">
        <f t="shared" si="52"/>
        <v/>
      </c>
      <c r="S338" s="192" t="str">
        <f t="shared" si="54"/>
        <v/>
      </c>
      <c r="T338" s="193" t="str">
        <f t="shared" si="55"/>
        <v/>
      </c>
      <c r="U338" s="194" t="str">
        <f t="shared" si="56"/>
        <v/>
      </c>
      <c r="V338" s="195" t="str">
        <f t="shared" si="53"/>
        <v/>
      </c>
      <c r="W338" s="336" t="str">
        <f t="shared" si="57"/>
        <v/>
      </c>
      <c r="X338" s="338" t="str">
        <f t="shared" si="58"/>
        <v/>
      </c>
      <c r="Y338" s="274"/>
      <c r="AR338" t="str">
        <f t="shared" si="59"/>
        <v/>
      </c>
      <c r="AS338" t="str">
        <f t="shared" si="60"/>
        <v/>
      </c>
    </row>
    <row r="339" spans="1:45">
      <c r="A339" s="291"/>
      <c r="B339" s="292"/>
      <c r="C339" s="293"/>
      <c r="D339" s="293"/>
      <c r="E339" s="293"/>
      <c r="F339" s="293"/>
      <c r="G339" s="294"/>
      <c r="H339" s="300"/>
      <c r="I339" s="295"/>
      <c r="J339" s="295"/>
      <c r="K339" s="296"/>
      <c r="L339" s="301"/>
      <c r="M339" s="297"/>
      <c r="N339" s="298"/>
      <c r="P339" s="190" t="str">
        <f>IF(R339 = "", "", COUNT(R$4:$R339))</f>
        <v/>
      </c>
      <c r="Q339" s="190" t="str">
        <f t="shared" si="51"/>
        <v/>
      </c>
      <c r="R339" s="191" t="str">
        <f t="shared" si="52"/>
        <v/>
      </c>
      <c r="S339" s="192" t="str">
        <f t="shared" si="54"/>
        <v/>
      </c>
      <c r="T339" s="193" t="str">
        <f t="shared" si="55"/>
        <v/>
      </c>
      <c r="U339" s="194" t="str">
        <f t="shared" si="56"/>
        <v/>
      </c>
      <c r="V339" s="195" t="str">
        <f t="shared" si="53"/>
        <v/>
      </c>
      <c r="W339" s="336" t="str">
        <f t="shared" si="57"/>
        <v/>
      </c>
      <c r="X339" s="338" t="str">
        <f t="shared" si="58"/>
        <v/>
      </c>
      <c r="Y339" s="274"/>
      <c r="AR339" t="str">
        <f t="shared" si="59"/>
        <v/>
      </c>
      <c r="AS339" t="str">
        <f t="shared" si="60"/>
        <v/>
      </c>
    </row>
    <row r="340" spans="1:45">
      <c r="A340" s="291"/>
      <c r="B340" s="292"/>
      <c r="C340" s="293"/>
      <c r="D340" s="293"/>
      <c r="E340" s="293"/>
      <c r="F340" s="293"/>
      <c r="G340" s="294"/>
      <c r="H340" s="300"/>
      <c r="I340" s="295"/>
      <c r="J340" s="295"/>
      <c r="K340" s="296"/>
      <c r="L340" s="301"/>
      <c r="M340" s="297"/>
      <c r="N340" s="298"/>
      <c r="P340" s="190" t="str">
        <f>IF(R340 = "", "", COUNT(R$4:$R340))</f>
        <v/>
      </c>
      <c r="Q340" s="190" t="str">
        <f t="shared" si="51"/>
        <v/>
      </c>
      <c r="R340" s="191" t="str">
        <f t="shared" si="52"/>
        <v/>
      </c>
      <c r="S340" s="192" t="str">
        <f t="shared" si="54"/>
        <v/>
      </c>
      <c r="T340" s="193" t="str">
        <f t="shared" si="55"/>
        <v/>
      </c>
      <c r="U340" s="194" t="str">
        <f t="shared" si="56"/>
        <v/>
      </c>
      <c r="V340" s="195" t="str">
        <f t="shared" si="53"/>
        <v/>
      </c>
      <c r="W340" s="336" t="str">
        <f t="shared" si="57"/>
        <v/>
      </c>
      <c r="X340" s="338" t="str">
        <f t="shared" si="58"/>
        <v/>
      </c>
      <c r="Y340" s="274"/>
      <c r="AR340" t="str">
        <f t="shared" si="59"/>
        <v/>
      </c>
      <c r="AS340" t="str">
        <f t="shared" si="60"/>
        <v/>
      </c>
    </row>
    <row r="341" spans="1:45">
      <c r="A341" s="291"/>
      <c r="B341" s="292"/>
      <c r="C341" s="293"/>
      <c r="D341" s="293"/>
      <c r="E341" s="293"/>
      <c r="F341" s="293"/>
      <c r="G341" s="294"/>
      <c r="H341" s="300"/>
      <c r="I341" s="295"/>
      <c r="J341" s="295"/>
      <c r="K341" s="296"/>
      <c r="L341" s="301"/>
      <c r="M341" s="297"/>
      <c r="N341" s="298"/>
      <c r="P341" s="190" t="str">
        <f>IF(R341 = "", "", COUNT(R$4:$R341))</f>
        <v/>
      </c>
      <c r="Q341" s="190" t="str">
        <f t="shared" si="51"/>
        <v/>
      </c>
      <c r="R341" s="191" t="str">
        <f t="shared" si="52"/>
        <v/>
      </c>
      <c r="S341" s="192" t="str">
        <f t="shared" si="54"/>
        <v/>
      </c>
      <c r="T341" s="193" t="str">
        <f t="shared" si="55"/>
        <v/>
      </c>
      <c r="U341" s="194" t="str">
        <f t="shared" si="56"/>
        <v/>
      </c>
      <c r="V341" s="195" t="str">
        <f t="shared" si="53"/>
        <v/>
      </c>
      <c r="W341" s="336" t="str">
        <f t="shared" si="57"/>
        <v/>
      </c>
      <c r="X341" s="338" t="str">
        <f t="shared" si="58"/>
        <v/>
      </c>
      <c r="Y341" s="274"/>
      <c r="AR341" t="str">
        <f t="shared" si="59"/>
        <v/>
      </c>
      <c r="AS341" t="str">
        <f t="shared" si="60"/>
        <v/>
      </c>
    </row>
    <row r="342" spans="1:45">
      <c r="A342" s="291"/>
      <c r="B342" s="292"/>
      <c r="C342" s="293"/>
      <c r="D342" s="293"/>
      <c r="E342" s="293"/>
      <c r="F342" s="293"/>
      <c r="G342" s="294"/>
      <c r="H342" s="300"/>
      <c r="I342" s="295"/>
      <c r="J342" s="295"/>
      <c r="K342" s="296"/>
      <c r="L342" s="301"/>
      <c r="M342" s="297"/>
      <c r="N342" s="298"/>
      <c r="P342" s="190" t="str">
        <f>IF(R342 = "", "", COUNT(R$4:$R342))</f>
        <v/>
      </c>
      <c r="Q342" s="190" t="str">
        <f t="shared" si="51"/>
        <v/>
      </c>
      <c r="R342" s="191" t="str">
        <f t="shared" si="52"/>
        <v/>
      </c>
      <c r="S342" s="192" t="str">
        <f t="shared" si="54"/>
        <v/>
      </c>
      <c r="T342" s="193" t="str">
        <f t="shared" si="55"/>
        <v/>
      </c>
      <c r="U342" s="194" t="str">
        <f t="shared" si="56"/>
        <v/>
      </c>
      <c r="V342" s="195" t="str">
        <f t="shared" si="53"/>
        <v/>
      </c>
      <c r="W342" s="336" t="str">
        <f t="shared" si="57"/>
        <v/>
      </c>
      <c r="X342" s="338" t="str">
        <f t="shared" si="58"/>
        <v/>
      </c>
      <c r="Y342" s="274"/>
      <c r="AR342" t="str">
        <f t="shared" si="59"/>
        <v/>
      </c>
      <c r="AS342" t="str">
        <f t="shared" si="60"/>
        <v/>
      </c>
    </row>
    <row r="343" spans="1:45">
      <c r="A343" s="291"/>
      <c r="B343" s="292"/>
      <c r="C343" s="293"/>
      <c r="D343" s="293"/>
      <c r="E343" s="293"/>
      <c r="F343" s="293"/>
      <c r="G343" s="294"/>
      <c r="H343" s="300"/>
      <c r="I343" s="295"/>
      <c r="J343" s="295"/>
      <c r="K343" s="296"/>
      <c r="L343" s="301"/>
      <c r="M343" s="297"/>
      <c r="N343" s="298"/>
      <c r="P343" s="190" t="str">
        <f>IF(R343 = "", "", COUNT(R$4:$R343))</f>
        <v/>
      </c>
      <c r="Q343" s="190" t="str">
        <f t="shared" si="51"/>
        <v/>
      </c>
      <c r="R343" s="191" t="str">
        <f t="shared" si="52"/>
        <v/>
      </c>
      <c r="S343" s="192" t="str">
        <f t="shared" si="54"/>
        <v/>
      </c>
      <c r="T343" s="193" t="str">
        <f t="shared" si="55"/>
        <v/>
      </c>
      <c r="U343" s="194" t="str">
        <f t="shared" si="56"/>
        <v/>
      </c>
      <c r="V343" s="195" t="str">
        <f t="shared" si="53"/>
        <v/>
      </c>
      <c r="W343" s="336" t="str">
        <f t="shared" si="57"/>
        <v/>
      </c>
      <c r="X343" s="338" t="str">
        <f t="shared" si="58"/>
        <v/>
      </c>
      <c r="Y343" s="274"/>
      <c r="AR343" t="str">
        <f t="shared" si="59"/>
        <v/>
      </c>
      <c r="AS343" t="str">
        <f t="shared" si="60"/>
        <v/>
      </c>
    </row>
    <row r="344" spans="1:45">
      <c r="A344" s="291"/>
      <c r="B344" s="292"/>
      <c r="C344" s="293"/>
      <c r="D344" s="293"/>
      <c r="E344" s="293"/>
      <c r="F344" s="293"/>
      <c r="G344" s="294"/>
      <c r="H344" s="300"/>
      <c r="I344" s="295"/>
      <c r="J344" s="295"/>
      <c r="K344" s="296"/>
      <c r="L344" s="301"/>
      <c r="M344" s="297"/>
      <c r="N344" s="298"/>
      <c r="P344" s="190" t="str">
        <f>IF(R344 = "", "", COUNT(R$4:$R344))</f>
        <v/>
      </c>
      <c r="Q344" s="190" t="str">
        <f t="shared" si="51"/>
        <v/>
      </c>
      <c r="R344" s="191" t="str">
        <f t="shared" si="52"/>
        <v/>
      </c>
      <c r="S344" s="192" t="str">
        <f t="shared" si="54"/>
        <v/>
      </c>
      <c r="T344" s="193" t="str">
        <f t="shared" si="55"/>
        <v/>
      </c>
      <c r="U344" s="194" t="str">
        <f t="shared" si="56"/>
        <v/>
      </c>
      <c r="V344" s="195" t="str">
        <f t="shared" si="53"/>
        <v/>
      </c>
      <c r="W344" s="336" t="str">
        <f t="shared" si="57"/>
        <v/>
      </c>
      <c r="X344" s="338" t="str">
        <f t="shared" si="58"/>
        <v/>
      </c>
      <c r="Y344" s="274"/>
      <c r="AR344" t="str">
        <f t="shared" si="59"/>
        <v/>
      </c>
      <c r="AS344" t="str">
        <f t="shared" si="60"/>
        <v/>
      </c>
    </row>
    <row r="345" spans="1:45">
      <c r="A345" s="291"/>
      <c r="B345" s="292"/>
      <c r="C345" s="293"/>
      <c r="D345" s="293"/>
      <c r="E345" s="293"/>
      <c r="F345" s="293"/>
      <c r="G345" s="294"/>
      <c r="H345" s="300"/>
      <c r="I345" s="295"/>
      <c r="J345" s="295"/>
      <c r="K345" s="296"/>
      <c r="L345" s="301"/>
      <c r="M345" s="297"/>
      <c r="N345" s="298"/>
      <c r="P345" s="190" t="str">
        <f>IF(R345 = "", "", COUNT(R$4:$R345))</f>
        <v/>
      </c>
      <c r="Q345" s="190" t="str">
        <f t="shared" si="51"/>
        <v/>
      </c>
      <c r="R345" s="191" t="str">
        <f t="shared" si="52"/>
        <v/>
      </c>
      <c r="S345" s="192" t="str">
        <f t="shared" si="54"/>
        <v/>
      </c>
      <c r="T345" s="193" t="str">
        <f t="shared" si="55"/>
        <v/>
      </c>
      <c r="U345" s="194" t="str">
        <f t="shared" si="56"/>
        <v/>
      </c>
      <c r="V345" s="195" t="str">
        <f t="shared" si="53"/>
        <v/>
      </c>
      <c r="W345" s="336" t="str">
        <f t="shared" si="57"/>
        <v/>
      </c>
      <c r="X345" s="338" t="str">
        <f t="shared" si="58"/>
        <v/>
      </c>
      <c r="Y345" s="274"/>
      <c r="AR345" t="str">
        <f t="shared" si="59"/>
        <v/>
      </c>
      <c r="AS345" t="str">
        <f t="shared" si="60"/>
        <v/>
      </c>
    </row>
    <row r="346" spans="1:45">
      <c r="A346" s="291"/>
      <c r="B346" s="292"/>
      <c r="C346" s="293"/>
      <c r="D346" s="293"/>
      <c r="E346" s="293"/>
      <c r="F346" s="293"/>
      <c r="G346" s="294"/>
      <c r="H346" s="300"/>
      <c r="I346" s="295"/>
      <c r="J346" s="295"/>
      <c r="K346" s="296"/>
      <c r="L346" s="301"/>
      <c r="M346" s="297"/>
      <c r="N346" s="298"/>
      <c r="P346" s="190" t="str">
        <f>IF(R346 = "", "", COUNT(R$4:$R346))</f>
        <v/>
      </c>
      <c r="Q346" s="190" t="str">
        <f t="shared" si="51"/>
        <v/>
      </c>
      <c r="R346" s="191" t="str">
        <f t="shared" si="52"/>
        <v/>
      </c>
      <c r="S346" s="192" t="str">
        <f t="shared" si="54"/>
        <v/>
      </c>
      <c r="T346" s="193" t="str">
        <f t="shared" si="55"/>
        <v/>
      </c>
      <c r="U346" s="194" t="str">
        <f t="shared" si="56"/>
        <v/>
      </c>
      <c r="V346" s="195" t="str">
        <f t="shared" si="53"/>
        <v/>
      </c>
      <c r="W346" s="336" t="str">
        <f t="shared" si="57"/>
        <v/>
      </c>
      <c r="X346" s="338" t="str">
        <f t="shared" si="58"/>
        <v/>
      </c>
      <c r="Y346" s="274"/>
      <c r="AR346" t="str">
        <f t="shared" si="59"/>
        <v/>
      </c>
      <c r="AS346" t="str">
        <f t="shared" si="60"/>
        <v/>
      </c>
    </row>
    <row r="347" spans="1:45">
      <c r="A347" s="291"/>
      <c r="B347" s="292"/>
      <c r="C347" s="293"/>
      <c r="D347" s="293"/>
      <c r="E347" s="293"/>
      <c r="F347" s="293"/>
      <c r="G347" s="294"/>
      <c r="H347" s="300"/>
      <c r="I347" s="295"/>
      <c r="J347" s="295"/>
      <c r="K347" s="296"/>
      <c r="L347" s="301"/>
      <c r="M347" s="297"/>
      <c r="N347" s="298"/>
      <c r="P347" s="190" t="str">
        <f>IF(R347 = "", "", COUNT(R$4:$R347))</f>
        <v/>
      </c>
      <c r="Q347" s="190" t="str">
        <f t="shared" si="51"/>
        <v/>
      </c>
      <c r="R347" s="191" t="str">
        <f t="shared" si="52"/>
        <v/>
      </c>
      <c r="S347" s="192" t="str">
        <f t="shared" si="54"/>
        <v/>
      </c>
      <c r="T347" s="193" t="str">
        <f t="shared" si="55"/>
        <v/>
      </c>
      <c r="U347" s="194" t="str">
        <f t="shared" si="56"/>
        <v/>
      </c>
      <c r="V347" s="195" t="str">
        <f t="shared" si="53"/>
        <v/>
      </c>
      <c r="W347" s="336" t="str">
        <f t="shared" si="57"/>
        <v/>
      </c>
      <c r="X347" s="338" t="str">
        <f t="shared" si="58"/>
        <v/>
      </c>
      <c r="Y347" s="274"/>
      <c r="AR347" t="str">
        <f t="shared" si="59"/>
        <v/>
      </c>
      <c r="AS347" t="str">
        <f t="shared" si="60"/>
        <v/>
      </c>
    </row>
    <row r="348" spans="1:45">
      <c r="A348" s="291"/>
      <c r="B348" s="292"/>
      <c r="C348" s="293"/>
      <c r="D348" s="293"/>
      <c r="E348" s="293"/>
      <c r="F348" s="293"/>
      <c r="G348" s="294"/>
      <c r="H348" s="300"/>
      <c r="I348" s="295"/>
      <c r="J348" s="295"/>
      <c r="K348" s="296"/>
      <c r="L348" s="301"/>
      <c r="M348" s="297"/>
      <c r="N348" s="298"/>
      <c r="P348" s="190" t="str">
        <f>IF(R348 = "", "", COUNT(R$4:$R348))</f>
        <v/>
      </c>
      <c r="Q348" s="190" t="str">
        <f t="shared" si="51"/>
        <v/>
      </c>
      <c r="R348" s="191" t="str">
        <f t="shared" si="52"/>
        <v/>
      </c>
      <c r="S348" s="192" t="str">
        <f t="shared" si="54"/>
        <v/>
      </c>
      <c r="T348" s="193" t="str">
        <f t="shared" si="55"/>
        <v/>
      </c>
      <c r="U348" s="194" t="str">
        <f t="shared" si="56"/>
        <v/>
      </c>
      <c r="V348" s="195" t="str">
        <f t="shared" si="53"/>
        <v/>
      </c>
      <c r="W348" s="336" t="str">
        <f t="shared" si="57"/>
        <v/>
      </c>
      <c r="X348" s="338" t="str">
        <f t="shared" si="58"/>
        <v/>
      </c>
      <c r="Y348" s="274"/>
      <c r="AR348" t="str">
        <f t="shared" si="59"/>
        <v/>
      </c>
      <c r="AS348" t="str">
        <f t="shared" si="60"/>
        <v/>
      </c>
    </row>
    <row r="349" spans="1:45">
      <c r="A349" s="291"/>
      <c r="B349" s="292"/>
      <c r="C349" s="293"/>
      <c r="D349" s="293"/>
      <c r="E349" s="293"/>
      <c r="F349" s="293"/>
      <c r="G349" s="294"/>
      <c r="H349" s="300"/>
      <c r="I349" s="295"/>
      <c r="J349" s="295"/>
      <c r="K349" s="296"/>
      <c r="L349" s="301"/>
      <c r="M349" s="297"/>
      <c r="N349" s="298"/>
      <c r="P349" s="190" t="str">
        <f>IF(R349 = "", "", COUNT(R$4:$R349))</f>
        <v/>
      </c>
      <c r="Q349" s="190" t="str">
        <f t="shared" si="51"/>
        <v/>
      </c>
      <c r="R349" s="191" t="str">
        <f t="shared" si="52"/>
        <v/>
      </c>
      <c r="S349" s="192" t="str">
        <f t="shared" si="54"/>
        <v/>
      </c>
      <c r="T349" s="193" t="str">
        <f t="shared" si="55"/>
        <v/>
      </c>
      <c r="U349" s="194" t="str">
        <f t="shared" si="56"/>
        <v/>
      </c>
      <c r="V349" s="195" t="str">
        <f t="shared" si="53"/>
        <v/>
      </c>
      <c r="W349" s="336" t="str">
        <f t="shared" si="57"/>
        <v/>
      </c>
      <c r="X349" s="338" t="str">
        <f t="shared" si="58"/>
        <v/>
      </c>
      <c r="Y349" s="274"/>
      <c r="AR349" t="str">
        <f t="shared" si="59"/>
        <v/>
      </c>
      <c r="AS349" t="str">
        <f t="shared" si="60"/>
        <v/>
      </c>
    </row>
    <row r="350" spans="1:45">
      <c r="A350" s="291"/>
      <c r="B350" s="292"/>
      <c r="C350" s="293"/>
      <c r="D350" s="293"/>
      <c r="E350" s="293"/>
      <c r="F350" s="293"/>
      <c r="G350" s="294"/>
      <c r="H350" s="300"/>
      <c r="I350" s="295"/>
      <c r="J350" s="295"/>
      <c r="K350" s="296"/>
      <c r="L350" s="301"/>
      <c r="M350" s="297"/>
      <c r="N350" s="298"/>
      <c r="P350" s="190" t="str">
        <f>IF(R350 = "", "", COUNT(R$4:$R350))</f>
        <v/>
      </c>
      <c r="Q350" s="190" t="str">
        <f t="shared" si="51"/>
        <v/>
      </c>
      <c r="R350" s="191" t="str">
        <f t="shared" si="52"/>
        <v/>
      </c>
      <c r="S350" s="192" t="str">
        <f t="shared" si="54"/>
        <v/>
      </c>
      <c r="T350" s="193" t="str">
        <f t="shared" si="55"/>
        <v/>
      </c>
      <c r="U350" s="194" t="str">
        <f t="shared" si="56"/>
        <v/>
      </c>
      <c r="V350" s="195" t="str">
        <f t="shared" si="53"/>
        <v/>
      </c>
      <c r="W350" s="336" t="str">
        <f t="shared" si="57"/>
        <v/>
      </c>
      <c r="X350" s="338" t="str">
        <f t="shared" si="58"/>
        <v/>
      </c>
      <c r="Y350" s="274"/>
      <c r="AR350" t="str">
        <f t="shared" si="59"/>
        <v/>
      </c>
      <c r="AS350" t="str">
        <f t="shared" si="60"/>
        <v/>
      </c>
    </row>
    <row r="351" spans="1:45">
      <c r="A351" s="291"/>
      <c r="B351" s="292"/>
      <c r="C351" s="293"/>
      <c r="D351" s="293"/>
      <c r="E351" s="293"/>
      <c r="F351" s="293"/>
      <c r="G351" s="294"/>
      <c r="H351" s="300"/>
      <c r="I351" s="295"/>
      <c r="J351" s="295"/>
      <c r="K351" s="296"/>
      <c r="L351" s="301"/>
      <c r="M351" s="297"/>
      <c r="N351" s="298"/>
      <c r="P351" s="190" t="str">
        <f>IF(R351 = "", "", COUNT(R$4:$R351))</f>
        <v/>
      </c>
      <c r="Q351" s="190" t="str">
        <f t="shared" si="51"/>
        <v/>
      </c>
      <c r="R351" s="191" t="str">
        <f t="shared" si="52"/>
        <v/>
      </c>
      <c r="S351" s="192" t="str">
        <f t="shared" si="54"/>
        <v/>
      </c>
      <c r="T351" s="193" t="str">
        <f t="shared" si="55"/>
        <v/>
      </c>
      <c r="U351" s="194" t="str">
        <f t="shared" si="56"/>
        <v/>
      </c>
      <c r="V351" s="195" t="str">
        <f t="shared" si="53"/>
        <v/>
      </c>
      <c r="W351" s="336" t="str">
        <f t="shared" si="57"/>
        <v/>
      </c>
      <c r="X351" s="338" t="str">
        <f t="shared" si="58"/>
        <v/>
      </c>
      <c r="Y351" s="274"/>
      <c r="AR351" t="str">
        <f t="shared" si="59"/>
        <v/>
      </c>
      <c r="AS351" t="str">
        <f t="shared" si="60"/>
        <v/>
      </c>
    </row>
    <row r="352" spans="1:45">
      <c r="A352" s="291"/>
      <c r="B352" s="292"/>
      <c r="C352" s="293"/>
      <c r="D352" s="293"/>
      <c r="E352" s="293"/>
      <c r="F352" s="293"/>
      <c r="G352" s="294"/>
      <c r="H352" s="300"/>
      <c r="I352" s="295"/>
      <c r="J352" s="295"/>
      <c r="K352" s="296"/>
      <c r="L352" s="301"/>
      <c r="M352" s="297"/>
      <c r="N352" s="298"/>
      <c r="P352" s="190" t="str">
        <f>IF(R352 = "", "", COUNT(R$4:$R352))</f>
        <v/>
      </c>
      <c r="Q352" s="190" t="str">
        <f t="shared" si="51"/>
        <v/>
      </c>
      <c r="R352" s="191" t="str">
        <f t="shared" si="52"/>
        <v/>
      </c>
      <c r="S352" s="192" t="str">
        <f t="shared" si="54"/>
        <v/>
      </c>
      <c r="T352" s="193" t="str">
        <f t="shared" si="55"/>
        <v/>
      </c>
      <c r="U352" s="194" t="str">
        <f t="shared" si="56"/>
        <v/>
      </c>
      <c r="V352" s="195" t="str">
        <f t="shared" si="53"/>
        <v/>
      </c>
      <c r="W352" s="336" t="str">
        <f t="shared" si="57"/>
        <v/>
      </c>
      <c r="X352" s="338" t="str">
        <f t="shared" si="58"/>
        <v/>
      </c>
      <c r="Y352" s="274"/>
      <c r="AR352" t="str">
        <f t="shared" si="59"/>
        <v/>
      </c>
      <c r="AS352" t="str">
        <f t="shared" si="60"/>
        <v/>
      </c>
    </row>
    <row r="353" spans="1:45">
      <c r="A353" s="291"/>
      <c r="B353" s="292"/>
      <c r="C353" s="293"/>
      <c r="D353" s="293"/>
      <c r="E353" s="293"/>
      <c r="F353" s="293"/>
      <c r="G353" s="294"/>
      <c r="H353" s="300"/>
      <c r="I353" s="295"/>
      <c r="J353" s="295"/>
      <c r="K353" s="296"/>
      <c r="L353" s="301"/>
      <c r="M353" s="297"/>
      <c r="N353" s="298"/>
      <c r="P353" s="190" t="str">
        <f>IF(R353 = "", "", COUNT(R$4:$R353))</f>
        <v/>
      </c>
      <c r="Q353" s="190" t="str">
        <f t="shared" si="51"/>
        <v/>
      </c>
      <c r="R353" s="191" t="str">
        <f t="shared" si="52"/>
        <v/>
      </c>
      <c r="S353" s="192" t="str">
        <f t="shared" si="54"/>
        <v/>
      </c>
      <c r="T353" s="193" t="str">
        <f t="shared" si="55"/>
        <v/>
      </c>
      <c r="U353" s="194" t="str">
        <f t="shared" si="56"/>
        <v/>
      </c>
      <c r="V353" s="195" t="str">
        <f t="shared" si="53"/>
        <v/>
      </c>
      <c r="W353" s="336" t="str">
        <f t="shared" si="57"/>
        <v/>
      </c>
      <c r="X353" s="338" t="str">
        <f t="shared" si="58"/>
        <v/>
      </c>
      <c r="Y353" s="274"/>
      <c r="AR353" t="str">
        <f t="shared" si="59"/>
        <v/>
      </c>
      <c r="AS353" t="str">
        <f t="shared" si="60"/>
        <v/>
      </c>
    </row>
    <row r="354" spans="1:45">
      <c r="A354" s="291"/>
      <c r="B354" s="292"/>
      <c r="C354" s="293"/>
      <c r="D354" s="293"/>
      <c r="E354" s="293"/>
      <c r="F354" s="293"/>
      <c r="G354" s="294"/>
      <c r="H354" s="300"/>
      <c r="I354" s="295"/>
      <c r="J354" s="295"/>
      <c r="K354" s="296"/>
      <c r="L354" s="301"/>
      <c r="M354" s="297"/>
      <c r="N354" s="298"/>
      <c r="P354" s="190" t="str">
        <f>IF(R354 = "", "", COUNT(R$4:$R354))</f>
        <v/>
      </c>
      <c r="Q354" s="190" t="str">
        <f t="shared" si="51"/>
        <v/>
      </c>
      <c r="R354" s="191" t="str">
        <f t="shared" si="52"/>
        <v/>
      </c>
      <c r="S354" s="192" t="str">
        <f t="shared" si="54"/>
        <v/>
      </c>
      <c r="T354" s="193" t="str">
        <f t="shared" si="55"/>
        <v/>
      </c>
      <c r="U354" s="194" t="str">
        <f t="shared" si="56"/>
        <v/>
      </c>
      <c r="V354" s="195" t="str">
        <f t="shared" si="53"/>
        <v/>
      </c>
      <c r="W354" s="336" t="str">
        <f t="shared" si="57"/>
        <v/>
      </c>
      <c r="X354" s="338" t="str">
        <f t="shared" si="58"/>
        <v/>
      </c>
      <c r="Y354" s="274"/>
      <c r="AR354" t="str">
        <f t="shared" si="59"/>
        <v/>
      </c>
      <c r="AS354" t="str">
        <f t="shared" si="60"/>
        <v/>
      </c>
    </row>
    <row r="355" spans="1:45">
      <c r="A355" s="291"/>
      <c r="B355" s="292"/>
      <c r="C355" s="293"/>
      <c r="D355" s="293"/>
      <c r="E355" s="293"/>
      <c r="F355" s="293"/>
      <c r="G355" s="294"/>
      <c r="H355" s="300"/>
      <c r="I355" s="295"/>
      <c r="J355" s="295"/>
      <c r="K355" s="296"/>
      <c r="L355" s="301"/>
      <c r="M355" s="297"/>
      <c r="N355" s="298"/>
      <c r="P355" s="190" t="str">
        <f>IF(R355 = "", "", COUNT(R$4:$R355))</f>
        <v/>
      </c>
      <c r="Q355" s="190" t="str">
        <f t="shared" si="51"/>
        <v/>
      </c>
      <c r="R355" s="191" t="str">
        <f t="shared" si="52"/>
        <v/>
      </c>
      <c r="S355" s="192" t="str">
        <f t="shared" si="54"/>
        <v/>
      </c>
      <c r="T355" s="193" t="str">
        <f t="shared" si="55"/>
        <v/>
      </c>
      <c r="U355" s="194" t="str">
        <f t="shared" si="56"/>
        <v/>
      </c>
      <c r="V355" s="195" t="str">
        <f t="shared" si="53"/>
        <v/>
      </c>
      <c r="W355" s="336" t="str">
        <f t="shared" si="57"/>
        <v/>
      </c>
      <c r="X355" s="338" t="str">
        <f t="shared" si="58"/>
        <v/>
      </c>
      <c r="Y355" s="274"/>
      <c r="AR355" t="str">
        <f t="shared" si="59"/>
        <v/>
      </c>
      <c r="AS355" t="str">
        <f t="shared" si="60"/>
        <v/>
      </c>
    </row>
    <row r="356" spans="1:45">
      <c r="A356" s="291"/>
      <c r="B356" s="292"/>
      <c r="C356" s="293"/>
      <c r="D356" s="293"/>
      <c r="E356" s="293"/>
      <c r="F356" s="293"/>
      <c r="G356" s="294"/>
      <c r="H356" s="300"/>
      <c r="I356" s="295"/>
      <c r="J356" s="295"/>
      <c r="K356" s="296"/>
      <c r="L356" s="301"/>
      <c r="M356" s="297"/>
      <c r="N356" s="298"/>
      <c r="P356" s="190" t="str">
        <f>IF(R356 = "", "", COUNT(R$4:$R356))</f>
        <v/>
      </c>
      <c r="Q356" s="190" t="str">
        <f t="shared" si="51"/>
        <v/>
      </c>
      <c r="R356" s="191" t="str">
        <f t="shared" si="52"/>
        <v/>
      </c>
      <c r="S356" s="192" t="str">
        <f t="shared" si="54"/>
        <v/>
      </c>
      <c r="T356" s="193" t="str">
        <f t="shared" si="55"/>
        <v/>
      </c>
      <c r="U356" s="194" t="str">
        <f t="shared" si="56"/>
        <v/>
      </c>
      <c r="V356" s="195" t="str">
        <f t="shared" si="53"/>
        <v/>
      </c>
      <c r="W356" s="336" t="str">
        <f t="shared" si="57"/>
        <v/>
      </c>
      <c r="X356" s="338" t="str">
        <f t="shared" si="58"/>
        <v/>
      </c>
      <c r="Y356" s="274"/>
      <c r="AR356" t="str">
        <f t="shared" si="59"/>
        <v/>
      </c>
      <c r="AS356" t="str">
        <f t="shared" si="60"/>
        <v/>
      </c>
    </row>
    <row r="357" spans="1:45">
      <c r="A357" s="291"/>
      <c r="B357" s="292"/>
      <c r="C357" s="293"/>
      <c r="D357" s="293"/>
      <c r="E357" s="293"/>
      <c r="F357" s="293"/>
      <c r="G357" s="294"/>
      <c r="H357" s="300"/>
      <c r="I357" s="295"/>
      <c r="J357" s="295"/>
      <c r="K357" s="296"/>
      <c r="L357" s="301"/>
      <c r="M357" s="297"/>
      <c r="N357" s="298"/>
      <c r="P357" s="190" t="str">
        <f>IF(R357 = "", "", COUNT(R$4:$R357))</f>
        <v/>
      </c>
      <c r="Q357" s="190" t="str">
        <f t="shared" si="51"/>
        <v/>
      </c>
      <c r="R357" s="191" t="str">
        <f t="shared" si="52"/>
        <v/>
      </c>
      <c r="S357" s="192" t="str">
        <f t="shared" si="54"/>
        <v/>
      </c>
      <c r="T357" s="193" t="str">
        <f t="shared" si="55"/>
        <v/>
      </c>
      <c r="U357" s="194" t="str">
        <f t="shared" si="56"/>
        <v/>
      </c>
      <c r="V357" s="195" t="str">
        <f t="shared" si="53"/>
        <v/>
      </c>
      <c r="W357" s="336" t="str">
        <f t="shared" si="57"/>
        <v/>
      </c>
      <c r="X357" s="338" t="str">
        <f t="shared" si="58"/>
        <v/>
      </c>
      <c r="Y357" s="274"/>
      <c r="AR357" t="str">
        <f t="shared" si="59"/>
        <v/>
      </c>
      <c r="AS357" t="str">
        <f t="shared" si="60"/>
        <v/>
      </c>
    </row>
    <row r="358" spans="1:45">
      <c r="A358" s="291"/>
      <c r="B358" s="292"/>
      <c r="C358" s="293"/>
      <c r="D358" s="293"/>
      <c r="E358" s="293"/>
      <c r="F358" s="293"/>
      <c r="G358" s="294"/>
      <c r="H358" s="300"/>
      <c r="I358" s="295"/>
      <c r="J358" s="295"/>
      <c r="K358" s="296"/>
      <c r="L358" s="301"/>
      <c r="M358" s="297"/>
      <c r="N358" s="298"/>
      <c r="P358" s="190" t="str">
        <f>IF(R358 = "", "", COUNT(R$4:$R358))</f>
        <v/>
      </c>
      <c r="Q358" s="190" t="str">
        <f t="shared" si="51"/>
        <v/>
      </c>
      <c r="R358" s="191" t="str">
        <f t="shared" si="52"/>
        <v/>
      </c>
      <c r="S358" s="192" t="str">
        <f t="shared" si="54"/>
        <v/>
      </c>
      <c r="T358" s="193" t="str">
        <f t="shared" si="55"/>
        <v/>
      </c>
      <c r="U358" s="194" t="str">
        <f t="shared" si="56"/>
        <v/>
      </c>
      <c r="V358" s="195" t="str">
        <f t="shared" si="53"/>
        <v/>
      </c>
      <c r="W358" s="336" t="str">
        <f t="shared" si="57"/>
        <v/>
      </c>
      <c r="X358" s="338" t="str">
        <f t="shared" si="58"/>
        <v/>
      </c>
      <c r="Y358" s="274"/>
      <c r="AR358" t="str">
        <f t="shared" si="59"/>
        <v/>
      </c>
      <c r="AS358" t="str">
        <f t="shared" si="60"/>
        <v/>
      </c>
    </row>
    <row r="359" spans="1:45">
      <c r="A359" s="291"/>
      <c r="B359" s="292"/>
      <c r="C359" s="293"/>
      <c r="D359" s="293"/>
      <c r="E359" s="293"/>
      <c r="F359" s="293"/>
      <c r="G359" s="294"/>
      <c r="H359" s="300"/>
      <c r="I359" s="295"/>
      <c r="J359" s="295"/>
      <c r="K359" s="296"/>
      <c r="L359" s="301"/>
      <c r="M359" s="297"/>
      <c r="N359" s="298"/>
      <c r="P359" s="190" t="str">
        <f>IF(R359 = "", "", COUNT(R$4:$R359))</f>
        <v/>
      </c>
      <c r="Q359" s="190" t="str">
        <f t="shared" si="51"/>
        <v/>
      </c>
      <c r="R359" s="191" t="str">
        <f t="shared" si="52"/>
        <v/>
      </c>
      <c r="S359" s="192" t="str">
        <f t="shared" si="54"/>
        <v/>
      </c>
      <c r="T359" s="193" t="str">
        <f t="shared" si="55"/>
        <v/>
      </c>
      <c r="U359" s="194" t="str">
        <f t="shared" si="56"/>
        <v/>
      </c>
      <c r="V359" s="195" t="str">
        <f t="shared" si="53"/>
        <v/>
      </c>
      <c r="W359" s="336" t="str">
        <f t="shared" si="57"/>
        <v/>
      </c>
      <c r="X359" s="338" t="str">
        <f t="shared" si="58"/>
        <v/>
      </c>
      <c r="Y359" s="274"/>
      <c r="AR359" t="str">
        <f t="shared" si="59"/>
        <v/>
      </c>
      <c r="AS359" t="str">
        <f t="shared" si="60"/>
        <v/>
      </c>
    </row>
    <row r="360" spans="1:45">
      <c r="A360" s="291"/>
      <c r="B360" s="292"/>
      <c r="C360" s="293"/>
      <c r="D360" s="293"/>
      <c r="E360" s="293"/>
      <c r="F360" s="293"/>
      <c r="G360" s="294"/>
      <c r="H360" s="300"/>
      <c r="I360" s="295"/>
      <c r="J360" s="295"/>
      <c r="K360" s="296"/>
      <c r="L360" s="301"/>
      <c r="M360" s="297"/>
      <c r="N360" s="298"/>
      <c r="P360" s="190" t="str">
        <f>IF(R360 = "", "", COUNT(R$4:$R360))</f>
        <v/>
      </c>
      <c r="Q360" s="190" t="str">
        <f t="shared" si="51"/>
        <v/>
      </c>
      <c r="R360" s="191" t="str">
        <f t="shared" si="52"/>
        <v/>
      </c>
      <c r="S360" s="192" t="str">
        <f t="shared" si="54"/>
        <v/>
      </c>
      <c r="T360" s="193" t="str">
        <f t="shared" si="55"/>
        <v/>
      </c>
      <c r="U360" s="194" t="str">
        <f t="shared" si="56"/>
        <v/>
      </c>
      <c r="V360" s="195" t="str">
        <f t="shared" si="53"/>
        <v/>
      </c>
      <c r="W360" s="336" t="str">
        <f t="shared" si="57"/>
        <v/>
      </c>
      <c r="X360" s="338" t="str">
        <f t="shared" si="58"/>
        <v/>
      </c>
      <c r="Y360" s="274"/>
      <c r="AR360" t="str">
        <f t="shared" si="59"/>
        <v/>
      </c>
      <c r="AS360" t="str">
        <f t="shared" si="60"/>
        <v/>
      </c>
    </row>
    <row r="361" spans="1:45">
      <c r="A361" s="291"/>
      <c r="B361" s="292"/>
      <c r="C361" s="293"/>
      <c r="D361" s="293"/>
      <c r="E361" s="293"/>
      <c r="F361" s="293"/>
      <c r="G361" s="294"/>
      <c r="H361" s="300"/>
      <c r="I361" s="295"/>
      <c r="J361" s="295"/>
      <c r="K361" s="296"/>
      <c r="L361" s="301"/>
      <c r="M361" s="297"/>
      <c r="N361" s="298"/>
      <c r="P361" s="190" t="str">
        <f>IF(R361 = "", "", COUNT(R$4:$R361))</f>
        <v/>
      </c>
      <c r="Q361" s="190" t="str">
        <f t="shared" si="51"/>
        <v/>
      </c>
      <c r="R361" s="191" t="str">
        <f t="shared" si="52"/>
        <v/>
      </c>
      <c r="S361" s="192" t="str">
        <f t="shared" si="54"/>
        <v/>
      </c>
      <c r="T361" s="193" t="str">
        <f t="shared" si="55"/>
        <v/>
      </c>
      <c r="U361" s="194" t="str">
        <f t="shared" si="56"/>
        <v/>
      </c>
      <c r="V361" s="195" t="str">
        <f t="shared" si="53"/>
        <v/>
      </c>
      <c r="W361" s="336" t="str">
        <f t="shared" si="57"/>
        <v/>
      </c>
      <c r="X361" s="338" t="str">
        <f t="shared" si="58"/>
        <v/>
      </c>
      <c r="Y361" s="274"/>
      <c r="AR361" t="str">
        <f t="shared" si="59"/>
        <v/>
      </c>
      <c r="AS361" t="str">
        <f t="shared" si="60"/>
        <v/>
      </c>
    </row>
    <row r="362" spans="1:45">
      <c r="A362" s="291"/>
      <c r="B362" s="292"/>
      <c r="C362" s="293"/>
      <c r="D362" s="293"/>
      <c r="E362" s="293"/>
      <c r="F362" s="293"/>
      <c r="G362" s="294"/>
      <c r="H362" s="300"/>
      <c r="I362" s="295"/>
      <c r="J362" s="295"/>
      <c r="K362" s="296"/>
      <c r="L362" s="301"/>
      <c r="M362" s="297"/>
      <c r="N362" s="298"/>
      <c r="P362" s="190" t="str">
        <f>IF(R362 = "", "", COUNT(R$4:$R362))</f>
        <v/>
      </c>
      <c r="Q362" s="190" t="str">
        <f t="shared" si="51"/>
        <v/>
      </c>
      <c r="R362" s="191" t="str">
        <f t="shared" si="52"/>
        <v/>
      </c>
      <c r="S362" s="192" t="str">
        <f t="shared" si="54"/>
        <v/>
      </c>
      <c r="T362" s="193" t="str">
        <f t="shared" si="55"/>
        <v/>
      </c>
      <c r="U362" s="194" t="str">
        <f t="shared" si="56"/>
        <v/>
      </c>
      <c r="V362" s="195" t="str">
        <f t="shared" si="53"/>
        <v/>
      </c>
      <c r="W362" s="336" t="str">
        <f t="shared" si="57"/>
        <v/>
      </c>
      <c r="X362" s="338" t="str">
        <f t="shared" si="58"/>
        <v/>
      </c>
      <c r="Y362" s="274"/>
      <c r="AR362" t="str">
        <f t="shared" si="59"/>
        <v/>
      </c>
      <c r="AS362" t="str">
        <f t="shared" si="60"/>
        <v/>
      </c>
    </row>
    <row r="363" spans="1:45">
      <c r="A363" s="291"/>
      <c r="B363" s="292"/>
      <c r="C363" s="293"/>
      <c r="D363" s="293"/>
      <c r="E363" s="293"/>
      <c r="F363" s="293"/>
      <c r="G363" s="294"/>
      <c r="H363" s="300"/>
      <c r="I363" s="295"/>
      <c r="J363" s="295"/>
      <c r="K363" s="296"/>
      <c r="L363" s="301"/>
      <c r="M363" s="297"/>
      <c r="N363" s="298"/>
      <c r="P363" s="190" t="str">
        <f>IF(R363 = "", "", COUNT(R$4:$R363))</f>
        <v/>
      </c>
      <c r="Q363" s="190" t="str">
        <f t="shared" si="51"/>
        <v/>
      </c>
      <c r="R363" s="191" t="str">
        <f t="shared" si="52"/>
        <v/>
      </c>
      <c r="S363" s="192" t="str">
        <f t="shared" si="54"/>
        <v/>
      </c>
      <c r="T363" s="193" t="str">
        <f t="shared" si="55"/>
        <v/>
      </c>
      <c r="U363" s="194" t="str">
        <f t="shared" si="56"/>
        <v/>
      </c>
      <c r="V363" s="195" t="str">
        <f t="shared" si="53"/>
        <v/>
      </c>
      <c r="W363" s="336" t="str">
        <f t="shared" si="57"/>
        <v/>
      </c>
      <c r="X363" s="338" t="str">
        <f t="shared" si="58"/>
        <v/>
      </c>
      <c r="Y363" s="274"/>
      <c r="AR363" t="str">
        <f t="shared" si="59"/>
        <v/>
      </c>
      <c r="AS363" t="str">
        <f t="shared" si="60"/>
        <v/>
      </c>
    </row>
    <row r="364" spans="1:45">
      <c r="A364" s="291"/>
      <c r="B364" s="292"/>
      <c r="C364" s="293"/>
      <c r="D364" s="293"/>
      <c r="E364" s="293"/>
      <c r="F364" s="293"/>
      <c r="G364" s="294"/>
      <c r="H364" s="300"/>
      <c r="I364" s="295"/>
      <c r="J364" s="295"/>
      <c r="K364" s="296"/>
      <c r="L364" s="301"/>
      <c r="M364" s="297"/>
      <c r="N364" s="298"/>
      <c r="P364" s="190" t="str">
        <f>IF(R364 = "", "", COUNT(R$4:$R364))</f>
        <v/>
      </c>
      <c r="Q364" s="190" t="str">
        <f t="shared" si="51"/>
        <v/>
      </c>
      <c r="R364" s="191" t="str">
        <f t="shared" si="52"/>
        <v/>
      </c>
      <c r="S364" s="192" t="str">
        <f t="shared" si="54"/>
        <v/>
      </c>
      <c r="T364" s="193" t="str">
        <f t="shared" si="55"/>
        <v/>
      </c>
      <c r="U364" s="194" t="str">
        <f t="shared" si="56"/>
        <v/>
      </c>
      <c r="V364" s="195" t="str">
        <f t="shared" si="53"/>
        <v/>
      </c>
      <c r="W364" s="336" t="str">
        <f t="shared" si="57"/>
        <v/>
      </c>
      <c r="X364" s="338" t="str">
        <f t="shared" si="58"/>
        <v/>
      </c>
      <c r="Y364" s="274"/>
      <c r="AR364" t="str">
        <f t="shared" si="59"/>
        <v/>
      </c>
      <c r="AS364" t="str">
        <f t="shared" si="60"/>
        <v/>
      </c>
    </row>
    <row r="365" spans="1:45">
      <c r="A365" s="291"/>
      <c r="B365" s="292"/>
      <c r="C365" s="293"/>
      <c r="D365" s="293"/>
      <c r="E365" s="293"/>
      <c r="F365" s="293"/>
      <c r="G365" s="294"/>
      <c r="H365" s="300"/>
      <c r="I365" s="295"/>
      <c r="J365" s="295"/>
      <c r="K365" s="296"/>
      <c r="L365" s="301"/>
      <c r="M365" s="297"/>
      <c r="N365" s="298"/>
      <c r="P365" s="190" t="str">
        <f>IF(R365 = "", "", COUNT(R$4:$R365))</f>
        <v/>
      </c>
      <c r="Q365" s="190" t="str">
        <f t="shared" si="51"/>
        <v/>
      </c>
      <c r="R365" s="191" t="str">
        <f t="shared" si="52"/>
        <v/>
      </c>
      <c r="S365" s="192" t="str">
        <f t="shared" si="54"/>
        <v/>
      </c>
      <c r="T365" s="193" t="str">
        <f t="shared" si="55"/>
        <v/>
      </c>
      <c r="U365" s="194" t="str">
        <f t="shared" si="56"/>
        <v/>
      </c>
      <c r="V365" s="195" t="str">
        <f t="shared" si="53"/>
        <v/>
      </c>
      <c r="W365" s="336" t="str">
        <f t="shared" si="57"/>
        <v/>
      </c>
      <c r="X365" s="338" t="str">
        <f t="shared" si="58"/>
        <v/>
      </c>
      <c r="Y365" s="274"/>
      <c r="AR365" t="str">
        <f t="shared" si="59"/>
        <v/>
      </c>
      <c r="AS365" t="str">
        <f t="shared" si="60"/>
        <v/>
      </c>
    </row>
    <row r="366" spans="1:45">
      <c r="A366" s="291"/>
      <c r="B366" s="292"/>
      <c r="C366" s="293"/>
      <c r="D366" s="293"/>
      <c r="E366" s="293"/>
      <c r="F366" s="293"/>
      <c r="G366" s="294"/>
      <c r="H366" s="300"/>
      <c r="I366" s="295"/>
      <c r="J366" s="295"/>
      <c r="K366" s="296"/>
      <c r="L366" s="301"/>
      <c r="M366" s="297"/>
      <c r="N366" s="298"/>
      <c r="P366" s="190" t="str">
        <f>IF(R366 = "", "", COUNT(R$4:$R366))</f>
        <v/>
      </c>
      <c r="Q366" s="190" t="str">
        <f t="shared" si="51"/>
        <v/>
      </c>
      <c r="R366" s="191" t="str">
        <f t="shared" si="52"/>
        <v/>
      </c>
      <c r="S366" s="192" t="str">
        <f t="shared" si="54"/>
        <v/>
      </c>
      <c r="T366" s="193" t="str">
        <f t="shared" si="55"/>
        <v/>
      </c>
      <c r="U366" s="194" t="str">
        <f t="shared" si="56"/>
        <v/>
      </c>
      <c r="V366" s="195" t="str">
        <f t="shared" si="53"/>
        <v/>
      </c>
      <c r="W366" s="336" t="str">
        <f t="shared" si="57"/>
        <v/>
      </c>
      <c r="X366" s="338" t="str">
        <f t="shared" si="58"/>
        <v/>
      </c>
      <c r="Y366" s="274"/>
      <c r="AR366" t="str">
        <f t="shared" si="59"/>
        <v/>
      </c>
      <c r="AS366" t="str">
        <f t="shared" si="60"/>
        <v/>
      </c>
    </row>
    <row r="367" spans="1:45">
      <c r="A367" s="291"/>
      <c r="B367" s="292"/>
      <c r="C367" s="293"/>
      <c r="D367" s="293"/>
      <c r="E367" s="293"/>
      <c r="F367" s="293"/>
      <c r="G367" s="294"/>
      <c r="H367" s="300"/>
      <c r="I367" s="295"/>
      <c r="J367" s="295"/>
      <c r="K367" s="296"/>
      <c r="L367" s="301"/>
      <c r="M367" s="297"/>
      <c r="N367" s="298"/>
      <c r="P367" s="190" t="str">
        <f>IF(R367 = "", "", COUNT(R$4:$R367))</f>
        <v/>
      </c>
      <c r="Q367" s="190" t="str">
        <f t="shared" si="51"/>
        <v/>
      </c>
      <c r="R367" s="191" t="str">
        <f t="shared" si="52"/>
        <v/>
      </c>
      <c r="S367" s="192" t="str">
        <f t="shared" si="54"/>
        <v/>
      </c>
      <c r="T367" s="193" t="str">
        <f t="shared" si="55"/>
        <v/>
      </c>
      <c r="U367" s="194" t="str">
        <f t="shared" si="56"/>
        <v/>
      </c>
      <c r="V367" s="195" t="str">
        <f t="shared" si="53"/>
        <v/>
      </c>
      <c r="W367" s="336" t="str">
        <f t="shared" si="57"/>
        <v/>
      </c>
      <c r="X367" s="338" t="str">
        <f t="shared" si="58"/>
        <v/>
      </c>
      <c r="Y367" s="274"/>
      <c r="AR367" t="str">
        <f t="shared" si="59"/>
        <v/>
      </c>
      <c r="AS367" t="str">
        <f t="shared" si="60"/>
        <v/>
      </c>
    </row>
    <row r="368" spans="1:45">
      <c r="A368" s="291"/>
      <c r="B368" s="292"/>
      <c r="C368" s="293"/>
      <c r="D368" s="293"/>
      <c r="E368" s="293"/>
      <c r="F368" s="293"/>
      <c r="G368" s="294"/>
      <c r="H368" s="300"/>
      <c r="I368" s="295"/>
      <c r="J368" s="295"/>
      <c r="K368" s="296"/>
      <c r="L368" s="301"/>
      <c r="M368" s="297"/>
      <c r="N368" s="298"/>
      <c r="P368" s="190" t="str">
        <f>IF(R368 = "", "", COUNT(R$4:$R368))</f>
        <v/>
      </c>
      <c r="Q368" s="190" t="str">
        <f t="shared" si="51"/>
        <v/>
      </c>
      <c r="R368" s="191" t="str">
        <f t="shared" si="52"/>
        <v/>
      </c>
      <c r="S368" s="192" t="str">
        <f t="shared" si="54"/>
        <v/>
      </c>
      <c r="T368" s="193" t="str">
        <f t="shared" si="55"/>
        <v/>
      </c>
      <c r="U368" s="194" t="str">
        <f t="shared" si="56"/>
        <v/>
      </c>
      <c r="V368" s="195" t="str">
        <f t="shared" si="53"/>
        <v/>
      </c>
      <c r="W368" s="336" t="str">
        <f t="shared" si="57"/>
        <v/>
      </c>
      <c r="X368" s="338" t="str">
        <f t="shared" si="58"/>
        <v/>
      </c>
      <c r="Y368" s="274"/>
      <c r="AR368" t="str">
        <f t="shared" si="59"/>
        <v/>
      </c>
      <c r="AS368" t="str">
        <f t="shared" si="60"/>
        <v/>
      </c>
    </row>
    <row r="369" spans="1:45">
      <c r="A369" s="291"/>
      <c r="B369" s="292"/>
      <c r="C369" s="293"/>
      <c r="D369" s="293"/>
      <c r="E369" s="293"/>
      <c r="F369" s="293"/>
      <c r="G369" s="294"/>
      <c r="H369" s="300"/>
      <c r="I369" s="295"/>
      <c r="J369" s="295"/>
      <c r="K369" s="296"/>
      <c r="L369" s="301"/>
      <c r="M369" s="297"/>
      <c r="N369" s="298"/>
      <c r="P369" s="190" t="str">
        <f>IF(R369 = "", "", COUNT(R$4:$R369))</f>
        <v/>
      </c>
      <c r="Q369" s="190" t="str">
        <f t="shared" si="51"/>
        <v/>
      </c>
      <c r="R369" s="191" t="str">
        <f t="shared" si="52"/>
        <v/>
      </c>
      <c r="S369" s="192" t="str">
        <f t="shared" si="54"/>
        <v/>
      </c>
      <c r="T369" s="193" t="str">
        <f t="shared" si="55"/>
        <v/>
      </c>
      <c r="U369" s="194" t="str">
        <f t="shared" si="56"/>
        <v/>
      </c>
      <c r="V369" s="195" t="str">
        <f t="shared" si="53"/>
        <v/>
      </c>
      <c r="W369" s="336" t="str">
        <f t="shared" si="57"/>
        <v/>
      </c>
      <c r="X369" s="338" t="str">
        <f t="shared" si="58"/>
        <v/>
      </c>
      <c r="Y369" s="274"/>
      <c r="AR369" t="str">
        <f t="shared" si="59"/>
        <v/>
      </c>
      <c r="AS369" t="str">
        <f t="shared" si="60"/>
        <v/>
      </c>
    </row>
    <row r="370" spans="1:45">
      <c r="A370" s="291"/>
      <c r="B370" s="292"/>
      <c r="C370" s="293"/>
      <c r="D370" s="293"/>
      <c r="E370" s="293"/>
      <c r="F370" s="293"/>
      <c r="G370" s="294"/>
      <c r="H370" s="300"/>
      <c r="I370" s="295"/>
      <c r="J370" s="295"/>
      <c r="K370" s="296"/>
      <c r="L370" s="301"/>
      <c r="M370" s="297"/>
      <c r="N370" s="298"/>
      <c r="P370" s="190" t="str">
        <f>IF(R370 = "", "", COUNT(R$4:$R370))</f>
        <v/>
      </c>
      <c r="Q370" s="190" t="str">
        <f t="shared" si="51"/>
        <v/>
      </c>
      <c r="R370" s="191" t="str">
        <f t="shared" si="52"/>
        <v/>
      </c>
      <c r="S370" s="192" t="str">
        <f t="shared" si="54"/>
        <v/>
      </c>
      <c r="T370" s="193" t="str">
        <f t="shared" si="55"/>
        <v/>
      </c>
      <c r="U370" s="194" t="str">
        <f t="shared" si="56"/>
        <v/>
      </c>
      <c r="V370" s="195" t="str">
        <f t="shared" si="53"/>
        <v/>
      </c>
      <c r="W370" s="336" t="str">
        <f t="shared" si="57"/>
        <v/>
      </c>
      <c r="X370" s="338" t="str">
        <f t="shared" si="58"/>
        <v/>
      </c>
      <c r="Y370" s="274"/>
      <c r="AR370" t="str">
        <f t="shared" si="59"/>
        <v/>
      </c>
      <c r="AS370" t="str">
        <f t="shared" si="60"/>
        <v/>
      </c>
    </row>
    <row r="371" spans="1:45">
      <c r="A371" s="291"/>
      <c r="B371" s="292"/>
      <c r="C371" s="293"/>
      <c r="D371" s="293"/>
      <c r="E371" s="293"/>
      <c r="F371" s="293"/>
      <c r="G371" s="294"/>
      <c r="H371" s="300"/>
      <c r="I371" s="295"/>
      <c r="J371" s="295"/>
      <c r="K371" s="296"/>
      <c r="L371" s="301"/>
      <c r="M371" s="297"/>
      <c r="N371" s="298"/>
      <c r="P371" s="190" t="str">
        <f>IF(R371 = "", "", COUNT(R$4:$R371))</f>
        <v/>
      </c>
      <c r="Q371" s="190" t="str">
        <f t="shared" si="51"/>
        <v/>
      </c>
      <c r="R371" s="191" t="str">
        <f t="shared" si="52"/>
        <v/>
      </c>
      <c r="S371" s="192" t="str">
        <f t="shared" si="54"/>
        <v/>
      </c>
      <c r="T371" s="193" t="str">
        <f t="shared" si="55"/>
        <v/>
      </c>
      <c r="U371" s="194" t="str">
        <f t="shared" si="56"/>
        <v/>
      </c>
      <c r="V371" s="195" t="str">
        <f t="shared" si="53"/>
        <v/>
      </c>
      <c r="W371" s="336" t="str">
        <f t="shared" si="57"/>
        <v/>
      </c>
      <c r="X371" s="338" t="str">
        <f t="shared" si="58"/>
        <v/>
      </c>
      <c r="Y371" s="274"/>
      <c r="AR371" t="str">
        <f t="shared" si="59"/>
        <v/>
      </c>
      <c r="AS371" t="str">
        <f t="shared" si="60"/>
        <v/>
      </c>
    </row>
    <row r="372" spans="1:45">
      <c r="A372" s="291"/>
      <c r="B372" s="292"/>
      <c r="C372" s="293"/>
      <c r="D372" s="293"/>
      <c r="E372" s="293"/>
      <c r="F372" s="293"/>
      <c r="G372" s="294"/>
      <c r="H372" s="300"/>
      <c r="I372" s="295"/>
      <c r="J372" s="295"/>
      <c r="K372" s="296"/>
      <c r="L372" s="301"/>
      <c r="M372" s="297"/>
      <c r="N372" s="298"/>
      <c r="P372" s="190" t="str">
        <f>IF(R372 = "", "", COUNT(R$4:$R372))</f>
        <v/>
      </c>
      <c r="Q372" s="190" t="str">
        <f t="shared" si="51"/>
        <v/>
      </c>
      <c r="R372" s="191" t="str">
        <f t="shared" si="52"/>
        <v/>
      </c>
      <c r="S372" s="192" t="str">
        <f t="shared" si="54"/>
        <v/>
      </c>
      <c r="T372" s="193" t="str">
        <f t="shared" si="55"/>
        <v/>
      </c>
      <c r="U372" s="194" t="str">
        <f t="shared" si="56"/>
        <v/>
      </c>
      <c r="V372" s="195" t="str">
        <f t="shared" si="53"/>
        <v/>
      </c>
      <c r="W372" s="336" t="str">
        <f t="shared" si="57"/>
        <v/>
      </c>
      <c r="X372" s="338" t="str">
        <f t="shared" si="58"/>
        <v/>
      </c>
      <c r="Y372" s="274"/>
      <c r="AR372" t="str">
        <f t="shared" si="59"/>
        <v/>
      </c>
      <c r="AS372" t="str">
        <f t="shared" si="60"/>
        <v/>
      </c>
    </row>
    <row r="373" spans="1:45">
      <c r="A373" s="291"/>
      <c r="B373" s="292"/>
      <c r="C373" s="293"/>
      <c r="D373" s="293"/>
      <c r="E373" s="293"/>
      <c r="F373" s="293"/>
      <c r="G373" s="294"/>
      <c r="H373" s="300"/>
      <c r="I373" s="295"/>
      <c r="J373" s="295"/>
      <c r="K373" s="296"/>
      <c r="L373" s="301"/>
      <c r="M373" s="297"/>
      <c r="N373" s="298"/>
      <c r="P373" s="190" t="str">
        <f>IF(R373 = "", "", COUNT(R$4:$R373))</f>
        <v/>
      </c>
      <c r="Q373" s="190" t="str">
        <f t="shared" si="51"/>
        <v/>
      </c>
      <c r="R373" s="191" t="str">
        <f t="shared" si="52"/>
        <v/>
      </c>
      <c r="S373" s="192" t="str">
        <f t="shared" si="54"/>
        <v/>
      </c>
      <c r="T373" s="193" t="str">
        <f t="shared" si="55"/>
        <v/>
      </c>
      <c r="U373" s="194" t="str">
        <f t="shared" si="56"/>
        <v/>
      </c>
      <c r="V373" s="195" t="str">
        <f t="shared" si="53"/>
        <v/>
      </c>
      <c r="W373" s="336" t="str">
        <f t="shared" si="57"/>
        <v/>
      </c>
      <c r="X373" s="338" t="str">
        <f t="shared" si="58"/>
        <v/>
      </c>
      <c r="Y373" s="274"/>
      <c r="AR373" t="str">
        <f t="shared" si="59"/>
        <v/>
      </c>
      <c r="AS373" t="str">
        <f t="shared" si="60"/>
        <v/>
      </c>
    </row>
    <row r="374" spans="1:45">
      <c r="A374" s="291"/>
      <c r="B374" s="292"/>
      <c r="C374" s="293"/>
      <c r="D374" s="293"/>
      <c r="E374" s="293"/>
      <c r="F374" s="293"/>
      <c r="G374" s="294"/>
      <c r="H374" s="300"/>
      <c r="I374" s="295"/>
      <c r="J374" s="295"/>
      <c r="K374" s="296"/>
      <c r="L374" s="301"/>
      <c r="M374" s="297"/>
      <c r="N374" s="298"/>
      <c r="P374" s="190" t="str">
        <f>IF(R374 = "", "", COUNT(R$4:$R374))</f>
        <v/>
      </c>
      <c r="Q374" s="190" t="str">
        <f t="shared" si="51"/>
        <v/>
      </c>
      <c r="R374" s="191" t="str">
        <f t="shared" si="52"/>
        <v/>
      </c>
      <c r="S374" s="192" t="str">
        <f t="shared" si="54"/>
        <v/>
      </c>
      <c r="T374" s="193" t="str">
        <f t="shared" si="55"/>
        <v/>
      </c>
      <c r="U374" s="194" t="str">
        <f t="shared" si="56"/>
        <v/>
      </c>
      <c r="V374" s="195" t="str">
        <f t="shared" si="53"/>
        <v/>
      </c>
      <c r="W374" s="336" t="str">
        <f t="shared" si="57"/>
        <v/>
      </c>
      <c r="X374" s="338" t="str">
        <f t="shared" si="58"/>
        <v/>
      </c>
      <c r="Y374" s="274"/>
      <c r="AR374" t="str">
        <f t="shared" si="59"/>
        <v/>
      </c>
      <c r="AS374" t="str">
        <f t="shared" si="60"/>
        <v/>
      </c>
    </row>
    <row r="375" spans="1:45">
      <c r="A375" s="291"/>
      <c r="B375" s="292"/>
      <c r="C375" s="293"/>
      <c r="D375" s="293"/>
      <c r="E375" s="293"/>
      <c r="F375" s="293"/>
      <c r="G375" s="294"/>
      <c r="H375" s="300"/>
      <c r="I375" s="295"/>
      <c r="J375" s="295"/>
      <c r="K375" s="296"/>
      <c r="L375" s="301"/>
      <c r="M375" s="297"/>
      <c r="N375" s="298"/>
      <c r="P375" s="190" t="str">
        <f>IF(R375 = "", "", COUNT(R$4:$R375))</f>
        <v/>
      </c>
      <c r="Q375" s="190" t="str">
        <f t="shared" si="51"/>
        <v/>
      </c>
      <c r="R375" s="191" t="str">
        <f t="shared" si="52"/>
        <v/>
      </c>
      <c r="S375" s="192" t="str">
        <f t="shared" si="54"/>
        <v/>
      </c>
      <c r="T375" s="193" t="str">
        <f t="shared" si="55"/>
        <v/>
      </c>
      <c r="U375" s="194" t="str">
        <f t="shared" si="56"/>
        <v/>
      </c>
      <c r="V375" s="195" t="str">
        <f t="shared" si="53"/>
        <v/>
      </c>
      <c r="W375" s="336" t="str">
        <f t="shared" si="57"/>
        <v/>
      </c>
      <c r="X375" s="338" t="str">
        <f t="shared" si="58"/>
        <v/>
      </c>
      <c r="Y375" s="274"/>
      <c r="AR375" t="str">
        <f t="shared" si="59"/>
        <v/>
      </c>
      <c r="AS375" t="str">
        <f t="shared" si="60"/>
        <v/>
      </c>
    </row>
    <row r="376" spans="1:45">
      <c r="A376" s="291"/>
      <c r="B376" s="292"/>
      <c r="C376" s="293"/>
      <c r="D376" s="293"/>
      <c r="E376" s="293"/>
      <c r="F376" s="293"/>
      <c r="G376" s="294"/>
      <c r="H376" s="300"/>
      <c r="I376" s="295"/>
      <c r="J376" s="295"/>
      <c r="K376" s="296"/>
      <c r="L376" s="301"/>
      <c r="M376" s="297"/>
      <c r="N376" s="298"/>
      <c r="P376" s="190" t="str">
        <f>IF(R376 = "", "", COUNT(R$4:$R376))</f>
        <v/>
      </c>
      <c r="Q376" s="190" t="str">
        <f t="shared" si="51"/>
        <v/>
      </c>
      <c r="R376" s="191" t="str">
        <f t="shared" si="52"/>
        <v/>
      </c>
      <c r="S376" s="192" t="str">
        <f t="shared" si="54"/>
        <v/>
      </c>
      <c r="T376" s="193" t="str">
        <f t="shared" si="55"/>
        <v/>
      </c>
      <c r="U376" s="194" t="str">
        <f t="shared" si="56"/>
        <v/>
      </c>
      <c r="V376" s="195" t="str">
        <f t="shared" si="53"/>
        <v/>
      </c>
      <c r="W376" s="336" t="str">
        <f t="shared" si="57"/>
        <v/>
      </c>
      <c r="X376" s="338" t="str">
        <f t="shared" si="58"/>
        <v/>
      </c>
      <c r="Y376" s="274"/>
      <c r="AR376" t="str">
        <f t="shared" si="59"/>
        <v/>
      </c>
      <c r="AS376" t="str">
        <f t="shared" si="60"/>
        <v/>
      </c>
    </row>
    <row r="377" spans="1:45">
      <c r="A377" s="291"/>
      <c r="B377" s="292"/>
      <c r="C377" s="293"/>
      <c r="D377" s="293"/>
      <c r="E377" s="293"/>
      <c r="F377" s="293"/>
      <c r="G377" s="294"/>
      <c r="H377" s="300"/>
      <c r="I377" s="295"/>
      <c r="J377" s="295"/>
      <c r="K377" s="296"/>
      <c r="L377" s="301"/>
      <c r="M377" s="297"/>
      <c r="N377" s="298"/>
      <c r="P377" s="190" t="str">
        <f>IF(R377 = "", "", COUNT(R$4:$R377))</f>
        <v/>
      </c>
      <c r="Q377" s="190" t="str">
        <f t="shared" si="51"/>
        <v/>
      </c>
      <c r="R377" s="191" t="str">
        <f t="shared" si="52"/>
        <v/>
      </c>
      <c r="S377" s="192" t="str">
        <f t="shared" si="54"/>
        <v/>
      </c>
      <c r="T377" s="193" t="str">
        <f t="shared" si="55"/>
        <v/>
      </c>
      <c r="U377" s="194" t="str">
        <f t="shared" si="56"/>
        <v/>
      </c>
      <c r="V377" s="195" t="str">
        <f t="shared" si="53"/>
        <v/>
      </c>
      <c r="W377" s="336" t="str">
        <f t="shared" si="57"/>
        <v/>
      </c>
      <c r="X377" s="338" t="str">
        <f t="shared" si="58"/>
        <v/>
      </c>
      <c r="Y377" s="274"/>
      <c r="AR377" t="str">
        <f t="shared" si="59"/>
        <v/>
      </c>
      <c r="AS377" t="str">
        <f t="shared" si="60"/>
        <v/>
      </c>
    </row>
    <row r="378" spans="1:45">
      <c r="A378" s="291"/>
      <c r="B378" s="292"/>
      <c r="C378" s="293"/>
      <c r="D378" s="293"/>
      <c r="E378" s="293"/>
      <c r="F378" s="293"/>
      <c r="G378" s="294"/>
      <c r="H378" s="300"/>
      <c r="I378" s="295"/>
      <c r="J378" s="295"/>
      <c r="K378" s="296"/>
      <c r="L378" s="301"/>
      <c r="M378" s="297"/>
      <c r="N378" s="298"/>
      <c r="P378" s="190" t="str">
        <f>IF(R378 = "", "", COUNT(R$4:$R378))</f>
        <v/>
      </c>
      <c r="Q378" s="190" t="str">
        <f t="shared" si="51"/>
        <v/>
      </c>
      <c r="R378" s="191" t="str">
        <f t="shared" si="52"/>
        <v/>
      </c>
      <c r="S378" s="192" t="str">
        <f t="shared" si="54"/>
        <v/>
      </c>
      <c r="T378" s="193" t="str">
        <f t="shared" si="55"/>
        <v/>
      </c>
      <c r="U378" s="194" t="str">
        <f t="shared" si="56"/>
        <v/>
      </c>
      <c r="V378" s="195" t="str">
        <f t="shared" si="53"/>
        <v/>
      </c>
      <c r="W378" s="336" t="str">
        <f t="shared" si="57"/>
        <v/>
      </c>
      <c r="X378" s="338" t="str">
        <f t="shared" si="58"/>
        <v/>
      </c>
      <c r="Y378" s="274"/>
      <c r="AR378" t="str">
        <f t="shared" si="59"/>
        <v/>
      </c>
      <c r="AS378" t="str">
        <f t="shared" si="60"/>
        <v/>
      </c>
    </row>
    <row r="379" spans="1:45">
      <c r="A379" s="291"/>
      <c r="B379" s="292"/>
      <c r="C379" s="293"/>
      <c r="D379" s="293"/>
      <c r="E379" s="293"/>
      <c r="F379" s="293"/>
      <c r="G379" s="294"/>
      <c r="H379" s="300"/>
      <c r="I379" s="295"/>
      <c r="J379" s="295"/>
      <c r="K379" s="296"/>
      <c r="L379" s="301"/>
      <c r="M379" s="297"/>
      <c r="N379" s="298"/>
      <c r="P379" s="190" t="str">
        <f>IF(R379 = "", "", COUNT(R$4:$R379))</f>
        <v/>
      </c>
      <c r="Q379" s="190" t="str">
        <f t="shared" si="51"/>
        <v/>
      </c>
      <c r="R379" s="191" t="str">
        <f t="shared" si="52"/>
        <v/>
      </c>
      <c r="S379" s="192" t="str">
        <f t="shared" si="54"/>
        <v/>
      </c>
      <c r="T379" s="193" t="str">
        <f t="shared" si="55"/>
        <v/>
      </c>
      <c r="U379" s="194" t="str">
        <f t="shared" si="56"/>
        <v/>
      </c>
      <c r="V379" s="195" t="str">
        <f t="shared" si="53"/>
        <v/>
      </c>
      <c r="W379" s="336" t="str">
        <f t="shared" si="57"/>
        <v/>
      </c>
      <c r="X379" s="338" t="str">
        <f t="shared" si="58"/>
        <v/>
      </c>
      <c r="Y379" s="274"/>
      <c r="AR379" t="str">
        <f t="shared" si="59"/>
        <v/>
      </c>
      <c r="AS379" t="str">
        <f t="shared" si="60"/>
        <v/>
      </c>
    </row>
    <row r="380" spans="1:45">
      <c r="A380" s="291"/>
      <c r="B380" s="292"/>
      <c r="C380" s="293"/>
      <c r="D380" s="293"/>
      <c r="E380" s="293"/>
      <c r="F380" s="293"/>
      <c r="G380" s="294"/>
      <c r="H380" s="300"/>
      <c r="I380" s="295"/>
      <c r="J380" s="295"/>
      <c r="K380" s="296"/>
      <c r="L380" s="301"/>
      <c r="M380" s="297"/>
      <c r="N380" s="298"/>
      <c r="P380" s="190" t="str">
        <f>IF(R380 = "", "", COUNT(R$4:$R380))</f>
        <v/>
      </c>
      <c r="Q380" s="190" t="str">
        <f t="shared" si="51"/>
        <v/>
      </c>
      <c r="R380" s="191" t="str">
        <f t="shared" si="52"/>
        <v/>
      </c>
      <c r="S380" s="192" t="str">
        <f t="shared" si="54"/>
        <v/>
      </c>
      <c r="T380" s="193" t="str">
        <f t="shared" si="55"/>
        <v/>
      </c>
      <c r="U380" s="194" t="str">
        <f t="shared" si="56"/>
        <v/>
      </c>
      <c r="V380" s="195" t="str">
        <f t="shared" si="53"/>
        <v/>
      </c>
      <c r="W380" s="336" t="str">
        <f t="shared" si="57"/>
        <v/>
      </c>
      <c r="X380" s="338" t="str">
        <f t="shared" si="58"/>
        <v/>
      </c>
      <c r="Y380" s="274"/>
      <c r="AR380" t="str">
        <f t="shared" si="59"/>
        <v/>
      </c>
      <c r="AS380" t="str">
        <f t="shared" si="60"/>
        <v/>
      </c>
    </row>
    <row r="381" spans="1:45">
      <c r="A381" s="291"/>
      <c r="B381" s="292"/>
      <c r="C381" s="293"/>
      <c r="D381" s="293"/>
      <c r="E381" s="293"/>
      <c r="F381" s="293"/>
      <c r="G381" s="294"/>
      <c r="H381" s="300"/>
      <c r="I381" s="295"/>
      <c r="J381" s="295"/>
      <c r="K381" s="296"/>
      <c r="L381" s="301"/>
      <c r="M381" s="297"/>
      <c r="N381" s="298"/>
      <c r="P381" s="190" t="str">
        <f>IF(R381 = "", "", COUNT(R$4:$R381))</f>
        <v/>
      </c>
      <c r="Q381" s="190" t="str">
        <f t="shared" si="51"/>
        <v/>
      </c>
      <c r="R381" s="191" t="str">
        <f t="shared" si="52"/>
        <v/>
      </c>
      <c r="S381" s="192" t="str">
        <f t="shared" si="54"/>
        <v/>
      </c>
      <c r="T381" s="193" t="str">
        <f t="shared" si="55"/>
        <v/>
      </c>
      <c r="U381" s="194" t="str">
        <f t="shared" si="56"/>
        <v/>
      </c>
      <c r="V381" s="195" t="str">
        <f t="shared" si="53"/>
        <v/>
      </c>
      <c r="W381" s="336" t="str">
        <f t="shared" si="57"/>
        <v/>
      </c>
      <c r="X381" s="338" t="str">
        <f t="shared" si="58"/>
        <v/>
      </c>
      <c r="Y381" s="274"/>
      <c r="AR381" t="str">
        <f t="shared" si="59"/>
        <v/>
      </c>
      <c r="AS381" t="str">
        <f t="shared" si="60"/>
        <v/>
      </c>
    </row>
    <row r="382" spans="1:45">
      <c r="A382" s="291"/>
      <c r="B382" s="292"/>
      <c r="C382" s="293"/>
      <c r="D382" s="293"/>
      <c r="E382" s="293"/>
      <c r="F382" s="293"/>
      <c r="G382" s="294"/>
      <c r="H382" s="300"/>
      <c r="I382" s="295"/>
      <c r="J382" s="295"/>
      <c r="K382" s="296"/>
      <c r="L382" s="301"/>
      <c r="M382" s="297"/>
      <c r="N382" s="298"/>
      <c r="P382" s="190" t="str">
        <f>IF(R382 = "", "", COUNT(R$4:$R382))</f>
        <v/>
      </c>
      <c r="Q382" s="190" t="str">
        <f t="shared" si="51"/>
        <v/>
      </c>
      <c r="R382" s="191" t="str">
        <f t="shared" si="52"/>
        <v/>
      </c>
      <c r="S382" s="192" t="str">
        <f t="shared" si="54"/>
        <v/>
      </c>
      <c r="T382" s="193" t="str">
        <f t="shared" si="55"/>
        <v/>
      </c>
      <c r="U382" s="194" t="str">
        <f t="shared" si="56"/>
        <v/>
      </c>
      <c r="V382" s="195" t="str">
        <f t="shared" si="53"/>
        <v/>
      </c>
      <c r="W382" s="336" t="str">
        <f t="shared" si="57"/>
        <v/>
      </c>
      <c r="X382" s="338" t="str">
        <f t="shared" si="58"/>
        <v/>
      </c>
      <c r="Y382" s="274"/>
      <c r="AR382" t="str">
        <f t="shared" si="59"/>
        <v/>
      </c>
      <c r="AS382" t="str">
        <f t="shared" si="60"/>
        <v/>
      </c>
    </row>
    <row r="383" spans="1:45">
      <c r="A383" s="291"/>
      <c r="B383" s="292"/>
      <c r="C383" s="293"/>
      <c r="D383" s="293"/>
      <c r="E383" s="293"/>
      <c r="F383" s="293"/>
      <c r="G383" s="294"/>
      <c r="H383" s="300"/>
      <c r="I383" s="295"/>
      <c r="J383" s="295"/>
      <c r="K383" s="296"/>
      <c r="L383" s="301"/>
      <c r="M383" s="297"/>
      <c r="N383" s="298"/>
      <c r="P383" s="190" t="str">
        <f>IF(R383 = "", "", COUNT(R$4:$R383))</f>
        <v/>
      </c>
      <c r="Q383" s="190" t="str">
        <f t="shared" si="51"/>
        <v/>
      </c>
      <c r="R383" s="191" t="str">
        <f t="shared" si="52"/>
        <v/>
      </c>
      <c r="S383" s="192" t="str">
        <f t="shared" si="54"/>
        <v/>
      </c>
      <c r="T383" s="193" t="str">
        <f t="shared" si="55"/>
        <v/>
      </c>
      <c r="U383" s="194" t="str">
        <f t="shared" si="56"/>
        <v/>
      </c>
      <c r="V383" s="195" t="str">
        <f t="shared" si="53"/>
        <v/>
      </c>
      <c r="W383" s="336" t="str">
        <f t="shared" si="57"/>
        <v/>
      </c>
      <c r="X383" s="338" t="str">
        <f t="shared" si="58"/>
        <v/>
      </c>
      <c r="Y383" s="274"/>
      <c r="AR383" t="str">
        <f t="shared" si="59"/>
        <v/>
      </c>
      <c r="AS383" t="str">
        <f t="shared" si="60"/>
        <v/>
      </c>
    </row>
    <row r="384" spans="1:45">
      <c r="A384" s="291"/>
      <c r="B384" s="292"/>
      <c r="C384" s="293"/>
      <c r="D384" s="293"/>
      <c r="E384" s="293"/>
      <c r="F384" s="293"/>
      <c r="G384" s="294"/>
      <c r="H384" s="300"/>
      <c r="I384" s="295"/>
      <c r="J384" s="295"/>
      <c r="K384" s="296"/>
      <c r="L384" s="301"/>
      <c r="M384" s="297"/>
      <c r="N384" s="298"/>
      <c r="P384" s="190" t="str">
        <f>IF(R384 = "", "", COUNT(R$4:$R384))</f>
        <v/>
      </c>
      <c r="Q384" s="190" t="str">
        <f t="shared" si="51"/>
        <v/>
      </c>
      <c r="R384" s="191" t="str">
        <f t="shared" si="52"/>
        <v/>
      </c>
      <c r="S384" s="192" t="str">
        <f t="shared" si="54"/>
        <v/>
      </c>
      <c r="T384" s="193" t="str">
        <f t="shared" si="55"/>
        <v/>
      </c>
      <c r="U384" s="194" t="str">
        <f t="shared" si="56"/>
        <v/>
      </c>
      <c r="V384" s="195" t="str">
        <f t="shared" si="53"/>
        <v/>
      </c>
      <c r="W384" s="336" t="str">
        <f t="shared" si="57"/>
        <v/>
      </c>
      <c r="X384" s="338" t="str">
        <f t="shared" si="58"/>
        <v/>
      </c>
      <c r="Y384" s="274"/>
      <c r="AR384" t="str">
        <f t="shared" si="59"/>
        <v/>
      </c>
      <c r="AS384" t="str">
        <f t="shared" si="60"/>
        <v/>
      </c>
    </row>
    <row r="385" spans="1:45">
      <c r="A385" s="291"/>
      <c r="B385" s="292"/>
      <c r="C385" s="293"/>
      <c r="D385" s="293"/>
      <c r="E385" s="293"/>
      <c r="F385" s="293"/>
      <c r="G385" s="294"/>
      <c r="H385" s="300"/>
      <c r="I385" s="295"/>
      <c r="J385" s="295"/>
      <c r="K385" s="296"/>
      <c r="L385" s="301"/>
      <c r="M385" s="297"/>
      <c r="N385" s="298"/>
      <c r="P385" s="190" t="str">
        <f>IF(R385 = "", "", COUNT(R$4:$R385))</f>
        <v/>
      </c>
      <c r="Q385" s="190" t="str">
        <f t="shared" si="51"/>
        <v/>
      </c>
      <c r="R385" s="191" t="str">
        <f t="shared" si="52"/>
        <v/>
      </c>
      <c r="S385" s="192" t="str">
        <f t="shared" si="54"/>
        <v/>
      </c>
      <c r="T385" s="193" t="str">
        <f t="shared" si="55"/>
        <v/>
      </c>
      <c r="U385" s="194" t="str">
        <f t="shared" si="56"/>
        <v/>
      </c>
      <c r="V385" s="195" t="str">
        <f t="shared" si="53"/>
        <v/>
      </c>
      <c r="W385" s="336" t="str">
        <f t="shared" si="57"/>
        <v/>
      </c>
      <c r="X385" s="338" t="str">
        <f t="shared" si="58"/>
        <v/>
      </c>
      <c r="Y385" s="274"/>
      <c r="AR385" t="str">
        <f t="shared" si="59"/>
        <v/>
      </c>
      <c r="AS385" t="str">
        <f t="shared" si="60"/>
        <v/>
      </c>
    </row>
    <row r="386" spans="1:45">
      <c r="A386" s="291"/>
      <c r="B386" s="292"/>
      <c r="C386" s="293"/>
      <c r="D386" s="293"/>
      <c r="E386" s="293"/>
      <c r="F386" s="293"/>
      <c r="G386" s="294"/>
      <c r="H386" s="300"/>
      <c r="I386" s="295"/>
      <c r="J386" s="295"/>
      <c r="K386" s="296"/>
      <c r="L386" s="301"/>
      <c r="M386" s="297"/>
      <c r="N386" s="298"/>
      <c r="P386" s="190" t="str">
        <f>IF(R386 = "", "", COUNT(R$4:$R386))</f>
        <v/>
      </c>
      <c r="Q386" s="190" t="str">
        <f t="shared" si="51"/>
        <v/>
      </c>
      <c r="R386" s="191" t="str">
        <f t="shared" si="52"/>
        <v/>
      </c>
      <c r="S386" s="192" t="str">
        <f t="shared" si="54"/>
        <v/>
      </c>
      <c r="T386" s="193" t="str">
        <f t="shared" si="55"/>
        <v/>
      </c>
      <c r="U386" s="194" t="str">
        <f t="shared" si="56"/>
        <v/>
      </c>
      <c r="V386" s="195" t="str">
        <f t="shared" si="53"/>
        <v/>
      </c>
      <c r="W386" s="336" t="str">
        <f t="shared" si="57"/>
        <v/>
      </c>
      <c r="X386" s="338" t="str">
        <f t="shared" si="58"/>
        <v/>
      </c>
      <c r="Y386" s="274"/>
      <c r="AR386" t="str">
        <f t="shared" si="59"/>
        <v/>
      </c>
      <c r="AS386" t="str">
        <f t="shared" si="60"/>
        <v/>
      </c>
    </row>
    <row r="387" spans="1:45">
      <c r="A387" s="291"/>
      <c r="B387" s="292"/>
      <c r="C387" s="293"/>
      <c r="D387" s="293"/>
      <c r="E387" s="293"/>
      <c r="F387" s="293"/>
      <c r="G387" s="294"/>
      <c r="H387" s="300"/>
      <c r="I387" s="295"/>
      <c r="J387" s="295"/>
      <c r="K387" s="296"/>
      <c r="L387" s="301"/>
      <c r="M387" s="297"/>
      <c r="N387" s="298"/>
      <c r="P387" s="190" t="str">
        <f>IF(R387 = "", "", COUNT(R$4:$R387))</f>
        <v/>
      </c>
      <c r="Q387" s="190" t="str">
        <f t="shared" si="51"/>
        <v/>
      </c>
      <c r="R387" s="191" t="str">
        <f t="shared" si="52"/>
        <v/>
      </c>
      <c r="S387" s="192" t="str">
        <f t="shared" si="54"/>
        <v/>
      </c>
      <c r="T387" s="193" t="str">
        <f t="shared" si="55"/>
        <v/>
      </c>
      <c r="U387" s="194" t="str">
        <f t="shared" si="56"/>
        <v/>
      </c>
      <c r="V387" s="195" t="str">
        <f t="shared" si="53"/>
        <v/>
      </c>
      <c r="W387" s="336" t="str">
        <f t="shared" si="57"/>
        <v/>
      </c>
      <c r="X387" s="338" t="str">
        <f t="shared" si="58"/>
        <v/>
      </c>
      <c r="Y387" s="274"/>
      <c r="AR387" t="str">
        <f t="shared" si="59"/>
        <v/>
      </c>
      <c r="AS387" t="str">
        <f t="shared" si="60"/>
        <v/>
      </c>
    </row>
    <row r="388" spans="1:45">
      <c r="A388" s="291"/>
      <c r="B388" s="292"/>
      <c r="C388" s="293"/>
      <c r="D388" s="293"/>
      <c r="E388" s="293"/>
      <c r="F388" s="293"/>
      <c r="G388" s="294"/>
      <c r="H388" s="300"/>
      <c r="I388" s="295"/>
      <c r="J388" s="295"/>
      <c r="K388" s="296"/>
      <c r="L388" s="301"/>
      <c r="M388" s="297"/>
      <c r="N388" s="298"/>
      <c r="P388" s="190" t="str">
        <f>IF(R388 = "", "", COUNT(R$4:$R388))</f>
        <v/>
      </c>
      <c r="Q388" s="190" t="str">
        <f t="shared" ref="Q388:Q451" si="61">IF(C388 &gt; 0, YEAR(B388), "")</f>
        <v/>
      </c>
      <c r="R388" s="191" t="str">
        <f t="shared" ref="R388:R451" si="62">IF(A388="", "", IF(G388="",1,IF(G388="O",1,IF(G388="C",8.4,IF(G388="B",8.4,IF(G388="A",76.8,IF(G388="K",76.8,"ERR")))))))</f>
        <v/>
      </c>
      <c r="S388" s="192" t="str">
        <f t="shared" si="54"/>
        <v/>
      </c>
      <c r="T388" s="193" t="str">
        <f t="shared" si="55"/>
        <v/>
      </c>
      <c r="U388" s="194" t="str">
        <f t="shared" si="56"/>
        <v/>
      </c>
      <c r="V388" s="195" t="str">
        <f t="shared" ref="V388:V451" si="63">IF(IF(M388&lt;&gt;"",G388,"")=0, "O", IF(M388&lt;&gt;"",G388,""))</f>
        <v/>
      </c>
      <c r="W388" s="336" t="str">
        <f t="shared" si="57"/>
        <v/>
      </c>
      <c r="X388" s="338" t="str">
        <f t="shared" si="58"/>
        <v/>
      </c>
      <c r="Y388" s="274"/>
      <c r="AR388" t="str">
        <f t="shared" si="59"/>
        <v/>
      </c>
      <c r="AS388" t="str">
        <f t="shared" si="60"/>
        <v/>
      </c>
    </row>
    <row r="389" spans="1:45">
      <c r="A389" s="291"/>
      <c r="B389" s="292"/>
      <c r="C389" s="293"/>
      <c r="D389" s="293"/>
      <c r="E389" s="293"/>
      <c r="F389" s="293"/>
      <c r="G389" s="294"/>
      <c r="H389" s="300"/>
      <c r="I389" s="295"/>
      <c r="J389" s="295"/>
      <c r="K389" s="296"/>
      <c r="L389" s="301"/>
      <c r="M389" s="297"/>
      <c r="N389" s="298"/>
      <c r="P389" s="190" t="str">
        <f>IF(R389 = "", "", COUNT(R$4:$R389))</f>
        <v/>
      </c>
      <c r="Q389" s="190" t="str">
        <f t="shared" si="61"/>
        <v/>
      </c>
      <c r="R389" s="191" t="str">
        <f t="shared" si="62"/>
        <v/>
      </c>
      <c r="S389" s="192" t="str">
        <f t="shared" ref="S389:S452" si="64">IF(L389&lt;&gt;"",R389,"")</f>
        <v/>
      </c>
      <c r="T389" s="193" t="str">
        <f t="shared" ref="T389:T452" si="65">IF(IF(L389&lt;&gt;"",G389,"")=0, "O", IF(L389&lt;&gt;"",G389,""))</f>
        <v/>
      </c>
      <c r="U389" s="194" t="str">
        <f t="shared" ref="U389:U452" si="66">IF(M389&lt;&gt;"",R389,"")</f>
        <v/>
      </c>
      <c r="V389" s="195" t="str">
        <f t="shared" si="63"/>
        <v/>
      </c>
      <c r="W389" s="336" t="str">
        <f t="shared" ref="W389:W452" si="67">IF(N389&lt;&gt;"",R389,"")</f>
        <v/>
      </c>
      <c r="X389" s="338" t="str">
        <f t="shared" ref="X389:X452" si="68">IF(IF(N389&lt;&gt;"",G389,"")=0, "O", IF(N389&lt;&gt;"",G389,""))</f>
        <v/>
      </c>
      <c r="Y389" s="274"/>
      <c r="AR389" t="str">
        <f t="shared" ref="AR389:AR452" si="69">IF(P389&gt;0, P389, "")</f>
        <v/>
      </c>
      <c r="AS389" t="str">
        <f t="shared" ref="AS389:AS452" si="70">IF(OR(L389="Y",M389="Y",N389="Y"),"Y","")</f>
        <v/>
      </c>
    </row>
    <row r="390" spans="1:45">
      <c r="A390" s="291"/>
      <c r="B390" s="292"/>
      <c r="C390" s="293"/>
      <c r="D390" s="293"/>
      <c r="E390" s="293"/>
      <c r="F390" s="293"/>
      <c r="G390" s="294"/>
      <c r="H390" s="300"/>
      <c r="I390" s="295"/>
      <c r="J390" s="295"/>
      <c r="K390" s="296"/>
      <c r="L390" s="301"/>
      <c r="M390" s="297"/>
      <c r="N390" s="298"/>
      <c r="P390" s="190" t="str">
        <f>IF(R390 = "", "", COUNT(R$4:$R390))</f>
        <v/>
      </c>
      <c r="Q390" s="190" t="str">
        <f t="shared" si="61"/>
        <v/>
      </c>
      <c r="R390" s="191" t="str">
        <f t="shared" si="62"/>
        <v/>
      </c>
      <c r="S390" s="192" t="str">
        <f t="shared" si="64"/>
        <v/>
      </c>
      <c r="T390" s="193" t="str">
        <f t="shared" si="65"/>
        <v/>
      </c>
      <c r="U390" s="194" t="str">
        <f t="shared" si="66"/>
        <v/>
      </c>
      <c r="V390" s="195" t="str">
        <f t="shared" si="63"/>
        <v/>
      </c>
      <c r="W390" s="336" t="str">
        <f t="shared" si="67"/>
        <v/>
      </c>
      <c r="X390" s="338" t="str">
        <f t="shared" si="68"/>
        <v/>
      </c>
      <c r="Y390" s="274"/>
      <c r="AR390" t="str">
        <f t="shared" si="69"/>
        <v/>
      </c>
      <c r="AS390" t="str">
        <f t="shared" si="70"/>
        <v/>
      </c>
    </row>
    <row r="391" spans="1:45">
      <c r="A391" s="291"/>
      <c r="B391" s="292"/>
      <c r="C391" s="293"/>
      <c r="D391" s="293"/>
      <c r="E391" s="293"/>
      <c r="F391" s="293"/>
      <c r="G391" s="294"/>
      <c r="H391" s="300"/>
      <c r="I391" s="295"/>
      <c r="J391" s="295"/>
      <c r="K391" s="296"/>
      <c r="L391" s="301"/>
      <c r="M391" s="297"/>
      <c r="N391" s="298"/>
      <c r="P391" s="190" t="str">
        <f>IF(R391 = "", "", COUNT(R$4:$R391))</f>
        <v/>
      </c>
      <c r="Q391" s="190" t="str">
        <f t="shared" si="61"/>
        <v/>
      </c>
      <c r="R391" s="191" t="str">
        <f t="shared" si="62"/>
        <v/>
      </c>
      <c r="S391" s="192" t="str">
        <f t="shared" si="64"/>
        <v/>
      </c>
      <c r="T391" s="193" t="str">
        <f t="shared" si="65"/>
        <v/>
      </c>
      <c r="U391" s="194" t="str">
        <f t="shared" si="66"/>
        <v/>
      </c>
      <c r="V391" s="195" t="str">
        <f t="shared" si="63"/>
        <v/>
      </c>
      <c r="W391" s="336" t="str">
        <f t="shared" si="67"/>
        <v/>
      </c>
      <c r="X391" s="338" t="str">
        <f t="shared" si="68"/>
        <v/>
      </c>
      <c r="Y391" s="274"/>
      <c r="AR391" t="str">
        <f t="shared" si="69"/>
        <v/>
      </c>
      <c r="AS391" t="str">
        <f t="shared" si="70"/>
        <v/>
      </c>
    </row>
    <row r="392" spans="1:45">
      <c r="A392" s="291"/>
      <c r="B392" s="292"/>
      <c r="C392" s="293"/>
      <c r="D392" s="293"/>
      <c r="E392" s="293"/>
      <c r="F392" s="293"/>
      <c r="G392" s="294"/>
      <c r="H392" s="300"/>
      <c r="I392" s="295"/>
      <c r="J392" s="295"/>
      <c r="K392" s="296"/>
      <c r="L392" s="301"/>
      <c r="M392" s="297"/>
      <c r="N392" s="298"/>
      <c r="P392" s="190" t="str">
        <f>IF(R392 = "", "", COUNT(R$4:$R392))</f>
        <v/>
      </c>
      <c r="Q392" s="190" t="str">
        <f t="shared" si="61"/>
        <v/>
      </c>
      <c r="R392" s="191" t="str">
        <f t="shared" si="62"/>
        <v/>
      </c>
      <c r="S392" s="192" t="str">
        <f t="shared" si="64"/>
        <v/>
      </c>
      <c r="T392" s="193" t="str">
        <f t="shared" si="65"/>
        <v/>
      </c>
      <c r="U392" s="194" t="str">
        <f t="shared" si="66"/>
        <v/>
      </c>
      <c r="V392" s="195" t="str">
        <f t="shared" si="63"/>
        <v/>
      </c>
      <c r="W392" s="336" t="str">
        <f t="shared" si="67"/>
        <v/>
      </c>
      <c r="X392" s="338" t="str">
        <f t="shared" si="68"/>
        <v/>
      </c>
      <c r="Y392" s="274"/>
      <c r="AR392" t="str">
        <f t="shared" si="69"/>
        <v/>
      </c>
      <c r="AS392" t="str">
        <f t="shared" si="70"/>
        <v/>
      </c>
    </row>
    <row r="393" spans="1:45">
      <c r="A393" s="291"/>
      <c r="B393" s="292"/>
      <c r="C393" s="293"/>
      <c r="D393" s="293"/>
      <c r="E393" s="293"/>
      <c r="F393" s="293"/>
      <c r="G393" s="294"/>
      <c r="H393" s="300"/>
      <c r="I393" s="295"/>
      <c r="J393" s="295"/>
      <c r="K393" s="296"/>
      <c r="L393" s="301"/>
      <c r="M393" s="297"/>
      <c r="N393" s="298"/>
      <c r="P393" s="190" t="str">
        <f>IF(R393 = "", "", COUNT(R$4:$R393))</f>
        <v/>
      </c>
      <c r="Q393" s="190" t="str">
        <f t="shared" si="61"/>
        <v/>
      </c>
      <c r="R393" s="191" t="str">
        <f t="shared" si="62"/>
        <v/>
      </c>
      <c r="S393" s="192" t="str">
        <f t="shared" si="64"/>
        <v/>
      </c>
      <c r="T393" s="193" t="str">
        <f t="shared" si="65"/>
        <v/>
      </c>
      <c r="U393" s="194" t="str">
        <f t="shared" si="66"/>
        <v/>
      </c>
      <c r="V393" s="195" t="str">
        <f t="shared" si="63"/>
        <v/>
      </c>
      <c r="W393" s="336" t="str">
        <f t="shared" si="67"/>
        <v/>
      </c>
      <c r="X393" s="338" t="str">
        <f t="shared" si="68"/>
        <v/>
      </c>
      <c r="Y393" s="274"/>
      <c r="AR393" t="str">
        <f t="shared" si="69"/>
        <v/>
      </c>
      <c r="AS393" t="str">
        <f t="shared" si="70"/>
        <v/>
      </c>
    </row>
    <row r="394" spans="1:45">
      <c r="A394" s="291"/>
      <c r="B394" s="292"/>
      <c r="C394" s="293"/>
      <c r="D394" s="293"/>
      <c r="E394" s="293"/>
      <c r="F394" s="293"/>
      <c r="G394" s="294"/>
      <c r="H394" s="300"/>
      <c r="I394" s="295"/>
      <c r="J394" s="295"/>
      <c r="K394" s="296"/>
      <c r="L394" s="301"/>
      <c r="M394" s="297"/>
      <c r="N394" s="298"/>
      <c r="P394" s="190" t="str">
        <f>IF(R394 = "", "", COUNT(R$4:$R394))</f>
        <v/>
      </c>
      <c r="Q394" s="190" t="str">
        <f t="shared" si="61"/>
        <v/>
      </c>
      <c r="R394" s="191" t="str">
        <f t="shared" si="62"/>
        <v/>
      </c>
      <c r="S394" s="192" t="str">
        <f t="shared" si="64"/>
        <v/>
      </c>
      <c r="T394" s="193" t="str">
        <f t="shared" si="65"/>
        <v/>
      </c>
      <c r="U394" s="194" t="str">
        <f t="shared" si="66"/>
        <v/>
      </c>
      <c r="V394" s="195" t="str">
        <f t="shared" si="63"/>
        <v/>
      </c>
      <c r="W394" s="336" t="str">
        <f t="shared" si="67"/>
        <v/>
      </c>
      <c r="X394" s="338" t="str">
        <f t="shared" si="68"/>
        <v/>
      </c>
      <c r="Y394" s="274"/>
      <c r="AR394" t="str">
        <f t="shared" si="69"/>
        <v/>
      </c>
      <c r="AS394" t="str">
        <f t="shared" si="70"/>
        <v/>
      </c>
    </row>
    <row r="395" spans="1:45">
      <c r="A395" s="291"/>
      <c r="B395" s="292"/>
      <c r="C395" s="293"/>
      <c r="D395" s="293"/>
      <c r="E395" s="293"/>
      <c r="F395" s="293"/>
      <c r="G395" s="294"/>
      <c r="H395" s="300"/>
      <c r="I395" s="295"/>
      <c r="J395" s="295"/>
      <c r="K395" s="296"/>
      <c r="L395" s="301"/>
      <c r="M395" s="297"/>
      <c r="N395" s="298"/>
      <c r="P395" s="190" t="str">
        <f>IF(R395 = "", "", COUNT(R$4:$R395))</f>
        <v/>
      </c>
      <c r="Q395" s="190" t="str">
        <f t="shared" si="61"/>
        <v/>
      </c>
      <c r="R395" s="191" t="str">
        <f t="shared" si="62"/>
        <v/>
      </c>
      <c r="S395" s="192" t="str">
        <f t="shared" si="64"/>
        <v/>
      </c>
      <c r="T395" s="193" t="str">
        <f t="shared" si="65"/>
        <v/>
      </c>
      <c r="U395" s="194" t="str">
        <f t="shared" si="66"/>
        <v/>
      </c>
      <c r="V395" s="195" t="str">
        <f t="shared" si="63"/>
        <v/>
      </c>
      <c r="W395" s="336" t="str">
        <f t="shared" si="67"/>
        <v/>
      </c>
      <c r="X395" s="338" t="str">
        <f t="shared" si="68"/>
        <v/>
      </c>
      <c r="Y395" s="274"/>
      <c r="AR395" t="str">
        <f t="shared" si="69"/>
        <v/>
      </c>
      <c r="AS395" t="str">
        <f t="shared" si="70"/>
        <v/>
      </c>
    </row>
    <row r="396" spans="1:45">
      <c r="A396" s="291"/>
      <c r="B396" s="292"/>
      <c r="C396" s="293"/>
      <c r="D396" s="293"/>
      <c r="E396" s="293"/>
      <c r="F396" s="293"/>
      <c r="G396" s="294"/>
      <c r="H396" s="300"/>
      <c r="I396" s="295"/>
      <c r="J396" s="295"/>
      <c r="K396" s="296"/>
      <c r="L396" s="301"/>
      <c r="M396" s="297"/>
      <c r="N396" s="298"/>
      <c r="P396" s="190" t="str">
        <f>IF(R396 = "", "", COUNT(R$4:$R396))</f>
        <v/>
      </c>
      <c r="Q396" s="190" t="str">
        <f t="shared" si="61"/>
        <v/>
      </c>
      <c r="R396" s="191" t="str">
        <f t="shared" si="62"/>
        <v/>
      </c>
      <c r="S396" s="192" t="str">
        <f t="shared" si="64"/>
        <v/>
      </c>
      <c r="T396" s="193" t="str">
        <f t="shared" si="65"/>
        <v/>
      </c>
      <c r="U396" s="194" t="str">
        <f t="shared" si="66"/>
        <v/>
      </c>
      <c r="V396" s="195" t="str">
        <f t="shared" si="63"/>
        <v/>
      </c>
      <c r="W396" s="336" t="str">
        <f t="shared" si="67"/>
        <v/>
      </c>
      <c r="X396" s="338" t="str">
        <f t="shared" si="68"/>
        <v/>
      </c>
      <c r="Y396" s="274"/>
      <c r="AR396" t="str">
        <f t="shared" si="69"/>
        <v/>
      </c>
      <c r="AS396" t="str">
        <f t="shared" si="70"/>
        <v/>
      </c>
    </row>
    <row r="397" spans="1:45">
      <c r="A397" s="291"/>
      <c r="B397" s="292"/>
      <c r="C397" s="293"/>
      <c r="D397" s="293"/>
      <c r="E397" s="293"/>
      <c r="F397" s="293"/>
      <c r="G397" s="294"/>
      <c r="H397" s="300"/>
      <c r="I397" s="295"/>
      <c r="J397" s="295"/>
      <c r="K397" s="296"/>
      <c r="L397" s="301"/>
      <c r="M397" s="297"/>
      <c r="N397" s="298"/>
      <c r="P397" s="190" t="str">
        <f>IF(R397 = "", "", COUNT(R$4:$R397))</f>
        <v/>
      </c>
      <c r="Q397" s="190" t="str">
        <f t="shared" si="61"/>
        <v/>
      </c>
      <c r="R397" s="191" t="str">
        <f t="shared" si="62"/>
        <v/>
      </c>
      <c r="S397" s="192" t="str">
        <f t="shared" si="64"/>
        <v/>
      </c>
      <c r="T397" s="193" t="str">
        <f t="shared" si="65"/>
        <v/>
      </c>
      <c r="U397" s="194" t="str">
        <f t="shared" si="66"/>
        <v/>
      </c>
      <c r="V397" s="195" t="str">
        <f t="shared" si="63"/>
        <v/>
      </c>
      <c r="W397" s="336" t="str">
        <f t="shared" si="67"/>
        <v/>
      </c>
      <c r="X397" s="338" t="str">
        <f t="shared" si="68"/>
        <v/>
      </c>
      <c r="Y397" s="274"/>
      <c r="AR397" t="str">
        <f t="shared" si="69"/>
        <v/>
      </c>
      <c r="AS397" t="str">
        <f t="shared" si="70"/>
        <v/>
      </c>
    </row>
    <row r="398" spans="1:45">
      <c r="A398" s="291"/>
      <c r="B398" s="292"/>
      <c r="C398" s="293"/>
      <c r="D398" s="293"/>
      <c r="E398" s="293"/>
      <c r="F398" s="293"/>
      <c r="G398" s="294"/>
      <c r="H398" s="300"/>
      <c r="I398" s="295"/>
      <c r="J398" s="295"/>
      <c r="K398" s="296"/>
      <c r="L398" s="301"/>
      <c r="M398" s="297"/>
      <c r="N398" s="298"/>
      <c r="P398" s="190" t="str">
        <f>IF(R398 = "", "", COUNT(R$4:$R398))</f>
        <v/>
      </c>
      <c r="Q398" s="190" t="str">
        <f t="shared" si="61"/>
        <v/>
      </c>
      <c r="R398" s="191" t="str">
        <f t="shared" si="62"/>
        <v/>
      </c>
      <c r="S398" s="192" t="str">
        <f t="shared" si="64"/>
        <v/>
      </c>
      <c r="T398" s="193" t="str">
        <f t="shared" si="65"/>
        <v/>
      </c>
      <c r="U398" s="194" t="str">
        <f t="shared" si="66"/>
        <v/>
      </c>
      <c r="V398" s="195" t="str">
        <f t="shared" si="63"/>
        <v/>
      </c>
      <c r="W398" s="336" t="str">
        <f t="shared" si="67"/>
        <v/>
      </c>
      <c r="X398" s="338" t="str">
        <f t="shared" si="68"/>
        <v/>
      </c>
      <c r="Y398" s="274"/>
      <c r="AR398" t="str">
        <f t="shared" si="69"/>
        <v/>
      </c>
      <c r="AS398" t="str">
        <f t="shared" si="70"/>
        <v/>
      </c>
    </row>
    <row r="399" spans="1:45">
      <c r="A399" s="291"/>
      <c r="B399" s="292"/>
      <c r="C399" s="293"/>
      <c r="D399" s="293"/>
      <c r="E399" s="293"/>
      <c r="F399" s="293"/>
      <c r="G399" s="294"/>
      <c r="H399" s="300"/>
      <c r="I399" s="295"/>
      <c r="J399" s="295"/>
      <c r="K399" s="296"/>
      <c r="L399" s="301"/>
      <c r="M399" s="297"/>
      <c r="N399" s="298"/>
      <c r="P399" s="190" t="str">
        <f>IF(R399 = "", "", COUNT(R$4:$R399))</f>
        <v/>
      </c>
      <c r="Q399" s="190" t="str">
        <f t="shared" si="61"/>
        <v/>
      </c>
      <c r="R399" s="191" t="str">
        <f t="shared" si="62"/>
        <v/>
      </c>
      <c r="S399" s="192" t="str">
        <f t="shared" si="64"/>
        <v/>
      </c>
      <c r="T399" s="193" t="str">
        <f t="shared" si="65"/>
        <v/>
      </c>
      <c r="U399" s="194" t="str">
        <f t="shared" si="66"/>
        <v/>
      </c>
      <c r="V399" s="195" t="str">
        <f t="shared" si="63"/>
        <v/>
      </c>
      <c r="W399" s="336" t="str">
        <f t="shared" si="67"/>
        <v/>
      </c>
      <c r="X399" s="338" t="str">
        <f t="shared" si="68"/>
        <v/>
      </c>
      <c r="Y399" s="274"/>
      <c r="AR399" t="str">
        <f t="shared" si="69"/>
        <v/>
      </c>
      <c r="AS399" t="str">
        <f t="shared" si="70"/>
        <v/>
      </c>
    </row>
    <row r="400" spans="1:45">
      <c r="A400" s="291"/>
      <c r="B400" s="292"/>
      <c r="C400" s="293"/>
      <c r="D400" s="293"/>
      <c r="E400" s="293"/>
      <c r="F400" s="293"/>
      <c r="G400" s="294"/>
      <c r="H400" s="300"/>
      <c r="I400" s="295"/>
      <c r="J400" s="295"/>
      <c r="K400" s="296"/>
      <c r="L400" s="301"/>
      <c r="M400" s="297"/>
      <c r="N400" s="298"/>
      <c r="P400" s="190" t="str">
        <f>IF(R400 = "", "", COUNT(R$4:$R400))</f>
        <v/>
      </c>
      <c r="Q400" s="190" t="str">
        <f t="shared" si="61"/>
        <v/>
      </c>
      <c r="R400" s="191" t="str">
        <f t="shared" si="62"/>
        <v/>
      </c>
      <c r="S400" s="192" t="str">
        <f t="shared" si="64"/>
        <v/>
      </c>
      <c r="T400" s="193" t="str">
        <f t="shared" si="65"/>
        <v/>
      </c>
      <c r="U400" s="194" t="str">
        <f t="shared" si="66"/>
        <v/>
      </c>
      <c r="V400" s="195" t="str">
        <f t="shared" si="63"/>
        <v/>
      </c>
      <c r="W400" s="336" t="str">
        <f t="shared" si="67"/>
        <v/>
      </c>
      <c r="X400" s="338" t="str">
        <f t="shared" si="68"/>
        <v/>
      </c>
      <c r="Y400" s="274"/>
      <c r="AR400" t="str">
        <f t="shared" si="69"/>
        <v/>
      </c>
      <c r="AS400" t="str">
        <f t="shared" si="70"/>
        <v/>
      </c>
    </row>
    <row r="401" spans="1:45">
      <c r="A401" s="291"/>
      <c r="B401" s="292"/>
      <c r="C401" s="293"/>
      <c r="D401" s="293"/>
      <c r="E401" s="293"/>
      <c r="F401" s="293"/>
      <c r="G401" s="294"/>
      <c r="H401" s="300"/>
      <c r="I401" s="295"/>
      <c r="J401" s="295"/>
      <c r="K401" s="296"/>
      <c r="L401" s="301"/>
      <c r="M401" s="297"/>
      <c r="N401" s="298"/>
      <c r="P401" s="190" t="str">
        <f>IF(R401 = "", "", COUNT(R$4:$R401))</f>
        <v/>
      </c>
      <c r="Q401" s="190" t="str">
        <f t="shared" si="61"/>
        <v/>
      </c>
      <c r="R401" s="191" t="str">
        <f t="shared" si="62"/>
        <v/>
      </c>
      <c r="S401" s="192" t="str">
        <f t="shared" si="64"/>
        <v/>
      </c>
      <c r="T401" s="193" t="str">
        <f t="shared" si="65"/>
        <v/>
      </c>
      <c r="U401" s="194" t="str">
        <f t="shared" si="66"/>
        <v/>
      </c>
      <c r="V401" s="195" t="str">
        <f t="shared" si="63"/>
        <v/>
      </c>
      <c r="W401" s="336" t="str">
        <f t="shared" si="67"/>
        <v/>
      </c>
      <c r="X401" s="338" t="str">
        <f t="shared" si="68"/>
        <v/>
      </c>
      <c r="Y401" s="274"/>
      <c r="AR401" t="str">
        <f t="shared" si="69"/>
        <v/>
      </c>
      <c r="AS401" t="str">
        <f t="shared" si="70"/>
        <v/>
      </c>
    </row>
    <row r="402" spans="1:45">
      <c r="A402" s="291"/>
      <c r="B402" s="292"/>
      <c r="C402" s="293"/>
      <c r="D402" s="293"/>
      <c r="E402" s="293"/>
      <c r="F402" s="293"/>
      <c r="G402" s="294"/>
      <c r="H402" s="300"/>
      <c r="I402" s="295"/>
      <c r="J402" s="295"/>
      <c r="K402" s="296"/>
      <c r="L402" s="301"/>
      <c r="M402" s="297"/>
      <c r="N402" s="298"/>
      <c r="P402" s="190" t="str">
        <f>IF(R402 = "", "", COUNT(R$4:$R402))</f>
        <v/>
      </c>
      <c r="Q402" s="190" t="str">
        <f t="shared" si="61"/>
        <v/>
      </c>
      <c r="R402" s="191" t="str">
        <f t="shared" si="62"/>
        <v/>
      </c>
      <c r="S402" s="192" t="str">
        <f t="shared" si="64"/>
        <v/>
      </c>
      <c r="T402" s="193" t="str">
        <f t="shared" si="65"/>
        <v/>
      </c>
      <c r="U402" s="194" t="str">
        <f t="shared" si="66"/>
        <v/>
      </c>
      <c r="V402" s="195" t="str">
        <f t="shared" si="63"/>
        <v/>
      </c>
      <c r="W402" s="336" t="str">
        <f t="shared" si="67"/>
        <v/>
      </c>
      <c r="X402" s="338" t="str">
        <f t="shared" si="68"/>
        <v/>
      </c>
      <c r="Y402" s="274"/>
      <c r="AR402" t="str">
        <f t="shared" si="69"/>
        <v/>
      </c>
      <c r="AS402" t="str">
        <f t="shared" si="70"/>
        <v/>
      </c>
    </row>
    <row r="403" spans="1:45">
      <c r="A403" s="291"/>
      <c r="B403" s="292"/>
      <c r="C403" s="293"/>
      <c r="D403" s="293"/>
      <c r="E403" s="293"/>
      <c r="F403" s="293"/>
      <c r="G403" s="294"/>
      <c r="H403" s="300"/>
      <c r="I403" s="295"/>
      <c r="J403" s="295"/>
      <c r="K403" s="296"/>
      <c r="L403" s="301"/>
      <c r="M403" s="297"/>
      <c r="N403" s="298"/>
      <c r="P403" s="190" t="str">
        <f>IF(R403 = "", "", COUNT(R$4:$R403))</f>
        <v/>
      </c>
      <c r="Q403" s="190" t="str">
        <f t="shared" si="61"/>
        <v/>
      </c>
      <c r="R403" s="191" t="str">
        <f t="shared" si="62"/>
        <v/>
      </c>
      <c r="S403" s="192" t="str">
        <f t="shared" si="64"/>
        <v/>
      </c>
      <c r="T403" s="193" t="str">
        <f t="shared" si="65"/>
        <v/>
      </c>
      <c r="U403" s="194" t="str">
        <f t="shared" si="66"/>
        <v/>
      </c>
      <c r="V403" s="195" t="str">
        <f t="shared" si="63"/>
        <v/>
      </c>
      <c r="W403" s="336" t="str">
        <f t="shared" si="67"/>
        <v/>
      </c>
      <c r="X403" s="338" t="str">
        <f t="shared" si="68"/>
        <v/>
      </c>
      <c r="Y403" s="274"/>
      <c r="AR403" t="str">
        <f t="shared" si="69"/>
        <v/>
      </c>
      <c r="AS403" t="str">
        <f t="shared" si="70"/>
        <v/>
      </c>
    </row>
    <row r="404" spans="1:45">
      <c r="A404" s="291"/>
      <c r="B404" s="292"/>
      <c r="C404" s="293"/>
      <c r="D404" s="293"/>
      <c r="E404" s="293"/>
      <c r="F404" s="293"/>
      <c r="G404" s="294"/>
      <c r="H404" s="300"/>
      <c r="I404" s="295"/>
      <c r="J404" s="295"/>
      <c r="K404" s="296"/>
      <c r="L404" s="301"/>
      <c r="M404" s="297"/>
      <c r="N404" s="298"/>
      <c r="P404" s="190" t="str">
        <f>IF(R404 = "", "", COUNT(R$4:$R404))</f>
        <v/>
      </c>
      <c r="Q404" s="190" t="str">
        <f t="shared" si="61"/>
        <v/>
      </c>
      <c r="R404" s="191" t="str">
        <f t="shared" si="62"/>
        <v/>
      </c>
      <c r="S404" s="192" t="str">
        <f t="shared" si="64"/>
        <v/>
      </c>
      <c r="T404" s="193" t="str">
        <f t="shared" si="65"/>
        <v/>
      </c>
      <c r="U404" s="194" t="str">
        <f t="shared" si="66"/>
        <v/>
      </c>
      <c r="V404" s="195" t="str">
        <f t="shared" si="63"/>
        <v/>
      </c>
      <c r="W404" s="336" t="str">
        <f t="shared" si="67"/>
        <v/>
      </c>
      <c r="X404" s="338" t="str">
        <f t="shared" si="68"/>
        <v/>
      </c>
      <c r="Y404" s="274"/>
      <c r="AR404" t="str">
        <f t="shared" si="69"/>
        <v/>
      </c>
      <c r="AS404" t="str">
        <f t="shared" si="70"/>
        <v/>
      </c>
    </row>
    <row r="405" spans="1:45">
      <c r="A405" s="291"/>
      <c r="B405" s="292"/>
      <c r="C405" s="293"/>
      <c r="D405" s="293"/>
      <c r="E405" s="293"/>
      <c r="F405" s="293"/>
      <c r="G405" s="294"/>
      <c r="H405" s="300"/>
      <c r="I405" s="295"/>
      <c r="J405" s="295"/>
      <c r="K405" s="296"/>
      <c r="L405" s="301"/>
      <c r="M405" s="297"/>
      <c r="N405" s="298"/>
      <c r="P405" s="190" t="str">
        <f>IF(R405 = "", "", COUNT(R$4:$R405))</f>
        <v/>
      </c>
      <c r="Q405" s="190" t="str">
        <f t="shared" si="61"/>
        <v/>
      </c>
      <c r="R405" s="191" t="str">
        <f t="shared" si="62"/>
        <v/>
      </c>
      <c r="S405" s="192" t="str">
        <f t="shared" si="64"/>
        <v/>
      </c>
      <c r="T405" s="193" t="str">
        <f t="shared" si="65"/>
        <v/>
      </c>
      <c r="U405" s="194" t="str">
        <f t="shared" si="66"/>
        <v/>
      </c>
      <c r="V405" s="195" t="str">
        <f t="shared" si="63"/>
        <v/>
      </c>
      <c r="W405" s="336" t="str">
        <f t="shared" si="67"/>
        <v/>
      </c>
      <c r="X405" s="338" t="str">
        <f t="shared" si="68"/>
        <v/>
      </c>
      <c r="Y405" s="274"/>
      <c r="AR405" t="str">
        <f t="shared" si="69"/>
        <v/>
      </c>
      <c r="AS405" t="str">
        <f t="shared" si="70"/>
        <v/>
      </c>
    </row>
    <row r="406" spans="1:45">
      <c r="A406" s="291"/>
      <c r="B406" s="292"/>
      <c r="C406" s="293"/>
      <c r="D406" s="293"/>
      <c r="E406" s="293"/>
      <c r="F406" s="293"/>
      <c r="G406" s="294"/>
      <c r="H406" s="300"/>
      <c r="I406" s="295"/>
      <c r="J406" s="295"/>
      <c r="K406" s="296"/>
      <c r="L406" s="301"/>
      <c r="M406" s="297"/>
      <c r="N406" s="298"/>
      <c r="P406" s="190" t="str">
        <f>IF(R406 = "", "", COUNT(R$4:$R406))</f>
        <v/>
      </c>
      <c r="Q406" s="190" t="str">
        <f t="shared" si="61"/>
        <v/>
      </c>
      <c r="R406" s="191" t="str">
        <f t="shared" si="62"/>
        <v/>
      </c>
      <c r="S406" s="192" t="str">
        <f t="shared" si="64"/>
        <v/>
      </c>
      <c r="T406" s="193" t="str">
        <f t="shared" si="65"/>
        <v/>
      </c>
      <c r="U406" s="194" t="str">
        <f t="shared" si="66"/>
        <v/>
      </c>
      <c r="V406" s="195" t="str">
        <f t="shared" si="63"/>
        <v/>
      </c>
      <c r="W406" s="336" t="str">
        <f t="shared" si="67"/>
        <v/>
      </c>
      <c r="X406" s="338" t="str">
        <f t="shared" si="68"/>
        <v/>
      </c>
      <c r="Y406" s="274"/>
      <c r="AR406" t="str">
        <f t="shared" si="69"/>
        <v/>
      </c>
      <c r="AS406" t="str">
        <f t="shared" si="70"/>
        <v/>
      </c>
    </row>
    <row r="407" spans="1:45">
      <c r="A407" s="291"/>
      <c r="B407" s="292"/>
      <c r="C407" s="293"/>
      <c r="D407" s="293"/>
      <c r="E407" s="293"/>
      <c r="F407" s="293"/>
      <c r="G407" s="294"/>
      <c r="H407" s="300"/>
      <c r="I407" s="295"/>
      <c r="J407" s="295"/>
      <c r="K407" s="296"/>
      <c r="L407" s="301"/>
      <c r="M407" s="297"/>
      <c r="N407" s="298"/>
      <c r="P407" s="190" t="str">
        <f>IF(R407 = "", "", COUNT(R$4:$R407))</f>
        <v/>
      </c>
      <c r="Q407" s="190" t="str">
        <f t="shared" si="61"/>
        <v/>
      </c>
      <c r="R407" s="191" t="str">
        <f t="shared" si="62"/>
        <v/>
      </c>
      <c r="S407" s="192" t="str">
        <f t="shared" si="64"/>
        <v/>
      </c>
      <c r="T407" s="193" t="str">
        <f t="shared" si="65"/>
        <v/>
      </c>
      <c r="U407" s="194" t="str">
        <f t="shared" si="66"/>
        <v/>
      </c>
      <c r="V407" s="195" t="str">
        <f t="shared" si="63"/>
        <v/>
      </c>
      <c r="W407" s="336" t="str">
        <f t="shared" si="67"/>
        <v/>
      </c>
      <c r="X407" s="338" t="str">
        <f t="shared" si="68"/>
        <v/>
      </c>
      <c r="Y407" s="274"/>
      <c r="AR407" t="str">
        <f t="shared" si="69"/>
        <v/>
      </c>
      <c r="AS407" t="str">
        <f t="shared" si="70"/>
        <v/>
      </c>
    </row>
    <row r="408" spans="1:45">
      <c r="A408" s="291"/>
      <c r="B408" s="292"/>
      <c r="C408" s="293"/>
      <c r="D408" s="293"/>
      <c r="E408" s="293"/>
      <c r="F408" s="293"/>
      <c r="G408" s="294"/>
      <c r="H408" s="300"/>
      <c r="I408" s="295"/>
      <c r="J408" s="295"/>
      <c r="K408" s="296"/>
      <c r="L408" s="301"/>
      <c r="M408" s="297"/>
      <c r="N408" s="298"/>
      <c r="P408" s="190" t="str">
        <f>IF(R408 = "", "", COUNT(R$4:$R408))</f>
        <v/>
      </c>
      <c r="Q408" s="190" t="str">
        <f t="shared" si="61"/>
        <v/>
      </c>
      <c r="R408" s="191" t="str">
        <f t="shared" si="62"/>
        <v/>
      </c>
      <c r="S408" s="192" t="str">
        <f t="shared" si="64"/>
        <v/>
      </c>
      <c r="T408" s="193" t="str">
        <f t="shared" si="65"/>
        <v/>
      </c>
      <c r="U408" s="194" t="str">
        <f t="shared" si="66"/>
        <v/>
      </c>
      <c r="V408" s="195" t="str">
        <f t="shared" si="63"/>
        <v/>
      </c>
      <c r="W408" s="336" t="str">
        <f t="shared" si="67"/>
        <v/>
      </c>
      <c r="X408" s="338" t="str">
        <f t="shared" si="68"/>
        <v/>
      </c>
      <c r="Y408" s="274"/>
      <c r="AR408" t="str">
        <f t="shared" si="69"/>
        <v/>
      </c>
      <c r="AS408" t="str">
        <f t="shared" si="70"/>
        <v/>
      </c>
    </row>
    <row r="409" spans="1:45">
      <c r="A409" s="291"/>
      <c r="B409" s="292"/>
      <c r="C409" s="293"/>
      <c r="D409" s="293"/>
      <c r="E409" s="293"/>
      <c r="F409" s="293"/>
      <c r="G409" s="294"/>
      <c r="H409" s="300"/>
      <c r="I409" s="295"/>
      <c r="J409" s="295"/>
      <c r="K409" s="296"/>
      <c r="L409" s="301"/>
      <c r="M409" s="297"/>
      <c r="N409" s="298"/>
      <c r="P409" s="190" t="str">
        <f>IF(R409 = "", "", COUNT(R$4:$R409))</f>
        <v/>
      </c>
      <c r="Q409" s="190" t="str">
        <f t="shared" si="61"/>
        <v/>
      </c>
      <c r="R409" s="191" t="str">
        <f t="shared" si="62"/>
        <v/>
      </c>
      <c r="S409" s="192" t="str">
        <f t="shared" si="64"/>
        <v/>
      </c>
      <c r="T409" s="193" t="str">
        <f t="shared" si="65"/>
        <v/>
      </c>
      <c r="U409" s="194" t="str">
        <f t="shared" si="66"/>
        <v/>
      </c>
      <c r="V409" s="195" t="str">
        <f t="shared" si="63"/>
        <v/>
      </c>
      <c r="W409" s="336" t="str">
        <f t="shared" si="67"/>
        <v/>
      </c>
      <c r="X409" s="338" t="str">
        <f t="shared" si="68"/>
        <v/>
      </c>
      <c r="Y409" s="274"/>
      <c r="AR409" t="str">
        <f t="shared" si="69"/>
        <v/>
      </c>
      <c r="AS409" t="str">
        <f t="shared" si="70"/>
        <v/>
      </c>
    </row>
    <row r="410" spans="1:45">
      <c r="A410" s="291"/>
      <c r="B410" s="292"/>
      <c r="C410" s="293"/>
      <c r="D410" s="293"/>
      <c r="E410" s="293"/>
      <c r="F410" s="293"/>
      <c r="G410" s="294"/>
      <c r="H410" s="300"/>
      <c r="I410" s="295"/>
      <c r="J410" s="295"/>
      <c r="K410" s="296"/>
      <c r="L410" s="301"/>
      <c r="M410" s="297"/>
      <c r="N410" s="298"/>
      <c r="P410" s="190" t="str">
        <f>IF(R410 = "", "", COUNT(R$4:$R410))</f>
        <v/>
      </c>
      <c r="Q410" s="190" t="str">
        <f t="shared" si="61"/>
        <v/>
      </c>
      <c r="R410" s="191" t="str">
        <f t="shared" si="62"/>
        <v/>
      </c>
      <c r="S410" s="192" t="str">
        <f t="shared" si="64"/>
        <v/>
      </c>
      <c r="T410" s="193" t="str">
        <f t="shared" si="65"/>
        <v/>
      </c>
      <c r="U410" s="194" t="str">
        <f t="shared" si="66"/>
        <v/>
      </c>
      <c r="V410" s="195" t="str">
        <f t="shared" si="63"/>
        <v/>
      </c>
      <c r="W410" s="336" t="str">
        <f t="shared" si="67"/>
        <v/>
      </c>
      <c r="X410" s="338" t="str">
        <f t="shared" si="68"/>
        <v/>
      </c>
      <c r="Y410" s="274"/>
      <c r="AR410" t="str">
        <f t="shared" si="69"/>
        <v/>
      </c>
      <c r="AS410" t="str">
        <f t="shared" si="70"/>
        <v/>
      </c>
    </row>
    <row r="411" spans="1:45">
      <c r="A411" s="291"/>
      <c r="B411" s="292"/>
      <c r="C411" s="293"/>
      <c r="D411" s="293"/>
      <c r="E411" s="293"/>
      <c r="F411" s="293"/>
      <c r="G411" s="294"/>
      <c r="H411" s="300"/>
      <c r="I411" s="295"/>
      <c r="J411" s="295"/>
      <c r="K411" s="296"/>
      <c r="L411" s="301"/>
      <c r="M411" s="297"/>
      <c r="N411" s="298"/>
      <c r="P411" s="190" t="str">
        <f>IF(R411 = "", "", COUNT(R$4:$R411))</f>
        <v/>
      </c>
      <c r="Q411" s="190" t="str">
        <f t="shared" si="61"/>
        <v/>
      </c>
      <c r="R411" s="191" t="str">
        <f t="shared" si="62"/>
        <v/>
      </c>
      <c r="S411" s="192" t="str">
        <f t="shared" si="64"/>
        <v/>
      </c>
      <c r="T411" s="193" t="str">
        <f t="shared" si="65"/>
        <v/>
      </c>
      <c r="U411" s="194" t="str">
        <f t="shared" si="66"/>
        <v/>
      </c>
      <c r="V411" s="195" t="str">
        <f t="shared" si="63"/>
        <v/>
      </c>
      <c r="W411" s="336" t="str">
        <f t="shared" si="67"/>
        <v/>
      </c>
      <c r="X411" s="338" t="str">
        <f t="shared" si="68"/>
        <v/>
      </c>
      <c r="Y411" s="274"/>
      <c r="AR411" t="str">
        <f t="shared" si="69"/>
        <v/>
      </c>
      <c r="AS411" t="str">
        <f t="shared" si="70"/>
        <v/>
      </c>
    </row>
    <row r="412" spans="1:45">
      <c r="A412" s="291"/>
      <c r="B412" s="292"/>
      <c r="C412" s="293"/>
      <c r="D412" s="293"/>
      <c r="E412" s="293"/>
      <c r="F412" s="293"/>
      <c r="G412" s="294"/>
      <c r="H412" s="300"/>
      <c r="I412" s="295"/>
      <c r="J412" s="295"/>
      <c r="K412" s="296"/>
      <c r="L412" s="301"/>
      <c r="M412" s="297"/>
      <c r="N412" s="298"/>
      <c r="P412" s="190" t="str">
        <f>IF(R412 = "", "", COUNT(R$4:$R412))</f>
        <v/>
      </c>
      <c r="Q412" s="190" t="str">
        <f t="shared" si="61"/>
        <v/>
      </c>
      <c r="R412" s="191" t="str">
        <f t="shared" si="62"/>
        <v/>
      </c>
      <c r="S412" s="192" t="str">
        <f t="shared" si="64"/>
        <v/>
      </c>
      <c r="T412" s="193" t="str">
        <f t="shared" si="65"/>
        <v/>
      </c>
      <c r="U412" s="194" t="str">
        <f t="shared" si="66"/>
        <v/>
      </c>
      <c r="V412" s="195" t="str">
        <f t="shared" si="63"/>
        <v/>
      </c>
      <c r="W412" s="336" t="str">
        <f t="shared" si="67"/>
        <v/>
      </c>
      <c r="X412" s="338" t="str">
        <f t="shared" si="68"/>
        <v/>
      </c>
      <c r="Y412" s="274"/>
      <c r="AR412" t="str">
        <f t="shared" si="69"/>
        <v/>
      </c>
      <c r="AS412" t="str">
        <f t="shared" si="70"/>
        <v/>
      </c>
    </row>
    <row r="413" spans="1:45">
      <c r="A413" s="291"/>
      <c r="B413" s="292"/>
      <c r="C413" s="293"/>
      <c r="D413" s="293"/>
      <c r="E413" s="293"/>
      <c r="F413" s="293"/>
      <c r="G413" s="294"/>
      <c r="H413" s="300"/>
      <c r="I413" s="295"/>
      <c r="J413" s="295"/>
      <c r="K413" s="296"/>
      <c r="L413" s="301"/>
      <c r="M413" s="297"/>
      <c r="N413" s="298"/>
      <c r="P413" s="190" t="str">
        <f>IF(R413 = "", "", COUNT(R$4:$R413))</f>
        <v/>
      </c>
      <c r="Q413" s="190" t="str">
        <f t="shared" si="61"/>
        <v/>
      </c>
      <c r="R413" s="191" t="str">
        <f t="shared" si="62"/>
        <v/>
      </c>
      <c r="S413" s="192" t="str">
        <f t="shared" si="64"/>
        <v/>
      </c>
      <c r="T413" s="193" t="str">
        <f t="shared" si="65"/>
        <v/>
      </c>
      <c r="U413" s="194" t="str">
        <f t="shared" si="66"/>
        <v/>
      </c>
      <c r="V413" s="195" t="str">
        <f t="shared" si="63"/>
        <v/>
      </c>
      <c r="W413" s="336" t="str">
        <f t="shared" si="67"/>
        <v/>
      </c>
      <c r="X413" s="338" t="str">
        <f t="shared" si="68"/>
        <v/>
      </c>
      <c r="Y413" s="274"/>
      <c r="AR413" t="str">
        <f t="shared" si="69"/>
        <v/>
      </c>
      <c r="AS413" t="str">
        <f t="shared" si="70"/>
        <v/>
      </c>
    </row>
    <row r="414" spans="1:45">
      <c r="A414" s="291"/>
      <c r="B414" s="292"/>
      <c r="C414" s="293"/>
      <c r="D414" s="293"/>
      <c r="E414" s="293"/>
      <c r="F414" s="293"/>
      <c r="G414" s="294"/>
      <c r="H414" s="300"/>
      <c r="I414" s="295"/>
      <c r="J414" s="295"/>
      <c r="K414" s="296"/>
      <c r="L414" s="301"/>
      <c r="M414" s="297"/>
      <c r="N414" s="298"/>
      <c r="P414" s="190" t="str">
        <f>IF(R414 = "", "", COUNT(R$4:$R414))</f>
        <v/>
      </c>
      <c r="Q414" s="190" t="str">
        <f t="shared" si="61"/>
        <v/>
      </c>
      <c r="R414" s="191" t="str">
        <f t="shared" si="62"/>
        <v/>
      </c>
      <c r="S414" s="192" t="str">
        <f t="shared" si="64"/>
        <v/>
      </c>
      <c r="T414" s="193" t="str">
        <f t="shared" si="65"/>
        <v/>
      </c>
      <c r="U414" s="194" t="str">
        <f t="shared" si="66"/>
        <v/>
      </c>
      <c r="V414" s="195" t="str">
        <f t="shared" si="63"/>
        <v/>
      </c>
      <c r="W414" s="336" t="str">
        <f t="shared" si="67"/>
        <v/>
      </c>
      <c r="X414" s="338" t="str">
        <f t="shared" si="68"/>
        <v/>
      </c>
      <c r="Y414" s="274"/>
      <c r="AR414" t="str">
        <f t="shared" si="69"/>
        <v/>
      </c>
      <c r="AS414" t="str">
        <f t="shared" si="70"/>
        <v/>
      </c>
    </row>
    <row r="415" spans="1:45">
      <c r="A415" s="291"/>
      <c r="B415" s="292"/>
      <c r="C415" s="293"/>
      <c r="D415" s="293"/>
      <c r="E415" s="293"/>
      <c r="F415" s="293"/>
      <c r="G415" s="294"/>
      <c r="H415" s="300"/>
      <c r="I415" s="295"/>
      <c r="J415" s="295"/>
      <c r="K415" s="296"/>
      <c r="L415" s="301"/>
      <c r="M415" s="297"/>
      <c r="N415" s="298"/>
      <c r="P415" s="190" t="str">
        <f>IF(R415 = "", "", COUNT(R$4:$R415))</f>
        <v/>
      </c>
      <c r="Q415" s="190" t="str">
        <f t="shared" si="61"/>
        <v/>
      </c>
      <c r="R415" s="191" t="str">
        <f t="shared" si="62"/>
        <v/>
      </c>
      <c r="S415" s="192" t="str">
        <f t="shared" si="64"/>
        <v/>
      </c>
      <c r="T415" s="193" t="str">
        <f t="shared" si="65"/>
        <v/>
      </c>
      <c r="U415" s="194" t="str">
        <f t="shared" si="66"/>
        <v/>
      </c>
      <c r="V415" s="195" t="str">
        <f t="shared" si="63"/>
        <v/>
      </c>
      <c r="W415" s="336" t="str">
        <f t="shared" si="67"/>
        <v/>
      </c>
      <c r="X415" s="338" t="str">
        <f t="shared" si="68"/>
        <v/>
      </c>
      <c r="Y415" s="274"/>
      <c r="AR415" t="str">
        <f t="shared" si="69"/>
        <v/>
      </c>
      <c r="AS415" t="str">
        <f t="shared" si="70"/>
        <v/>
      </c>
    </row>
    <row r="416" spans="1:45">
      <c r="A416" s="291"/>
      <c r="B416" s="292"/>
      <c r="C416" s="293"/>
      <c r="D416" s="293"/>
      <c r="E416" s="293"/>
      <c r="F416" s="293"/>
      <c r="G416" s="294"/>
      <c r="H416" s="300"/>
      <c r="I416" s="295"/>
      <c r="J416" s="295"/>
      <c r="K416" s="296"/>
      <c r="L416" s="301"/>
      <c r="M416" s="297"/>
      <c r="N416" s="298"/>
      <c r="P416" s="190" t="str">
        <f>IF(R416 = "", "", COUNT(R$4:$R416))</f>
        <v/>
      </c>
      <c r="Q416" s="190" t="str">
        <f t="shared" si="61"/>
        <v/>
      </c>
      <c r="R416" s="191" t="str">
        <f t="shared" si="62"/>
        <v/>
      </c>
      <c r="S416" s="192" t="str">
        <f t="shared" si="64"/>
        <v/>
      </c>
      <c r="T416" s="193" t="str">
        <f t="shared" si="65"/>
        <v/>
      </c>
      <c r="U416" s="194" t="str">
        <f t="shared" si="66"/>
        <v/>
      </c>
      <c r="V416" s="195" t="str">
        <f t="shared" si="63"/>
        <v/>
      </c>
      <c r="W416" s="336" t="str">
        <f t="shared" si="67"/>
        <v/>
      </c>
      <c r="X416" s="338" t="str">
        <f t="shared" si="68"/>
        <v/>
      </c>
      <c r="Y416" s="274"/>
      <c r="AR416" t="str">
        <f t="shared" si="69"/>
        <v/>
      </c>
      <c r="AS416" t="str">
        <f t="shared" si="70"/>
        <v/>
      </c>
    </row>
    <row r="417" spans="1:45">
      <c r="A417" s="291"/>
      <c r="B417" s="292"/>
      <c r="C417" s="293"/>
      <c r="D417" s="293"/>
      <c r="E417" s="293"/>
      <c r="F417" s="293"/>
      <c r="G417" s="294"/>
      <c r="H417" s="300"/>
      <c r="I417" s="295"/>
      <c r="J417" s="295"/>
      <c r="K417" s="296"/>
      <c r="L417" s="301"/>
      <c r="M417" s="297"/>
      <c r="N417" s="298"/>
      <c r="P417" s="190" t="str">
        <f>IF(R417 = "", "", COUNT(R$4:$R417))</f>
        <v/>
      </c>
      <c r="Q417" s="190" t="str">
        <f t="shared" si="61"/>
        <v/>
      </c>
      <c r="R417" s="191" t="str">
        <f t="shared" si="62"/>
        <v/>
      </c>
      <c r="S417" s="192" t="str">
        <f t="shared" si="64"/>
        <v/>
      </c>
      <c r="T417" s="193" t="str">
        <f t="shared" si="65"/>
        <v/>
      </c>
      <c r="U417" s="194" t="str">
        <f t="shared" si="66"/>
        <v/>
      </c>
      <c r="V417" s="195" t="str">
        <f t="shared" si="63"/>
        <v/>
      </c>
      <c r="W417" s="336" t="str">
        <f t="shared" si="67"/>
        <v/>
      </c>
      <c r="X417" s="338" t="str">
        <f t="shared" si="68"/>
        <v/>
      </c>
      <c r="Y417" s="274"/>
      <c r="AR417" t="str">
        <f t="shared" si="69"/>
        <v/>
      </c>
      <c r="AS417" t="str">
        <f t="shared" si="70"/>
        <v/>
      </c>
    </row>
    <row r="418" spans="1:45">
      <c r="A418" s="291"/>
      <c r="B418" s="292"/>
      <c r="C418" s="293"/>
      <c r="D418" s="293"/>
      <c r="E418" s="293"/>
      <c r="F418" s="293"/>
      <c r="G418" s="294"/>
      <c r="H418" s="300"/>
      <c r="I418" s="295"/>
      <c r="J418" s="295"/>
      <c r="K418" s="296"/>
      <c r="L418" s="301"/>
      <c r="M418" s="297"/>
      <c r="N418" s="298"/>
      <c r="P418" s="190" t="str">
        <f>IF(R418 = "", "", COUNT(R$4:$R418))</f>
        <v/>
      </c>
      <c r="Q418" s="190" t="str">
        <f t="shared" si="61"/>
        <v/>
      </c>
      <c r="R418" s="191" t="str">
        <f t="shared" si="62"/>
        <v/>
      </c>
      <c r="S418" s="192" t="str">
        <f t="shared" si="64"/>
        <v/>
      </c>
      <c r="T418" s="193" t="str">
        <f t="shared" si="65"/>
        <v/>
      </c>
      <c r="U418" s="194" t="str">
        <f t="shared" si="66"/>
        <v/>
      </c>
      <c r="V418" s="195" t="str">
        <f t="shared" si="63"/>
        <v/>
      </c>
      <c r="W418" s="336" t="str">
        <f t="shared" si="67"/>
        <v/>
      </c>
      <c r="X418" s="338" t="str">
        <f t="shared" si="68"/>
        <v/>
      </c>
      <c r="Y418" s="274"/>
      <c r="AR418" t="str">
        <f t="shared" si="69"/>
        <v/>
      </c>
      <c r="AS418" t="str">
        <f t="shared" si="70"/>
        <v/>
      </c>
    </row>
    <row r="419" spans="1:45">
      <c r="A419" s="291"/>
      <c r="B419" s="292"/>
      <c r="C419" s="293"/>
      <c r="D419" s="293"/>
      <c r="E419" s="293"/>
      <c r="F419" s="293"/>
      <c r="G419" s="294"/>
      <c r="H419" s="300"/>
      <c r="I419" s="295"/>
      <c r="J419" s="295"/>
      <c r="K419" s="296"/>
      <c r="L419" s="301"/>
      <c r="M419" s="297"/>
      <c r="N419" s="298"/>
      <c r="P419" s="190" t="str">
        <f>IF(R419 = "", "", COUNT(R$4:$R419))</f>
        <v/>
      </c>
      <c r="Q419" s="190" t="str">
        <f t="shared" si="61"/>
        <v/>
      </c>
      <c r="R419" s="191" t="str">
        <f t="shared" si="62"/>
        <v/>
      </c>
      <c r="S419" s="192" t="str">
        <f t="shared" si="64"/>
        <v/>
      </c>
      <c r="T419" s="193" t="str">
        <f t="shared" si="65"/>
        <v/>
      </c>
      <c r="U419" s="194" t="str">
        <f t="shared" si="66"/>
        <v/>
      </c>
      <c r="V419" s="195" t="str">
        <f t="shared" si="63"/>
        <v/>
      </c>
      <c r="W419" s="336" t="str">
        <f t="shared" si="67"/>
        <v/>
      </c>
      <c r="X419" s="338" t="str">
        <f t="shared" si="68"/>
        <v/>
      </c>
      <c r="Y419" s="274"/>
      <c r="AR419" t="str">
        <f t="shared" si="69"/>
        <v/>
      </c>
      <c r="AS419" t="str">
        <f t="shared" si="70"/>
        <v/>
      </c>
    </row>
    <row r="420" spans="1:45">
      <c r="A420" s="291"/>
      <c r="B420" s="292"/>
      <c r="C420" s="293"/>
      <c r="D420" s="293"/>
      <c r="E420" s="293"/>
      <c r="F420" s="293"/>
      <c r="G420" s="294"/>
      <c r="H420" s="300"/>
      <c r="I420" s="295"/>
      <c r="J420" s="295"/>
      <c r="K420" s="296"/>
      <c r="L420" s="301"/>
      <c r="M420" s="297"/>
      <c r="N420" s="298"/>
      <c r="P420" s="190" t="str">
        <f>IF(R420 = "", "", COUNT(R$4:$R420))</f>
        <v/>
      </c>
      <c r="Q420" s="190" t="str">
        <f t="shared" si="61"/>
        <v/>
      </c>
      <c r="R420" s="191" t="str">
        <f t="shared" si="62"/>
        <v/>
      </c>
      <c r="S420" s="192" t="str">
        <f t="shared" si="64"/>
        <v/>
      </c>
      <c r="T420" s="193" t="str">
        <f t="shared" si="65"/>
        <v/>
      </c>
      <c r="U420" s="194" t="str">
        <f t="shared" si="66"/>
        <v/>
      </c>
      <c r="V420" s="195" t="str">
        <f t="shared" si="63"/>
        <v/>
      </c>
      <c r="W420" s="336" t="str">
        <f t="shared" si="67"/>
        <v/>
      </c>
      <c r="X420" s="338" t="str">
        <f t="shared" si="68"/>
        <v/>
      </c>
      <c r="Y420" s="274"/>
      <c r="AR420" t="str">
        <f t="shared" si="69"/>
        <v/>
      </c>
      <c r="AS420" t="str">
        <f t="shared" si="70"/>
        <v/>
      </c>
    </row>
    <row r="421" spans="1:45">
      <c r="A421" s="291"/>
      <c r="B421" s="292"/>
      <c r="C421" s="293"/>
      <c r="D421" s="293"/>
      <c r="E421" s="293"/>
      <c r="F421" s="293"/>
      <c r="G421" s="294"/>
      <c r="H421" s="300"/>
      <c r="I421" s="295"/>
      <c r="J421" s="295"/>
      <c r="K421" s="296"/>
      <c r="L421" s="301"/>
      <c r="M421" s="297"/>
      <c r="N421" s="298"/>
      <c r="P421" s="190" t="str">
        <f>IF(R421 = "", "", COUNT(R$4:$R421))</f>
        <v/>
      </c>
      <c r="Q421" s="190" t="str">
        <f t="shared" si="61"/>
        <v/>
      </c>
      <c r="R421" s="191" t="str">
        <f t="shared" si="62"/>
        <v/>
      </c>
      <c r="S421" s="192" t="str">
        <f t="shared" si="64"/>
        <v/>
      </c>
      <c r="T421" s="193" t="str">
        <f t="shared" si="65"/>
        <v/>
      </c>
      <c r="U421" s="194" t="str">
        <f t="shared" si="66"/>
        <v/>
      </c>
      <c r="V421" s="195" t="str">
        <f t="shared" si="63"/>
        <v/>
      </c>
      <c r="W421" s="336" t="str">
        <f t="shared" si="67"/>
        <v/>
      </c>
      <c r="X421" s="338" t="str">
        <f t="shared" si="68"/>
        <v/>
      </c>
      <c r="Y421" s="274"/>
      <c r="AR421" t="str">
        <f t="shared" si="69"/>
        <v/>
      </c>
      <c r="AS421" t="str">
        <f t="shared" si="70"/>
        <v/>
      </c>
    </row>
    <row r="422" spans="1:45">
      <c r="A422" s="291"/>
      <c r="B422" s="292"/>
      <c r="C422" s="293"/>
      <c r="D422" s="293"/>
      <c r="E422" s="293"/>
      <c r="F422" s="293"/>
      <c r="G422" s="294"/>
      <c r="H422" s="300"/>
      <c r="I422" s="295"/>
      <c r="J422" s="295"/>
      <c r="K422" s="296"/>
      <c r="L422" s="301"/>
      <c r="M422" s="297"/>
      <c r="N422" s="298"/>
      <c r="P422" s="190" t="str">
        <f>IF(R422 = "", "", COUNT(R$4:$R422))</f>
        <v/>
      </c>
      <c r="Q422" s="190" t="str">
        <f t="shared" si="61"/>
        <v/>
      </c>
      <c r="R422" s="191" t="str">
        <f t="shared" si="62"/>
        <v/>
      </c>
      <c r="S422" s="192" t="str">
        <f t="shared" si="64"/>
        <v/>
      </c>
      <c r="T422" s="193" t="str">
        <f t="shared" si="65"/>
        <v/>
      </c>
      <c r="U422" s="194" t="str">
        <f t="shared" si="66"/>
        <v/>
      </c>
      <c r="V422" s="195" t="str">
        <f t="shared" si="63"/>
        <v/>
      </c>
      <c r="W422" s="336" t="str">
        <f t="shared" si="67"/>
        <v/>
      </c>
      <c r="X422" s="338" t="str">
        <f t="shared" si="68"/>
        <v/>
      </c>
      <c r="Y422" s="274"/>
      <c r="AR422" t="str">
        <f t="shared" si="69"/>
        <v/>
      </c>
      <c r="AS422" t="str">
        <f t="shared" si="70"/>
        <v/>
      </c>
    </row>
    <row r="423" spans="1:45">
      <c r="A423" s="291"/>
      <c r="B423" s="292"/>
      <c r="C423" s="293"/>
      <c r="D423" s="293"/>
      <c r="E423" s="293"/>
      <c r="F423" s="293"/>
      <c r="G423" s="294"/>
      <c r="H423" s="300"/>
      <c r="I423" s="295"/>
      <c r="J423" s="295"/>
      <c r="K423" s="296"/>
      <c r="L423" s="301"/>
      <c r="M423" s="297"/>
      <c r="N423" s="298"/>
      <c r="P423" s="190" t="str">
        <f>IF(R423 = "", "", COUNT(R$4:$R423))</f>
        <v/>
      </c>
      <c r="Q423" s="190" t="str">
        <f t="shared" si="61"/>
        <v/>
      </c>
      <c r="R423" s="191" t="str">
        <f t="shared" si="62"/>
        <v/>
      </c>
      <c r="S423" s="192" t="str">
        <f t="shared" si="64"/>
        <v/>
      </c>
      <c r="T423" s="193" t="str">
        <f t="shared" si="65"/>
        <v/>
      </c>
      <c r="U423" s="194" t="str">
        <f t="shared" si="66"/>
        <v/>
      </c>
      <c r="V423" s="195" t="str">
        <f t="shared" si="63"/>
        <v/>
      </c>
      <c r="W423" s="336" t="str">
        <f t="shared" si="67"/>
        <v/>
      </c>
      <c r="X423" s="338" t="str">
        <f t="shared" si="68"/>
        <v/>
      </c>
      <c r="Y423" s="274"/>
      <c r="AR423" t="str">
        <f t="shared" si="69"/>
        <v/>
      </c>
      <c r="AS423" t="str">
        <f t="shared" si="70"/>
        <v/>
      </c>
    </row>
    <row r="424" spans="1:45">
      <c r="A424" s="291"/>
      <c r="B424" s="292"/>
      <c r="C424" s="293"/>
      <c r="D424" s="293"/>
      <c r="E424" s="293"/>
      <c r="F424" s="293"/>
      <c r="G424" s="294"/>
      <c r="H424" s="300"/>
      <c r="I424" s="295"/>
      <c r="J424" s="295"/>
      <c r="K424" s="296"/>
      <c r="L424" s="301"/>
      <c r="M424" s="297"/>
      <c r="N424" s="298"/>
      <c r="P424" s="190" t="str">
        <f>IF(R424 = "", "", COUNT(R$4:$R424))</f>
        <v/>
      </c>
      <c r="Q424" s="190" t="str">
        <f t="shared" si="61"/>
        <v/>
      </c>
      <c r="R424" s="191" t="str">
        <f t="shared" si="62"/>
        <v/>
      </c>
      <c r="S424" s="192" t="str">
        <f t="shared" si="64"/>
        <v/>
      </c>
      <c r="T424" s="193" t="str">
        <f t="shared" si="65"/>
        <v/>
      </c>
      <c r="U424" s="194" t="str">
        <f t="shared" si="66"/>
        <v/>
      </c>
      <c r="V424" s="195" t="str">
        <f t="shared" si="63"/>
        <v/>
      </c>
      <c r="W424" s="336" t="str">
        <f t="shared" si="67"/>
        <v/>
      </c>
      <c r="X424" s="338" t="str">
        <f t="shared" si="68"/>
        <v/>
      </c>
      <c r="Y424" s="274"/>
      <c r="AR424" t="str">
        <f t="shared" si="69"/>
        <v/>
      </c>
      <c r="AS424" t="str">
        <f t="shared" si="70"/>
        <v/>
      </c>
    </row>
    <row r="425" spans="1:45">
      <c r="A425" s="291"/>
      <c r="B425" s="292"/>
      <c r="C425" s="293"/>
      <c r="D425" s="293"/>
      <c r="E425" s="293"/>
      <c r="F425" s="293"/>
      <c r="G425" s="294"/>
      <c r="H425" s="300"/>
      <c r="I425" s="295"/>
      <c r="J425" s="295"/>
      <c r="K425" s="296"/>
      <c r="L425" s="301"/>
      <c r="M425" s="297"/>
      <c r="N425" s="298"/>
      <c r="P425" s="190" t="str">
        <f>IF(R425 = "", "", COUNT(R$4:$R425))</f>
        <v/>
      </c>
      <c r="Q425" s="190" t="str">
        <f t="shared" si="61"/>
        <v/>
      </c>
      <c r="R425" s="191" t="str">
        <f t="shared" si="62"/>
        <v/>
      </c>
      <c r="S425" s="192" t="str">
        <f t="shared" si="64"/>
        <v/>
      </c>
      <c r="T425" s="193" t="str">
        <f t="shared" si="65"/>
        <v/>
      </c>
      <c r="U425" s="194" t="str">
        <f t="shared" si="66"/>
        <v/>
      </c>
      <c r="V425" s="195" t="str">
        <f t="shared" si="63"/>
        <v/>
      </c>
      <c r="W425" s="336" t="str">
        <f t="shared" si="67"/>
        <v/>
      </c>
      <c r="X425" s="338" t="str">
        <f t="shared" si="68"/>
        <v/>
      </c>
      <c r="Y425" s="274"/>
      <c r="AR425" t="str">
        <f t="shared" si="69"/>
        <v/>
      </c>
      <c r="AS425" t="str">
        <f t="shared" si="70"/>
        <v/>
      </c>
    </row>
    <row r="426" spans="1:45">
      <c r="A426" s="291"/>
      <c r="B426" s="292"/>
      <c r="C426" s="293"/>
      <c r="D426" s="293"/>
      <c r="E426" s="293"/>
      <c r="F426" s="293"/>
      <c r="G426" s="294"/>
      <c r="H426" s="300"/>
      <c r="I426" s="295"/>
      <c r="J426" s="295"/>
      <c r="K426" s="296"/>
      <c r="L426" s="301"/>
      <c r="M426" s="297"/>
      <c r="N426" s="298"/>
      <c r="P426" s="190" t="str">
        <f>IF(R426 = "", "", COUNT(R$4:$R426))</f>
        <v/>
      </c>
      <c r="Q426" s="190" t="str">
        <f t="shared" si="61"/>
        <v/>
      </c>
      <c r="R426" s="191" t="str">
        <f t="shared" si="62"/>
        <v/>
      </c>
      <c r="S426" s="192" t="str">
        <f t="shared" si="64"/>
        <v/>
      </c>
      <c r="T426" s="193" t="str">
        <f t="shared" si="65"/>
        <v/>
      </c>
      <c r="U426" s="194" t="str">
        <f t="shared" si="66"/>
        <v/>
      </c>
      <c r="V426" s="195" t="str">
        <f t="shared" si="63"/>
        <v/>
      </c>
      <c r="W426" s="336" t="str">
        <f t="shared" si="67"/>
        <v/>
      </c>
      <c r="X426" s="338" t="str">
        <f t="shared" si="68"/>
        <v/>
      </c>
      <c r="Y426" s="274"/>
      <c r="AR426" t="str">
        <f t="shared" si="69"/>
        <v/>
      </c>
      <c r="AS426" t="str">
        <f t="shared" si="70"/>
        <v/>
      </c>
    </row>
    <row r="427" spans="1:45">
      <c r="A427" s="291"/>
      <c r="B427" s="292"/>
      <c r="C427" s="293"/>
      <c r="D427" s="293"/>
      <c r="E427" s="293"/>
      <c r="F427" s="293"/>
      <c r="G427" s="294"/>
      <c r="H427" s="300"/>
      <c r="I427" s="295"/>
      <c r="J427" s="295"/>
      <c r="K427" s="296"/>
      <c r="L427" s="301"/>
      <c r="M427" s="297"/>
      <c r="N427" s="298"/>
      <c r="P427" s="190" t="str">
        <f>IF(R427 = "", "", COUNT(R$4:$R427))</f>
        <v/>
      </c>
      <c r="Q427" s="190" t="str">
        <f t="shared" si="61"/>
        <v/>
      </c>
      <c r="R427" s="191" t="str">
        <f t="shared" si="62"/>
        <v/>
      </c>
      <c r="S427" s="192" t="str">
        <f t="shared" si="64"/>
        <v/>
      </c>
      <c r="T427" s="193" t="str">
        <f t="shared" si="65"/>
        <v/>
      </c>
      <c r="U427" s="194" t="str">
        <f t="shared" si="66"/>
        <v/>
      </c>
      <c r="V427" s="195" t="str">
        <f t="shared" si="63"/>
        <v/>
      </c>
      <c r="W427" s="336" t="str">
        <f t="shared" si="67"/>
        <v/>
      </c>
      <c r="X427" s="338" t="str">
        <f t="shared" si="68"/>
        <v/>
      </c>
      <c r="Y427" s="274"/>
      <c r="AR427" t="str">
        <f t="shared" si="69"/>
        <v/>
      </c>
      <c r="AS427" t="str">
        <f t="shared" si="70"/>
        <v/>
      </c>
    </row>
    <row r="428" spans="1:45">
      <c r="A428" s="291"/>
      <c r="B428" s="292"/>
      <c r="C428" s="293"/>
      <c r="D428" s="293"/>
      <c r="E428" s="293"/>
      <c r="F428" s="293"/>
      <c r="G428" s="294"/>
      <c r="H428" s="300"/>
      <c r="I428" s="295"/>
      <c r="J428" s="295"/>
      <c r="K428" s="296"/>
      <c r="L428" s="301"/>
      <c r="M428" s="297"/>
      <c r="N428" s="298"/>
      <c r="P428" s="190" t="str">
        <f>IF(R428 = "", "", COUNT(R$4:$R428))</f>
        <v/>
      </c>
      <c r="Q428" s="190" t="str">
        <f t="shared" si="61"/>
        <v/>
      </c>
      <c r="R428" s="191" t="str">
        <f t="shared" si="62"/>
        <v/>
      </c>
      <c r="S428" s="192" t="str">
        <f t="shared" si="64"/>
        <v/>
      </c>
      <c r="T428" s="193" t="str">
        <f t="shared" si="65"/>
        <v/>
      </c>
      <c r="U428" s="194" t="str">
        <f t="shared" si="66"/>
        <v/>
      </c>
      <c r="V428" s="195" t="str">
        <f t="shared" si="63"/>
        <v/>
      </c>
      <c r="W428" s="336" t="str">
        <f t="shared" si="67"/>
        <v/>
      </c>
      <c r="X428" s="338" t="str">
        <f t="shared" si="68"/>
        <v/>
      </c>
      <c r="Y428" s="274"/>
      <c r="AR428" t="str">
        <f t="shared" si="69"/>
        <v/>
      </c>
      <c r="AS428" t="str">
        <f t="shared" si="70"/>
        <v/>
      </c>
    </row>
    <row r="429" spans="1:45">
      <c r="A429" s="291"/>
      <c r="B429" s="292"/>
      <c r="C429" s="293"/>
      <c r="D429" s="293"/>
      <c r="E429" s="293"/>
      <c r="F429" s="293"/>
      <c r="G429" s="294"/>
      <c r="H429" s="300"/>
      <c r="I429" s="295"/>
      <c r="J429" s="295"/>
      <c r="K429" s="296"/>
      <c r="L429" s="301"/>
      <c r="M429" s="297"/>
      <c r="N429" s="298"/>
      <c r="P429" s="190" t="str">
        <f>IF(R429 = "", "", COUNT(R$4:$R429))</f>
        <v/>
      </c>
      <c r="Q429" s="190" t="str">
        <f t="shared" si="61"/>
        <v/>
      </c>
      <c r="R429" s="191" t="str">
        <f t="shared" si="62"/>
        <v/>
      </c>
      <c r="S429" s="192" t="str">
        <f t="shared" si="64"/>
        <v/>
      </c>
      <c r="T429" s="193" t="str">
        <f t="shared" si="65"/>
        <v/>
      </c>
      <c r="U429" s="194" t="str">
        <f t="shared" si="66"/>
        <v/>
      </c>
      <c r="V429" s="195" t="str">
        <f t="shared" si="63"/>
        <v/>
      </c>
      <c r="W429" s="336" t="str">
        <f t="shared" si="67"/>
        <v/>
      </c>
      <c r="X429" s="338" t="str">
        <f t="shared" si="68"/>
        <v/>
      </c>
      <c r="Y429" s="274"/>
      <c r="AR429" t="str">
        <f t="shared" si="69"/>
        <v/>
      </c>
      <c r="AS429" t="str">
        <f t="shared" si="70"/>
        <v/>
      </c>
    </row>
    <row r="430" spans="1:45">
      <c r="A430" s="291"/>
      <c r="B430" s="292"/>
      <c r="C430" s="293"/>
      <c r="D430" s="293"/>
      <c r="E430" s="293"/>
      <c r="F430" s="293"/>
      <c r="G430" s="294"/>
      <c r="H430" s="300"/>
      <c r="I430" s="295"/>
      <c r="J430" s="295"/>
      <c r="K430" s="296"/>
      <c r="L430" s="301"/>
      <c r="M430" s="297"/>
      <c r="N430" s="298"/>
      <c r="P430" s="190" t="str">
        <f>IF(R430 = "", "", COUNT(R$4:$R430))</f>
        <v/>
      </c>
      <c r="Q430" s="190" t="str">
        <f t="shared" si="61"/>
        <v/>
      </c>
      <c r="R430" s="191" t="str">
        <f t="shared" si="62"/>
        <v/>
      </c>
      <c r="S430" s="192" t="str">
        <f t="shared" si="64"/>
        <v/>
      </c>
      <c r="T430" s="193" t="str">
        <f t="shared" si="65"/>
        <v/>
      </c>
      <c r="U430" s="194" t="str">
        <f t="shared" si="66"/>
        <v/>
      </c>
      <c r="V430" s="195" t="str">
        <f t="shared" si="63"/>
        <v/>
      </c>
      <c r="W430" s="336" t="str">
        <f t="shared" si="67"/>
        <v/>
      </c>
      <c r="X430" s="338" t="str">
        <f t="shared" si="68"/>
        <v/>
      </c>
      <c r="Y430" s="274"/>
      <c r="AR430" t="str">
        <f t="shared" si="69"/>
        <v/>
      </c>
      <c r="AS430" t="str">
        <f t="shared" si="70"/>
        <v/>
      </c>
    </row>
    <row r="431" spans="1:45">
      <c r="A431" s="291"/>
      <c r="B431" s="292"/>
      <c r="C431" s="293"/>
      <c r="D431" s="293"/>
      <c r="E431" s="293"/>
      <c r="F431" s="293"/>
      <c r="G431" s="294"/>
      <c r="H431" s="300"/>
      <c r="I431" s="295"/>
      <c r="J431" s="295"/>
      <c r="K431" s="296"/>
      <c r="L431" s="301"/>
      <c r="M431" s="297"/>
      <c r="N431" s="298"/>
      <c r="P431" s="190" t="str">
        <f>IF(R431 = "", "", COUNT(R$4:$R431))</f>
        <v/>
      </c>
      <c r="Q431" s="190" t="str">
        <f t="shared" si="61"/>
        <v/>
      </c>
      <c r="R431" s="191" t="str">
        <f t="shared" si="62"/>
        <v/>
      </c>
      <c r="S431" s="192" t="str">
        <f t="shared" si="64"/>
        <v/>
      </c>
      <c r="T431" s="193" t="str">
        <f t="shared" si="65"/>
        <v/>
      </c>
      <c r="U431" s="194" t="str">
        <f t="shared" si="66"/>
        <v/>
      </c>
      <c r="V431" s="195" t="str">
        <f t="shared" si="63"/>
        <v/>
      </c>
      <c r="W431" s="336" t="str">
        <f t="shared" si="67"/>
        <v/>
      </c>
      <c r="X431" s="338" t="str">
        <f t="shared" si="68"/>
        <v/>
      </c>
      <c r="Y431" s="274"/>
      <c r="AR431" t="str">
        <f t="shared" si="69"/>
        <v/>
      </c>
      <c r="AS431" t="str">
        <f t="shared" si="70"/>
        <v/>
      </c>
    </row>
    <row r="432" spans="1:45">
      <c r="A432" s="291"/>
      <c r="B432" s="292"/>
      <c r="C432" s="293"/>
      <c r="D432" s="293"/>
      <c r="E432" s="293"/>
      <c r="F432" s="293"/>
      <c r="G432" s="294"/>
      <c r="H432" s="300"/>
      <c r="I432" s="295"/>
      <c r="J432" s="295"/>
      <c r="K432" s="296"/>
      <c r="L432" s="301"/>
      <c r="M432" s="297"/>
      <c r="N432" s="298"/>
      <c r="P432" s="190" t="str">
        <f>IF(R432 = "", "", COUNT(R$4:$R432))</f>
        <v/>
      </c>
      <c r="Q432" s="190" t="str">
        <f t="shared" si="61"/>
        <v/>
      </c>
      <c r="R432" s="191" t="str">
        <f t="shared" si="62"/>
        <v/>
      </c>
      <c r="S432" s="192" t="str">
        <f t="shared" si="64"/>
        <v/>
      </c>
      <c r="T432" s="193" t="str">
        <f t="shared" si="65"/>
        <v/>
      </c>
      <c r="U432" s="194" t="str">
        <f t="shared" si="66"/>
        <v/>
      </c>
      <c r="V432" s="195" t="str">
        <f t="shared" si="63"/>
        <v/>
      </c>
      <c r="W432" s="336" t="str">
        <f t="shared" si="67"/>
        <v/>
      </c>
      <c r="X432" s="338" t="str">
        <f t="shared" si="68"/>
        <v/>
      </c>
      <c r="Y432" s="274"/>
      <c r="AR432" t="str">
        <f t="shared" si="69"/>
        <v/>
      </c>
      <c r="AS432" t="str">
        <f t="shared" si="70"/>
        <v/>
      </c>
    </row>
    <row r="433" spans="1:45">
      <c r="A433" s="291"/>
      <c r="B433" s="292"/>
      <c r="C433" s="293"/>
      <c r="D433" s="293"/>
      <c r="E433" s="293"/>
      <c r="F433" s="293"/>
      <c r="G433" s="294"/>
      <c r="H433" s="300"/>
      <c r="I433" s="295"/>
      <c r="J433" s="295"/>
      <c r="K433" s="296"/>
      <c r="L433" s="301"/>
      <c r="M433" s="297"/>
      <c r="N433" s="298"/>
      <c r="P433" s="190" t="str">
        <f>IF(R433 = "", "", COUNT(R$4:$R433))</f>
        <v/>
      </c>
      <c r="Q433" s="190" t="str">
        <f t="shared" si="61"/>
        <v/>
      </c>
      <c r="R433" s="191" t="str">
        <f t="shared" si="62"/>
        <v/>
      </c>
      <c r="S433" s="192" t="str">
        <f t="shared" si="64"/>
        <v/>
      </c>
      <c r="T433" s="193" t="str">
        <f t="shared" si="65"/>
        <v/>
      </c>
      <c r="U433" s="194" t="str">
        <f t="shared" si="66"/>
        <v/>
      </c>
      <c r="V433" s="195" t="str">
        <f t="shared" si="63"/>
        <v/>
      </c>
      <c r="W433" s="336" t="str">
        <f t="shared" si="67"/>
        <v/>
      </c>
      <c r="X433" s="338" t="str">
        <f t="shared" si="68"/>
        <v/>
      </c>
      <c r="Y433" s="274"/>
      <c r="AR433" t="str">
        <f t="shared" si="69"/>
        <v/>
      </c>
      <c r="AS433" t="str">
        <f t="shared" si="70"/>
        <v/>
      </c>
    </row>
    <row r="434" spans="1:45">
      <c r="A434" s="291"/>
      <c r="B434" s="292"/>
      <c r="C434" s="293"/>
      <c r="D434" s="293"/>
      <c r="E434" s="293"/>
      <c r="F434" s="293"/>
      <c r="G434" s="294"/>
      <c r="H434" s="300"/>
      <c r="I434" s="295"/>
      <c r="J434" s="295"/>
      <c r="K434" s="296"/>
      <c r="L434" s="301"/>
      <c r="M434" s="297"/>
      <c r="N434" s="298"/>
      <c r="P434" s="190" t="str">
        <f>IF(R434 = "", "", COUNT(R$4:$R434))</f>
        <v/>
      </c>
      <c r="Q434" s="190" t="str">
        <f t="shared" si="61"/>
        <v/>
      </c>
      <c r="R434" s="191" t="str">
        <f t="shared" si="62"/>
        <v/>
      </c>
      <c r="S434" s="192" t="str">
        <f t="shared" si="64"/>
        <v/>
      </c>
      <c r="T434" s="193" t="str">
        <f t="shared" si="65"/>
        <v/>
      </c>
      <c r="U434" s="194" t="str">
        <f t="shared" si="66"/>
        <v/>
      </c>
      <c r="V434" s="195" t="str">
        <f t="shared" si="63"/>
        <v/>
      </c>
      <c r="W434" s="336" t="str">
        <f t="shared" si="67"/>
        <v/>
      </c>
      <c r="X434" s="338" t="str">
        <f t="shared" si="68"/>
        <v/>
      </c>
      <c r="Y434" s="274"/>
      <c r="AR434" t="str">
        <f t="shared" si="69"/>
        <v/>
      </c>
      <c r="AS434" t="str">
        <f t="shared" si="70"/>
        <v/>
      </c>
    </row>
    <row r="435" spans="1:45">
      <c r="A435" s="291"/>
      <c r="B435" s="292"/>
      <c r="C435" s="293"/>
      <c r="D435" s="293"/>
      <c r="E435" s="293"/>
      <c r="F435" s="293"/>
      <c r="G435" s="294"/>
      <c r="H435" s="300"/>
      <c r="I435" s="295"/>
      <c r="J435" s="295"/>
      <c r="K435" s="296"/>
      <c r="L435" s="301"/>
      <c r="M435" s="297"/>
      <c r="N435" s="298"/>
      <c r="P435" s="190" t="str">
        <f>IF(R435 = "", "", COUNT(R$4:$R435))</f>
        <v/>
      </c>
      <c r="Q435" s="190" t="str">
        <f t="shared" si="61"/>
        <v/>
      </c>
      <c r="R435" s="191" t="str">
        <f t="shared" si="62"/>
        <v/>
      </c>
      <c r="S435" s="192" t="str">
        <f t="shared" si="64"/>
        <v/>
      </c>
      <c r="T435" s="193" t="str">
        <f t="shared" si="65"/>
        <v/>
      </c>
      <c r="U435" s="194" t="str">
        <f t="shared" si="66"/>
        <v/>
      </c>
      <c r="V435" s="195" t="str">
        <f t="shared" si="63"/>
        <v/>
      </c>
      <c r="W435" s="336" t="str">
        <f t="shared" si="67"/>
        <v/>
      </c>
      <c r="X435" s="338" t="str">
        <f t="shared" si="68"/>
        <v/>
      </c>
      <c r="Y435" s="274"/>
      <c r="AR435" t="str">
        <f t="shared" si="69"/>
        <v/>
      </c>
      <c r="AS435" t="str">
        <f t="shared" si="70"/>
        <v/>
      </c>
    </row>
    <row r="436" spans="1:45">
      <c r="A436" s="291"/>
      <c r="B436" s="292"/>
      <c r="C436" s="293"/>
      <c r="D436" s="293"/>
      <c r="E436" s="293"/>
      <c r="F436" s="293"/>
      <c r="G436" s="294"/>
      <c r="H436" s="300"/>
      <c r="I436" s="295"/>
      <c r="J436" s="295"/>
      <c r="K436" s="296"/>
      <c r="L436" s="301"/>
      <c r="M436" s="297"/>
      <c r="N436" s="298"/>
      <c r="P436" s="190" t="str">
        <f>IF(R436 = "", "", COUNT(R$4:$R436))</f>
        <v/>
      </c>
      <c r="Q436" s="190" t="str">
        <f t="shared" si="61"/>
        <v/>
      </c>
      <c r="R436" s="191" t="str">
        <f t="shared" si="62"/>
        <v/>
      </c>
      <c r="S436" s="192" t="str">
        <f t="shared" si="64"/>
        <v/>
      </c>
      <c r="T436" s="193" t="str">
        <f t="shared" si="65"/>
        <v/>
      </c>
      <c r="U436" s="194" t="str">
        <f t="shared" si="66"/>
        <v/>
      </c>
      <c r="V436" s="195" t="str">
        <f t="shared" si="63"/>
        <v/>
      </c>
      <c r="W436" s="336" t="str">
        <f t="shared" si="67"/>
        <v/>
      </c>
      <c r="X436" s="338" t="str">
        <f t="shared" si="68"/>
        <v/>
      </c>
      <c r="Y436" s="274"/>
      <c r="AR436" t="str">
        <f t="shared" si="69"/>
        <v/>
      </c>
      <c r="AS436" t="str">
        <f t="shared" si="70"/>
        <v/>
      </c>
    </row>
    <row r="437" spans="1:45">
      <c r="A437" s="291"/>
      <c r="B437" s="292"/>
      <c r="C437" s="293"/>
      <c r="D437" s="293"/>
      <c r="E437" s="293"/>
      <c r="F437" s="293"/>
      <c r="G437" s="294"/>
      <c r="H437" s="300"/>
      <c r="I437" s="295"/>
      <c r="J437" s="295"/>
      <c r="K437" s="296"/>
      <c r="L437" s="301"/>
      <c r="M437" s="297"/>
      <c r="N437" s="298"/>
      <c r="P437" s="190" t="str">
        <f>IF(R437 = "", "", COUNT(R$4:$R437))</f>
        <v/>
      </c>
      <c r="Q437" s="190" t="str">
        <f t="shared" si="61"/>
        <v/>
      </c>
      <c r="R437" s="191" t="str">
        <f t="shared" si="62"/>
        <v/>
      </c>
      <c r="S437" s="192" t="str">
        <f t="shared" si="64"/>
        <v/>
      </c>
      <c r="T437" s="193" t="str">
        <f t="shared" si="65"/>
        <v/>
      </c>
      <c r="U437" s="194" t="str">
        <f t="shared" si="66"/>
        <v/>
      </c>
      <c r="V437" s="195" t="str">
        <f t="shared" si="63"/>
        <v/>
      </c>
      <c r="W437" s="336" t="str">
        <f t="shared" si="67"/>
        <v/>
      </c>
      <c r="X437" s="338" t="str">
        <f t="shared" si="68"/>
        <v/>
      </c>
      <c r="Y437" s="274"/>
      <c r="AR437" t="str">
        <f t="shared" si="69"/>
        <v/>
      </c>
      <c r="AS437" t="str">
        <f t="shared" si="70"/>
        <v/>
      </c>
    </row>
    <row r="438" spans="1:45">
      <c r="A438" s="291"/>
      <c r="B438" s="292"/>
      <c r="C438" s="293"/>
      <c r="D438" s="293"/>
      <c r="E438" s="293"/>
      <c r="F438" s="293"/>
      <c r="G438" s="294"/>
      <c r="H438" s="300"/>
      <c r="I438" s="295"/>
      <c r="J438" s="295"/>
      <c r="K438" s="296"/>
      <c r="L438" s="301"/>
      <c r="M438" s="297"/>
      <c r="N438" s="298"/>
      <c r="P438" s="190" t="str">
        <f>IF(R438 = "", "", COUNT(R$4:$R438))</f>
        <v/>
      </c>
      <c r="Q438" s="190" t="str">
        <f t="shared" si="61"/>
        <v/>
      </c>
      <c r="R438" s="191" t="str">
        <f t="shared" si="62"/>
        <v/>
      </c>
      <c r="S438" s="192" t="str">
        <f t="shared" si="64"/>
        <v/>
      </c>
      <c r="T438" s="193" t="str">
        <f t="shared" si="65"/>
        <v/>
      </c>
      <c r="U438" s="194" t="str">
        <f t="shared" si="66"/>
        <v/>
      </c>
      <c r="V438" s="195" t="str">
        <f t="shared" si="63"/>
        <v/>
      </c>
      <c r="W438" s="336" t="str">
        <f t="shared" si="67"/>
        <v/>
      </c>
      <c r="X438" s="338" t="str">
        <f t="shared" si="68"/>
        <v/>
      </c>
      <c r="Y438" s="274"/>
      <c r="AR438" t="str">
        <f t="shared" si="69"/>
        <v/>
      </c>
      <c r="AS438" t="str">
        <f t="shared" si="70"/>
        <v/>
      </c>
    </row>
    <row r="439" spans="1:45">
      <c r="A439" s="291"/>
      <c r="B439" s="292"/>
      <c r="C439" s="293"/>
      <c r="D439" s="293"/>
      <c r="E439" s="293"/>
      <c r="F439" s="293"/>
      <c r="G439" s="294"/>
      <c r="H439" s="300"/>
      <c r="I439" s="295"/>
      <c r="J439" s="295"/>
      <c r="K439" s="296"/>
      <c r="L439" s="301"/>
      <c r="M439" s="297"/>
      <c r="N439" s="298"/>
      <c r="P439" s="190" t="str">
        <f>IF(R439 = "", "", COUNT(R$4:$R439))</f>
        <v/>
      </c>
      <c r="Q439" s="190" t="str">
        <f t="shared" si="61"/>
        <v/>
      </c>
      <c r="R439" s="191" t="str">
        <f t="shared" si="62"/>
        <v/>
      </c>
      <c r="S439" s="192" t="str">
        <f t="shared" si="64"/>
        <v/>
      </c>
      <c r="T439" s="193" t="str">
        <f t="shared" si="65"/>
        <v/>
      </c>
      <c r="U439" s="194" t="str">
        <f t="shared" si="66"/>
        <v/>
      </c>
      <c r="V439" s="195" t="str">
        <f t="shared" si="63"/>
        <v/>
      </c>
      <c r="W439" s="336" t="str">
        <f t="shared" si="67"/>
        <v/>
      </c>
      <c r="X439" s="338" t="str">
        <f t="shared" si="68"/>
        <v/>
      </c>
      <c r="Y439" s="274"/>
      <c r="AR439" t="str">
        <f t="shared" si="69"/>
        <v/>
      </c>
      <c r="AS439" t="str">
        <f t="shared" si="70"/>
        <v/>
      </c>
    </row>
    <row r="440" spans="1:45">
      <c r="A440" s="291"/>
      <c r="B440" s="292"/>
      <c r="C440" s="293"/>
      <c r="D440" s="293"/>
      <c r="E440" s="293"/>
      <c r="F440" s="293"/>
      <c r="G440" s="294"/>
      <c r="H440" s="300"/>
      <c r="I440" s="295"/>
      <c r="J440" s="295"/>
      <c r="K440" s="296"/>
      <c r="L440" s="301"/>
      <c r="M440" s="297"/>
      <c r="N440" s="298"/>
      <c r="P440" s="190" t="str">
        <f>IF(R440 = "", "", COUNT(R$4:$R440))</f>
        <v/>
      </c>
      <c r="Q440" s="190" t="str">
        <f t="shared" si="61"/>
        <v/>
      </c>
      <c r="R440" s="191" t="str">
        <f t="shared" si="62"/>
        <v/>
      </c>
      <c r="S440" s="192" t="str">
        <f t="shared" si="64"/>
        <v/>
      </c>
      <c r="T440" s="193" t="str">
        <f t="shared" si="65"/>
        <v/>
      </c>
      <c r="U440" s="194" t="str">
        <f t="shared" si="66"/>
        <v/>
      </c>
      <c r="V440" s="195" t="str">
        <f t="shared" si="63"/>
        <v/>
      </c>
      <c r="W440" s="336" t="str">
        <f t="shared" si="67"/>
        <v/>
      </c>
      <c r="X440" s="338" t="str">
        <f t="shared" si="68"/>
        <v/>
      </c>
      <c r="Y440" s="274"/>
      <c r="AR440" t="str">
        <f t="shared" si="69"/>
        <v/>
      </c>
      <c r="AS440" t="str">
        <f t="shared" si="70"/>
        <v/>
      </c>
    </row>
    <row r="441" spans="1:45">
      <c r="A441" s="291"/>
      <c r="B441" s="292"/>
      <c r="C441" s="293"/>
      <c r="D441" s="293"/>
      <c r="E441" s="293"/>
      <c r="F441" s="293"/>
      <c r="G441" s="294"/>
      <c r="H441" s="300"/>
      <c r="I441" s="295"/>
      <c r="J441" s="295"/>
      <c r="K441" s="296"/>
      <c r="L441" s="301"/>
      <c r="M441" s="297"/>
      <c r="N441" s="298"/>
      <c r="P441" s="190" t="str">
        <f>IF(R441 = "", "", COUNT(R$4:$R441))</f>
        <v/>
      </c>
      <c r="Q441" s="190" t="str">
        <f t="shared" si="61"/>
        <v/>
      </c>
      <c r="R441" s="191" t="str">
        <f t="shared" si="62"/>
        <v/>
      </c>
      <c r="S441" s="192" t="str">
        <f t="shared" si="64"/>
        <v/>
      </c>
      <c r="T441" s="193" t="str">
        <f t="shared" si="65"/>
        <v/>
      </c>
      <c r="U441" s="194" t="str">
        <f t="shared" si="66"/>
        <v/>
      </c>
      <c r="V441" s="195" t="str">
        <f t="shared" si="63"/>
        <v/>
      </c>
      <c r="W441" s="336" t="str">
        <f t="shared" si="67"/>
        <v/>
      </c>
      <c r="X441" s="338" t="str">
        <f t="shared" si="68"/>
        <v/>
      </c>
      <c r="Y441" s="274"/>
      <c r="AR441" t="str">
        <f t="shared" si="69"/>
        <v/>
      </c>
      <c r="AS441" t="str">
        <f t="shared" si="70"/>
        <v/>
      </c>
    </row>
    <row r="442" spans="1:45">
      <c r="A442" s="291"/>
      <c r="B442" s="292"/>
      <c r="C442" s="293"/>
      <c r="D442" s="293"/>
      <c r="E442" s="293"/>
      <c r="F442" s="293"/>
      <c r="G442" s="294"/>
      <c r="H442" s="300"/>
      <c r="I442" s="295"/>
      <c r="J442" s="295"/>
      <c r="K442" s="296"/>
      <c r="L442" s="301"/>
      <c r="M442" s="297"/>
      <c r="N442" s="298"/>
      <c r="P442" s="190" t="str">
        <f>IF(R442 = "", "", COUNT(R$4:$R442))</f>
        <v/>
      </c>
      <c r="Q442" s="190" t="str">
        <f t="shared" si="61"/>
        <v/>
      </c>
      <c r="R442" s="191" t="str">
        <f t="shared" si="62"/>
        <v/>
      </c>
      <c r="S442" s="192" t="str">
        <f t="shared" si="64"/>
        <v/>
      </c>
      <c r="T442" s="193" t="str">
        <f t="shared" si="65"/>
        <v/>
      </c>
      <c r="U442" s="194" t="str">
        <f t="shared" si="66"/>
        <v/>
      </c>
      <c r="V442" s="195" t="str">
        <f t="shared" si="63"/>
        <v/>
      </c>
      <c r="W442" s="336" t="str">
        <f t="shared" si="67"/>
        <v/>
      </c>
      <c r="X442" s="338" t="str">
        <f t="shared" si="68"/>
        <v/>
      </c>
      <c r="Y442" s="274"/>
      <c r="AR442" t="str">
        <f t="shared" si="69"/>
        <v/>
      </c>
      <c r="AS442" t="str">
        <f t="shared" si="70"/>
        <v/>
      </c>
    </row>
    <row r="443" spans="1:45">
      <c r="A443" s="291"/>
      <c r="B443" s="292"/>
      <c r="C443" s="293"/>
      <c r="D443" s="293"/>
      <c r="E443" s="293"/>
      <c r="F443" s="293"/>
      <c r="G443" s="294"/>
      <c r="H443" s="300"/>
      <c r="I443" s="295"/>
      <c r="J443" s="295"/>
      <c r="K443" s="296"/>
      <c r="L443" s="301"/>
      <c r="M443" s="297"/>
      <c r="N443" s="298"/>
      <c r="P443" s="190" t="str">
        <f>IF(R443 = "", "", COUNT(R$4:$R443))</f>
        <v/>
      </c>
      <c r="Q443" s="190" t="str">
        <f t="shared" si="61"/>
        <v/>
      </c>
      <c r="R443" s="191" t="str">
        <f t="shared" si="62"/>
        <v/>
      </c>
      <c r="S443" s="192" t="str">
        <f t="shared" si="64"/>
        <v/>
      </c>
      <c r="T443" s="193" t="str">
        <f t="shared" si="65"/>
        <v/>
      </c>
      <c r="U443" s="194" t="str">
        <f t="shared" si="66"/>
        <v/>
      </c>
      <c r="V443" s="195" t="str">
        <f t="shared" si="63"/>
        <v/>
      </c>
      <c r="W443" s="336" t="str">
        <f t="shared" si="67"/>
        <v/>
      </c>
      <c r="X443" s="338" t="str">
        <f t="shared" si="68"/>
        <v/>
      </c>
      <c r="Y443" s="274"/>
      <c r="AR443" t="str">
        <f t="shared" si="69"/>
        <v/>
      </c>
      <c r="AS443" t="str">
        <f t="shared" si="70"/>
        <v/>
      </c>
    </row>
    <row r="444" spans="1:45">
      <c r="A444" s="291"/>
      <c r="B444" s="292"/>
      <c r="C444" s="293"/>
      <c r="D444" s="293"/>
      <c r="E444" s="293"/>
      <c r="F444" s="293"/>
      <c r="G444" s="294"/>
      <c r="H444" s="300"/>
      <c r="I444" s="295"/>
      <c r="J444" s="295"/>
      <c r="K444" s="296"/>
      <c r="L444" s="301"/>
      <c r="M444" s="297"/>
      <c r="N444" s="298"/>
      <c r="P444" s="190" t="str">
        <f>IF(R444 = "", "", COUNT(R$4:$R444))</f>
        <v/>
      </c>
      <c r="Q444" s="190" t="str">
        <f t="shared" si="61"/>
        <v/>
      </c>
      <c r="R444" s="191" t="str">
        <f t="shared" si="62"/>
        <v/>
      </c>
      <c r="S444" s="192" t="str">
        <f t="shared" si="64"/>
        <v/>
      </c>
      <c r="T444" s="193" t="str">
        <f t="shared" si="65"/>
        <v/>
      </c>
      <c r="U444" s="194" t="str">
        <f t="shared" si="66"/>
        <v/>
      </c>
      <c r="V444" s="195" t="str">
        <f t="shared" si="63"/>
        <v/>
      </c>
      <c r="W444" s="336" t="str">
        <f t="shared" si="67"/>
        <v/>
      </c>
      <c r="X444" s="338" t="str">
        <f t="shared" si="68"/>
        <v/>
      </c>
      <c r="Y444" s="274"/>
      <c r="AR444" t="str">
        <f t="shared" si="69"/>
        <v/>
      </c>
      <c r="AS444" t="str">
        <f t="shared" si="70"/>
        <v/>
      </c>
    </row>
    <row r="445" spans="1:45">
      <c r="A445" s="291"/>
      <c r="B445" s="292"/>
      <c r="C445" s="293"/>
      <c r="D445" s="293"/>
      <c r="E445" s="293"/>
      <c r="F445" s="293"/>
      <c r="G445" s="294"/>
      <c r="H445" s="300"/>
      <c r="I445" s="295"/>
      <c r="J445" s="295"/>
      <c r="K445" s="296"/>
      <c r="L445" s="301"/>
      <c r="M445" s="297"/>
      <c r="N445" s="298"/>
      <c r="P445" s="190" t="str">
        <f>IF(R445 = "", "", COUNT(R$4:$R445))</f>
        <v/>
      </c>
      <c r="Q445" s="190" t="str">
        <f t="shared" si="61"/>
        <v/>
      </c>
      <c r="R445" s="191" t="str">
        <f t="shared" si="62"/>
        <v/>
      </c>
      <c r="S445" s="192" t="str">
        <f t="shared" si="64"/>
        <v/>
      </c>
      <c r="T445" s="193" t="str">
        <f t="shared" si="65"/>
        <v/>
      </c>
      <c r="U445" s="194" t="str">
        <f t="shared" si="66"/>
        <v/>
      </c>
      <c r="V445" s="195" t="str">
        <f t="shared" si="63"/>
        <v/>
      </c>
      <c r="W445" s="336" t="str">
        <f t="shared" si="67"/>
        <v/>
      </c>
      <c r="X445" s="338" t="str">
        <f t="shared" si="68"/>
        <v/>
      </c>
      <c r="Y445" s="274"/>
      <c r="AR445" t="str">
        <f t="shared" si="69"/>
        <v/>
      </c>
      <c r="AS445" t="str">
        <f t="shared" si="70"/>
        <v/>
      </c>
    </row>
    <row r="446" spans="1:45">
      <c r="A446" s="291"/>
      <c r="B446" s="292"/>
      <c r="C446" s="293"/>
      <c r="D446" s="293"/>
      <c r="E446" s="293"/>
      <c r="F446" s="293"/>
      <c r="G446" s="294"/>
      <c r="H446" s="300"/>
      <c r="I446" s="295"/>
      <c r="J446" s="295"/>
      <c r="K446" s="296"/>
      <c r="L446" s="301"/>
      <c r="M446" s="297"/>
      <c r="N446" s="298"/>
      <c r="P446" s="190" t="str">
        <f>IF(R446 = "", "", COUNT(R$4:$R446))</f>
        <v/>
      </c>
      <c r="Q446" s="190" t="str">
        <f t="shared" si="61"/>
        <v/>
      </c>
      <c r="R446" s="191" t="str">
        <f t="shared" si="62"/>
        <v/>
      </c>
      <c r="S446" s="192" t="str">
        <f t="shared" si="64"/>
        <v/>
      </c>
      <c r="T446" s="193" t="str">
        <f t="shared" si="65"/>
        <v/>
      </c>
      <c r="U446" s="194" t="str">
        <f t="shared" si="66"/>
        <v/>
      </c>
      <c r="V446" s="195" t="str">
        <f t="shared" si="63"/>
        <v/>
      </c>
      <c r="W446" s="336" t="str">
        <f t="shared" si="67"/>
        <v/>
      </c>
      <c r="X446" s="338" t="str">
        <f t="shared" si="68"/>
        <v/>
      </c>
      <c r="Y446" s="274"/>
      <c r="AR446" t="str">
        <f t="shared" si="69"/>
        <v/>
      </c>
      <c r="AS446" t="str">
        <f t="shared" si="70"/>
        <v/>
      </c>
    </row>
    <row r="447" spans="1:45">
      <c r="A447" s="291"/>
      <c r="B447" s="292"/>
      <c r="C447" s="293"/>
      <c r="D447" s="293"/>
      <c r="E447" s="293"/>
      <c r="F447" s="293"/>
      <c r="G447" s="294"/>
      <c r="H447" s="300"/>
      <c r="I447" s="295"/>
      <c r="J447" s="295"/>
      <c r="K447" s="296"/>
      <c r="L447" s="301"/>
      <c r="M447" s="297"/>
      <c r="N447" s="298"/>
      <c r="P447" s="190" t="str">
        <f>IF(R447 = "", "", COUNT(R$4:$R447))</f>
        <v/>
      </c>
      <c r="Q447" s="190" t="str">
        <f t="shared" si="61"/>
        <v/>
      </c>
      <c r="R447" s="191" t="str">
        <f t="shared" si="62"/>
        <v/>
      </c>
      <c r="S447" s="192" t="str">
        <f t="shared" si="64"/>
        <v/>
      </c>
      <c r="T447" s="193" t="str">
        <f t="shared" si="65"/>
        <v/>
      </c>
      <c r="U447" s="194" t="str">
        <f t="shared" si="66"/>
        <v/>
      </c>
      <c r="V447" s="195" t="str">
        <f t="shared" si="63"/>
        <v/>
      </c>
      <c r="W447" s="336" t="str">
        <f t="shared" si="67"/>
        <v/>
      </c>
      <c r="X447" s="338" t="str">
        <f t="shared" si="68"/>
        <v/>
      </c>
      <c r="Y447" s="274"/>
      <c r="AR447" t="str">
        <f t="shared" si="69"/>
        <v/>
      </c>
      <c r="AS447" t="str">
        <f t="shared" si="70"/>
        <v/>
      </c>
    </row>
    <row r="448" spans="1:45">
      <c r="A448" s="291"/>
      <c r="B448" s="292"/>
      <c r="C448" s="293"/>
      <c r="D448" s="293"/>
      <c r="E448" s="293"/>
      <c r="F448" s="293"/>
      <c r="G448" s="294"/>
      <c r="H448" s="300"/>
      <c r="I448" s="295"/>
      <c r="J448" s="295"/>
      <c r="K448" s="296"/>
      <c r="L448" s="301"/>
      <c r="M448" s="297"/>
      <c r="N448" s="298"/>
      <c r="P448" s="190" t="str">
        <f>IF(R448 = "", "", COUNT(R$4:$R448))</f>
        <v/>
      </c>
      <c r="Q448" s="190" t="str">
        <f t="shared" si="61"/>
        <v/>
      </c>
      <c r="R448" s="191" t="str">
        <f t="shared" si="62"/>
        <v/>
      </c>
      <c r="S448" s="192" t="str">
        <f t="shared" si="64"/>
        <v/>
      </c>
      <c r="T448" s="193" t="str">
        <f t="shared" si="65"/>
        <v/>
      </c>
      <c r="U448" s="194" t="str">
        <f t="shared" si="66"/>
        <v/>
      </c>
      <c r="V448" s="195" t="str">
        <f t="shared" si="63"/>
        <v/>
      </c>
      <c r="W448" s="336" t="str">
        <f t="shared" si="67"/>
        <v/>
      </c>
      <c r="X448" s="338" t="str">
        <f t="shared" si="68"/>
        <v/>
      </c>
      <c r="Y448" s="274"/>
      <c r="AR448" t="str">
        <f t="shared" si="69"/>
        <v/>
      </c>
      <c r="AS448" t="str">
        <f t="shared" si="70"/>
        <v/>
      </c>
    </row>
    <row r="449" spans="1:45">
      <c r="A449" s="291"/>
      <c r="B449" s="292"/>
      <c r="C449" s="293"/>
      <c r="D449" s="293"/>
      <c r="E449" s="293"/>
      <c r="F449" s="293"/>
      <c r="G449" s="294"/>
      <c r="H449" s="300"/>
      <c r="I449" s="295"/>
      <c r="J449" s="295"/>
      <c r="K449" s="296"/>
      <c r="L449" s="301"/>
      <c r="M449" s="297"/>
      <c r="N449" s="298"/>
      <c r="P449" s="190" t="str">
        <f>IF(R449 = "", "", COUNT(R$4:$R449))</f>
        <v/>
      </c>
      <c r="Q449" s="190" t="str">
        <f t="shared" si="61"/>
        <v/>
      </c>
      <c r="R449" s="191" t="str">
        <f t="shared" si="62"/>
        <v/>
      </c>
      <c r="S449" s="192" t="str">
        <f t="shared" si="64"/>
        <v/>
      </c>
      <c r="T449" s="193" t="str">
        <f t="shared" si="65"/>
        <v/>
      </c>
      <c r="U449" s="194" t="str">
        <f t="shared" si="66"/>
        <v/>
      </c>
      <c r="V449" s="195" t="str">
        <f t="shared" si="63"/>
        <v/>
      </c>
      <c r="W449" s="336" t="str">
        <f t="shared" si="67"/>
        <v/>
      </c>
      <c r="X449" s="338" t="str">
        <f t="shared" si="68"/>
        <v/>
      </c>
      <c r="Y449" s="274"/>
      <c r="AR449" t="str">
        <f t="shared" si="69"/>
        <v/>
      </c>
      <c r="AS449" t="str">
        <f t="shared" si="70"/>
        <v/>
      </c>
    </row>
    <row r="450" spans="1:45">
      <c r="A450" s="291"/>
      <c r="B450" s="292"/>
      <c r="C450" s="293"/>
      <c r="D450" s="293"/>
      <c r="E450" s="293"/>
      <c r="F450" s="293"/>
      <c r="G450" s="294"/>
      <c r="H450" s="300"/>
      <c r="I450" s="295"/>
      <c r="J450" s="295"/>
      <c r="K450" s="296"/>
      <c r="L450" s="301"/>
      <c r="M450" s="297"/>
      <c r="N450" s="298"/>
      <c r="P450" s="190" t="str">
        <f>IF(R450 = "", "", COUNT(R$4:$R450))</f>
        <v/>
      </c>
      <c r="Q450" s="190" t="str">
        <f t="shared" si="61"/>
        <v/>
      </c>
      <c r="R450" s="191" t="str">
        <f t="shared" si="62"/>
        <v/>
      </c>
      <c r="S450" s="192" t="str">
        <f t="shared" si="64"/>
        <v/>
      </c>
      <c r="T450" s="193" t="str">
        <f t="shared" si="65"/>
        <v/>
      </c>
      <c r="U450" s="194" t="str">
        <f t="shared" si="66"/>
        <v/>
      </c>
      <c r="V450" s="195" t="str">
        <f t="shared" si="63"/>
        <v/>
      </c>
      <c r="W450" s="336" t="str">
        <f t="shared" si="67"/>
        <v/>
      </c>
      <c r="X450" s="338" t="str">
        <f t="shared" si="68"/>
        <v/>
      </c>
      <c r="Y450" s="274"/>
      <c r="AR450" t="str">
        <f t="shared" si="69"/>
        <v/>
      </c>
      <c r="AS450" t="str">
        <f t="shared" si="70"/>
        <v/>
      </c>
    </row>
    <row r="451" spans="1:45">
      <c r="A451" s="291"/>
      <c r="B451" s="292"/>
      <c r="C451" s="293"/>
      <c r="D451" s="293"/>
      <c r="E451" s="293"/>
      <c r="F451" s="293"/>
      <c r="G451" s="294"/>
      <c r="H451" s="300"/>
      <c r="I451" s="295"/>
      <c r="J451" s="295"/>
      <c r="K451" s="296"/>
      <c r="L451" s="301"/>
      <c r="M451" s="297"/>
      <c r="N451" s="298"/>
      <c r="P451" s="190" t="str">
        <f>IF(R451 = "", "", COUNT(R$4:$R451))</f>
        <v/>
      </c>
      <c r="Q451" s="190" t="str">
        <f t="shared" si="61"/>
        <v/>
      </c>
      <c r="R451" s="191" t="str">
        <f t="shared" si="62"/>
        <v/>
      </c>
      <c r="S451" s="192" t="str">
        <f t="shared" si="64"/>
        <v/>
      </c>
      <c r="T451" s="193" t="str">
        <f t="shared" si="65"/>
        <v/>
      </c>
      <c r="U451" s="194" t="str">
        <f t="shared" si="66"/>
        <v/>
      </c>
      <c r="V451" s="195" t="str">
        <f t="shared" si="63"/>
        <v/>
      </c>
      <c r="W451" s="336" t="str">
        <f t="shared" si="67"/>
        <v/>
      </c>
      <c r="X451" s="338" t="str">
        <f t="shared" si="68"/>
        <v/>
      </c>
      <c r="Y451" s="274"/>
      <c r="AR451" t="str">
        <f t="shared" si="69"/>
        <v/>
      </c>
      <c r="AS451" t="str">
        <f t="shared" si="70"/>
        <v/>
      </c>
    </row>
    <row r="452" spans="1:45">
      <c r="A452" s="291"/>
      <c r="B452" s="292"/>
      <c r="C452" s="293"/>
      <c r="D452" s="293"/>
      <c r="E452" s="293"/>
      <c r="F452" s="293"/>
      <c r="G452" s="294"/>
      <c r="H452" s="300"/>
      <c r="I452" s="295"/>
      <c r="J452" s="295"/>
      <c r="K452" s="296"/>
      <c r="L452" s="301"/>
      <c r="M452" s="297"/>
      <c r="N452" s="298"/>
      <c r="P452" s="190" t="str">
        <f>IF(R452 = "", "", COUNT(R$4:$R452))</f>
        <v/>
      </c>
      <c r="Q452" s="190" t="str">
        <f t="shared" ref="Q452:Q515" si="71">IF(C452 &gt; 0, YEAR(B452), "")</f>
        <v/>
      </c>
      <c r="R452" s="191" t="str">
        <f t="shared" ref="R452:R515" si="72">IF(A452="", "", IF(G452="",1,IF(G452="O",1,IF(G452="C",8.4,IF(G452="B",8.4,IF(G452="A",76.8,IF(G452="K",76.8,"ERR")))))))</f>
        <v/>
      </c>
      <c r="S452" s="192" t="str">
        <f t="shared" si="64"/>
        <v/>
      </c>
      <c r="T452" s="193" t="str">
        <f t="shared" si="65"/>
        <v/>
      </c>
      <c r="U452" s="194" t="str">
        <f t="shared" si="66"/>
        <v/>
      </c>
      <c r="V452" s="195" t="str">
        <f t="shared" ref="V452:V515" si="73">IF(IF(M452&lt;&gt;"",G452,"")=0, "O", IF(M452&lt;&gt;"",G452,""))</f>
        <v/>
      </c>
      <c r="W452" s="336" t="str">
        <f t="shared" si="67"/>
        <v/>
      </c>
      <c r="X452" s="338" t="str">
        <f t="shared" si="68"/>
        <v/>
      </c>
      <c r="Y452" s="274"/>
      <c r="AR452" t="str">
        <f t="shared" si="69"/>
        <v/>
      </c>
      <c r="AS452" t="str">
        <f t="shared" si="70"/>
        <v/>
      </c>
    </row>
    <row r="453" spans="1:45">
      <c r="A453" s="291"/>
      <c r="B453" s="292"/>
      <c r="C453" s="293"/>
      <c r="D453" s="293"/>
      <c r="E453" s="293"/>
      <c r="F453" s="293"/>
      <c r="G453" s="294"/>
      <c r="H453" s="300"/>
      <c r="I453" s="295"/>
      <c r="J453" s="295"/>
      <c r="K453" s="296"/>
      <c r="L453" s="301"/>
      <c r="M453" s="297"/>
      <c r="N453" s="298"/>
      <c r="P453" s="190" t="str">
        <f>IF(R453 = "", "", COUNT(R$4:$R453))</f>
        <v/>
      </c>
      <c r="Q453" s="190" t="str">
        <f t="shared" si="71"/>
        <v/>
      </c>
      <c r="R453" s="191" t="str">
        <f t="shared" si="72"/>
        <v/>
      </c>
      <c r="S453" s="192" t="str">
        <f t="shared" ref="S453:S516" si="74">IF(L453&lt;&gt;"",R453,"")</f>
        <v/>
      </c>
      <c r="T453" s="193" t="str">
        <f t="shared" ref="T453:T516" si="75">IF(IF(L453&lt;&gt;"",G453,"")=0, "O", IF(L453&lt;&gt;"",G453,""))</f>
        <v/>
      </c>
      <c r="U453" s="194" t="str">
        <f t="shared" ref="U453:U516" si="76">IF(M453&lt;&gt;"",R453,"")</f>
        <v/>
      </c>
      <c r="V453" s="195" t="str">
        <f t="shared" si="73"/>
        <v/>
      </c>
      <c r="W453" s="336" t="str">
        <f t="shared" ref="W453:W516" si="77">IF(N453&lt;&gt;"",R453,"")</f>
        <v/>
      </c>
      <c r="X453" s="338" t="str">
        <f t="shared" ref="X453:X516" si="78">IF(IF(N453&lt;&gt;"",G453,"")=0, "O", IF(N453&lt;&gt;"",G453,""))</f>
        <v/>
      </c>
      <c r="Y453" s="274"/>
      <c r="AR453" t="str">
        <f t="shared" ref="AR453:AR516" si="79">IF(P453&gt;0, P453, "")</f>
        <v/>
      </c>
      <c r="AS453" t="str">
        <f t="shared" ref="AS453:AS516" si="80">IF(OR(L453="Y",M453="Y",N453="Y"),"Y","")</f>
        <v/>
      </c>
    </row>
    <row r="454" spans="1:45">
      <c r="A454" s="291"/>
      <c r="B454" s="292"/>
      <c r="C454" s="293"/>
      <c r="D454" s="293"/>
      <c r="E454" s="293"/>
      <c r="F454" s="293"/>
      <c r="G454" s="294"/>
      <c r="H454" s="300"/>
      <c r="I454" s="295"/>
      <c r="J454" s="295"/>
      <c r="K454" s="296"/>
      <c r="L454" s="301"/>
      <c r="M454" s="297"/>
      <c r="N454" s="298"/>
      <c r="P454" s="190" t="str">
        <f>IF(R454 = "", "", COUNT(R$4:$R454))</f>
        <v/>
      </c>
      <c r="Q454" s="190" t="str">
        <f t="shared" si="71"/>
        <v/>
      </c>
      <c r="R454" s="191" t="str">
        <f t="shared" si="72"/>
        <v/>
      </c>
      <c r="S454" s="192" t="str">
        <f t="shared" si="74"/>
        <v/>
      </c>
      <c r="T454" s="193" t="str">
        <f t="shared" si="75"/>
        <v/>
      </c>
      <c r="U454" s="194" t="str">
        <f t="shared" si="76"/>
        <v/>
      </c>
      <c r="V454" s="195" t="str">
        <f t="shared" si="73"/>
        <v/>
      </c>
      <c r="W454" s="336" t="str">
        <f t="shared" si="77"/>
        <v/>
      </c>
      <c r="X454" s="338" t="str">
        <f t="shared" si="78"/>
        <v/>
      </c>
      <c r="Y454" s="274"/>
      <c r="AR454" t="str">
        <f t="shared" si="79"/>
        <v/>
      </c>
      <c r="AS454" t="str">
        <f t="shared" si="80"/>
        <v/>
      </c>
    </row>
    <row r="455" spans="1:45">
      <c r="A455" s="291"/>
      <c r="B455" s="292"/>
      <c r="C455" s="293"/>
      <c r="D455" s="293"/>
      <c r="E455" s="293"/>
      <c r="F455" s="293"/>
      <c r="G455" s="294"/>
      <c r="H455" s="300"/>
      <c r="I455" s="295"/>
      <c r="J455" s="295"/>
      <c r="K455" s="296"/>
      <c r="L455" s="301"/>
      <c r="M455" s="297"/>
      <c r="N455" s="298"/>
      <c r="P455" s="190" t="str">
        <f>IF(R455 = "", "", COUNT(R$4:$R455))</f>
        <v/>
      </c>
      <c r="Q455" s="190" t="str">
        <f t="shared" si="71"/>
        <v/>
      </c>
      <c r="R455" s="191" t="str">
        <f t="shared" si="72"/>
        <v/>
      </c>
      <c r="S455" s="192" t="str">
        <f t="shared" si="74"/>
        <v/>
      </c>
      <c r="T455" s="193" t="str">
        <f t="shared" si="75"/>
        <v/>
      </c>
      <c r="U455" s="194" t="str">
        <f t="shared" si="76"/>
        <v/>
      </c>
      <c r="V455" s="195" t="str">
        <f t="shared" si="73"/>
        <v/>
      </c>
      <c r="W455" s="336" t="str">
        <f t="shared" si="77"/>
        <v/>
      </c>
      <c r="X455" s="338" t="str">
        <f t="shared" si="78"/>
        <v/>
      </c>
      <c r="Y455" s="274"/>
      <c r="AR455" t="str">
        <f t="shared" si="79"/>
        <v/>
      </c>
      <c r="AS455" t="str">
        <f t="shared" si="80"/>
        <v/>
      </c>
    </row>
    <row r="456" spans="1:45">
      <c r="A456" s="291"/>
      <c r="B456" s="292"/>
      <c r="C456" s="293"/>
      <c r="D456" s="293"/>
      <c r="E456" s="293"/>
      <c r="F456" s="293"/>
      <c r="G456" s="294"/>
      <c r="H456" s="300"/>
      <c r="I456" s="295"/>
      <c r="J456" s="295"/>
      <c r="K456" s="296"/>
      <c r="L456" s="301"/>
      <c r="M456" s="297"/>
      <c r="N456" s="298"/>
      <c r="P456" s="190" t="str">
        <f>IF(R456 = "", "", COUNT(R$4:$R456))</f>
        <v/>
      </c>
      <c r="Q456" s="190" t="str">
        <f t="shared" si="71"/>
        <v/>
      </c>
      <c r="R456" s="191" t="str">
        <f t="shared" si="72"/>
        <v/>
      </c>
      <c r="S456" s="192" t="str">
        <f t="shared" si="74"/>
        <v/>
      </c>
      <c r="T456" s="193" t="str">
        <f t="shared" si="75"/>
        <v/>
      </c>
      <c r="U456" s="194" t="str">
        <f t="shared" si="76"/>
        <v/>
      </c>
      <c r="V456" s="195" t="str">
        <f t="shared" si="73"/>
        <v/>
      </c>
      <c r="W456" s="336" t="str">
        <f t="shared" si="77"/>
        <v/>
      </c>
      <c r="X456" s="338" t="str">
        <f t="shared" si="78"/>
        <v/>
      </c>
      <c r="Y456" s="274"/>
      <c r="AR456" t="str">
        <f t="shared" si="79"/>
        <v/>
      </c>
      <c r="AS456" t="str">
        <f t="shared" si="80"/>
        <v/>
      </c>
    </row>
    <row r="457" spans="1:45">
      <c r="A457" s="291"/>
      <c r="B457" s="292"/>
      <c r="C457" s="293"/>
      <c r="D457" s="293"/>
      <c r="E457" s="293"/>
      <c r="F457" s="293"/>
      <c r="G457" s="294"/>
      <c r="H457" s="300"/>
      <c r="I457" s="295"/>
      <c r="J457" s="295"/>
      <c r="K457" s="296"/>
      <c r="L457" s="301"/>
      <c r="M457" s="297"/>
      <c r="N457" s="298"/>
      <c r="P457" s="190" t="str">
        <f>IF(R457 = "", "", COUNT(R$4:$R457))</f>
        <v/>
      </c>
      <c r="Q457" s="190" t="str">
        <f t="shared" si="71"/>
        <v/>
      </c>
      <c r="R457" s="191" t="str">
        <f t="shared" si="72"/>
        <v/>
      </c>
      <c r="S457" s="192" t="str">
        <f t="shared" si="74"/>
        <v/>
      </c>
      <c r="T457" s="193" t="str">
        <f t="shared" si="75"/>
        <v/>
      </c>
      <c r="U457" s="194" t="str">
        <f t="shared" si="76"/>
        <v/>
      </c>
      <c r="V457" s="195" t="str">
        <f t="shared" si="73"/>
        <v/>
      </c>
      <c r="W457" s="336" t="str">
        <f t="shared" si="77"/>
        <v/>
      </c>
      <c r="X457" s="338" t="str">
        <f t="shared" si="78"/>
        <v/>
      </c>
      <c r="Y457" s="274"/>
      <c r="AR457" t="str">
        <f t="shared" si="79"/>
        <v/>
      </c>
      <c r="AS457" t="str">
        <f t="shared" si="80"/>
        <v/>
      </c>
    </row>
    <row r="458" spans="1:45">
      <c r="A458" s="291"/>
      <c r="B458" s="292"/>
      <c r="C458" s="293"/>
      <c r="D458" s="293"/>
      <c r="E458" s="293"/>
      <c r="F458" s="293"/>
      <c r="G458" s="294"/>
      <c r="H458" s="300"/>
      <c r="I458" s="295"/>
      <c r="J458" s="295"/>
      <c r="K458" s="296"/>
      <c r="L458" s="301"/>
      <c r="M458" s="297"/>
      <c r="N458" s="298"/>
      <c r="P458" s="190" t="str">
        <f>IF(R458 = "", "", COUNT(R$4:$R458))</f>
        <v/>
      </c>
      <c r="Q458" s="190" t="str">
        <f t="shared" si="71"/>
        <v/>
      </c>
      <c r="R458" s="191" t="str">
        <f t="shared" si="72"/>
        <v/>
      </c>
      <c r="S458" s="192" t="str">
        <f t="shared" si="74"/>
        <v/>
      </c>
      <c r="T458" s="193" t="str">
        <f t="shared" si="75"/>
        <v/>
      </c>
      <c r="U458" s="194" t="str">
        <f t="shared" si="76"/>
        <v/>
      </c>
      <c r="V458" s="195" t="str">
        <f t="shared" si="73"/>
        <v/>
      </c>
      <c r="W458" s="336" t="str">
        <f t="shared" si="77"/>
        <v/>
      </c>
      <c r="X458" s="338" t="str">
        <f t="shared" si="78"/>
        <v/>
      </c>
      <c r="Y458" s="274"/>
      <c r="AR458" t="str">
        <f t="shared" si="79"/>
        <v/>
      </c>
      <c r="AS458" t="str">
        <f t="shared" si="80"/>
        <v/>
      </c>
    </row>
    <row r="459" spans="1:45">
      <c r="A459" s="291"/>
      <c r="B459" s="292"/>
      <c r="C459" s="293"/>
      <c r="D459" s="293"/>
      <c r="E459" s="293"/>
      <c r="F459" s="293"/>
      <c r="G459" s="294"/>
      <c r="H459" s="300"/>
      <c r="I459" s="295"/>
      <c r="J459" s="295"/>
      <c r="K459" s="296"/>
      <c r="L459" s="301"/>
      <c r="M459" s="297"/>
      <c r="N459" s="298"/>
      <c r="P459" s="190" t="str">
        <f>IF(R459 = "", "", COUNT(R$4:$R459))</f>
        <v/>
      </c>
      <c r="Q459" s="190" t="str">
        <f t="shared" si="71"/>
        <v/>
      </c>
      <c r="R459" s="191" t="str">
        <f t="shared" si="72"/>
        <v/>
      </c>
      <c r="S459" s="192" t="str">
        <f t="shared" si="74"/>
        <v/>
      </c>
      <c r="T459" s="193" t="str">
        <f t="shared" si="75"/>
        <v/>
      </c>
      <c r="U459" s="194" t="str">
        <f t="shared" si="76"/>
        <v/>
      </c>
      <c r="V459" s="195" t="str">
        <f t="shared" si="73"/>
        <v/>
      </c>
      <c r="W459" s="336" t="str">
        <f t="shared" si="77"/>
        <v/>
      </c>
      <c r="X459" s="338" t="str">
        <f t="shared" si="78"/>
        <v/>
      </c>
      <c r="Y459" s="274"/>
      <c r="AR459" t="str">
        <f t="shared" si="79"/>
        <v/>
      </c>
      <c r="AS459" t="str">
        <f t="shared" si="80"/>
        <v/>
      </c>
    </row>
    <row r="460" spans="1:45">
      <c r="A460" s="291"/>
      <c r="B460" s="292"/>
      <c r="C460" s="293"/>
      <c r="D460" s="293"/>
      <c r="E460" s="293"/>
      <c r="F460" s="293"/>
      <c r="G460" s="294"/>
      <c r="H460" s="300"/>
      <c r="I460" s="295"/>
      <c r="J460" s="295"/>
      <c r="K460" s="296"/>
      <c r="L460" s="301"/>
      <c r="M460" s="297"/>
      <c r="N460" s="298"/>
      <c r="P460" s="190" t="str">
        <f>IF(R460 = "", "", COUNT(R$4:$R460))</f>
        <v/>
      </c>
      <c r="Q460" s="190" t="str">
        <f t="shared" si="71"/>
        <v/>
      </c>
      <c r="R460" s="191" t="str">
        <f t="shared" si="72"/>
        <v/>
      </c>
      <c r="S460" s="192" t="str">
        <f t="shared" si="74"/>
        <v/>
      </c>
      <c r="T460" s="193" t="str">
        <f t="shared" si="75"/>
        <v/>
      </c>
      <c r="U460" s="194" t="str">
        <f t="shared" si="76"/>
        <v/>
      </c>
      <c r="V460" s="195" t="str">
        <f t="shared" si="73"/>
        <v/>
      </c>
      <c r="W460" s="336" t="str">
        <f t="shared" si="77"/>
        <v/>
      </c>
      <c r="X460" s="338" t="str">
        <f t="shared" si="78"/>
        <v/>
      </c>
      <c r="Y460" s="274"/>
      <c r="AR460" t="str">
        <f t="shared" si="79"/>
        <v/>
      </c>
      <c r="AS460" t="str">
        <f t="shared" si="80"/>
        <v/>
      </c>
    </row>
    <row r="461" spans="1:45">
      <c r="A461" s="291"/>
      <c r="B461" s="292"/>
      <c r="C461" s="293"/>
      <c r="D461" s="293"/>
      <c r="E461" s="293"/>
      <c r="F461" s="293"/>
      <c r="G461" s="294"/>
      <c r="H461" s="300"/>
      <c r="I461" s="295"/>
      <c r="J461" s="295"/>
      <c r="K461" s="296"/>
      <c r="L461" s="301"/>
      <c r="M461" s="297"/>
      <c r="N461" s="298"/>
      <c r="P461" s="190" t="str">
        <f>IF(R461 = "", "", COUNT(R$4:$R461))</f>
        <v/>
      </c>
      <c r="Q461" s="190" t="str">
        <f t="shared" si="71"/>
        <v/>
      </c>
      <c r="R461" s="191" t="str">
        <f t="shared" si="72"/>
        <v/>
      </c>
      <c r="S461" s="192" t="str">
        <f t="shared" si="74"/>
        <v/>
      </c>
      <c r="T461" s="193" t="str">
        <f t="shared" si="75"/>
        <v/>
      </c>
      <c r="U461" s="194" t="str">
        <f t="shared" si="76"/>
        <v/>
      </c>
      <c r="V461" s="195" t="str">
        <f t="shared" si="73"/>
        <v/>
      </c>
      <c r="W461" s="336" t="str">
        <f t="shared" si="77"/>
        <v/>
      </c>
      <c r="X461" s="338" t="str">
        <f t="shared" si="78"/>
        <v/>
      </c>
      <c r="Y461" s="274"/>
      <c r="AR461" t="str">
        <f t="shared" si="79"/>
        <v/>
      </c>
      <c r="AS461" t="str">
        <f t="shared" si="80"/>
        <v/>
      </c>
    </row>
    <row r="462" spans="1:45">
      <c r="A462" s="291"/>
      <c r="B462" s="292"/>
      <c r="C462" s="293"/>
      <c r="D462" s="293"/>
      <c r="E462" s="293"/>
      <c r="F462" s="293"/>
      <c r="G462" s="294"/>
      <c r="H462" s="300"/>
      <c r="I462" s="295"/>
      <c r="J462" s="295"/>
      <c r="K462" s="296"/>
      <c r="L462" s="301"/>
      <c r="M462" s="297"/>
      <c r="N462" s="298"/>
      <c r="P462" s="190" t="str">
        <f>IF(R462 = "", "", COUNT(R$4:$R462))</f>
        <v/>
      </c>
      <c r="Q462" s="190" t="str">
        <f t="shared" si="71"/>
        <v/>
      </c>
      <c r="R462" s="191" t="str">
        <f t="shared" si="72"/>
        <v/>
      </c>
      <c r="S462" s="192" t="str">
        <f t="shared" si="74"/>
        <v/>
      </c>
      <c r="T462" s="193" t="str">
        <f t="shared" si="75"/>
        <v/>
      </c>
      <c r="U462" s="194" t="str">
        <f t="shared" si="76"/>
        <v/>
      </c>
      <c r="V462" s="195" t="str">
        <f t="shared" si="73"/>
        <v/>
      </c>
      <c r="W462" s="336" t="str">
        <f t="shared" si="77"/>
        <v/>
      </c>
      <c r="X462" s="338" t="str">
        <f t="shared" si="78"/>
        <v/>
      </c>
      <c r="Y462" s="274"/>
      <c r="AR462" t="str">
        <f t="shared" si="79"/>
        <v/>
      </c>
      <c r="AS462" t="str">
        <f t="shared" si="80"/>
        <v/>
      </c>
    </row>
    <row r="463" spans="1:45">
      <c r="A463" s="291"/>
      <c r="B463" s="292"/>
      <c r="C463" s="293"/>
      <c r="D463" s="293"/>
      <c r="E463" s="293"/>
      <c r="F463" s="293"/>
      <c r="G463" s="294"/>
      <c r="H463" s="300"/>
      <c r="I463" s="295"/>
      <c r="J463" s="295"/>
      <c r="K463" s="296"/>
      <c r="L463" s="301"/>
      <c r="M463" s="297"/>
      <c r="N463" s="298"/>
      <c r="P463" s="190" t="str">
        <f>IF(R463 = "", "", COUNT(R$4:$R463))</f>
        <v/>
      </c>
      <c r="Q463" s="190" t="str">
        <f t="shared" si="71"/>
        <v/>
      </c>
      <c r="R463" s="191" t="str">
        <f t="shared" si="72"/>
        <v/>
      </c>
      <c r="S463" s="192" t="str">
        <f t="shared" si="74"/>
        <v/>
      </c>
      <c r="T463" s="193" t="str">
        <f t="shared" si="75"/>
        <v/>
      </c>
      <c r="U463" s="194" t="str">
        <f t="shared" si="76"/>
        <v/>
      </c>
      <c r="V463" s="195" t="str">
        <f t="shared" si="73"/>
        <v/>
      </c>
      <c r="W463" s="336" t="str">
        <f t="shared" si="77"/>
        <v/>
      </c>
      <c r="X463" s="338" t="str">
        <f t="shared" si="78"/>
        <v/>
      </c>
      <c r="Y463" s="274"/>
      <c r="AR463" t="str">
        <f t="shared" si="79"/>
        <v/>
      </c>
      <c r="AS463" t="str">
        <f t="shared" si="80"/>
        <v/>
      </c>
    </row>
    <row r="464" spans="1:45">
      <c r="A464" s="291"/>
      <c r="B464" s="292"/>
      <c r="C464" s="293"/>
      <c r="D464" s="293"/>
      <c r="E464" s="293"/>
      <c r="F464" s="293"/>
      <c r="G464" s="294"/>
      <c r="H464" s="300"/>
      <c r="I464" s="295"/>
      <c r="J464" s="295"/>
      <c r="K464" s="296"/>
      <c r="L464" s="301"/>
      <c r="M464" s="297"/>
      <c r="N464" s="298"/>
      <c r="P464" s="190" t="str">
        <f>IF(R464 = "", "", COUNT(R$4:$R464))</f>
        <v/>
      </c>
      <c r="Q464" s="190" t="str">
        <f t="shared" si="71"/>
        <v/>
      </c>
      <c r="R464" s="191" t="str">
        <f t="shared" si="72"/>
        <v/>
      </c>
      <c r="S464" s="192" t="str">
        <f t="shared" si="74"/>
        <v/>
      </c>
      <c r="T464" s="193" t="str">
        <f t="shared" si="75"/>
        <v/>
      </c>
      <c r="U464" s="194" t="str">
        <f t="shared" si="76"/>
        <v/>
      </c>
      <c r="V464" s="195" t="str">
        <f t="shared" si="73"/>
        <v/>
      </c>
      <c r="W464" s="336" t="str">
        <f t="shared" si="77"/>
        <v/>
      </c>
      <c r="X464" s="338" t="str">
        <f t="shared" si="78"/>
        <v/>
      </c>
      <c r="Y464" s="274"/>
      <c r="AR464" t="str">
        <f t="shared" si="79"/>
        <v/>
      </c>
      <c r="AS464" t="str">
        <f t="shared" si="80"/>
        <v/>
      </c>
    </row>
    <row r="465" spans="1:45">
      <c r="A465" s="291"/>
      <c r="B465" s="292"/>
      <c r="C465" s="293"/>
      <c r="D465" s="293"/>
      <c r="E465" s="293"/>
      <c r="F465" s="293"/>
      <c r="G465" s="294"/>
      <c r="H465" s="300"/>
      <c r="I465" s="295"/>
      <c r="J465" s="295"/>
      <c r="K465" s="296"/>
      <c r="L465" s="301"/>
      <c r="M465" s="297"/>
      <c r="N465" s="298"/>
      <c r="P465" s="190" t="str">
        <f>IF(R465 = "", "", COUNT(R$4:$R465))</f>
        <v/>
      </c>
      <c r="Q465" s="190" t="str">
        <f t="shared" si="71"/>
        <v/>
      </c>
      <c r="R465" s="191" t="str">
        <f t="shared" si="72"/>
        <v/>
      </c>
      <c r="S465" s="192" t="str">
        <f t="shared" si="74"/>
        <v/>
      </c>
      <c r="T465" s="193" t="str">
        <f t="shared" si="75"/>
        <v/>
      </c>
      <c r="U465" s="194" t="str">
        <f t="shared" si="76"/>
        <v/>
      </c>
      <c r="V465" s="195" t="str">
        <f t="shared" si="73"/>
        <v/>
      </c>
      <c r="W465" s="336" t="str">
        <f t="shared" si="77"/>
        <v/>
      </c>
      <c r="X465" s="338" t="str">
        <f t="shared" si="78"/>
        <v/>
      </c>
      <c r="Y465" s="274"/>
      <c r="AR465" t="str">
        <f t="shared" si="79"/>
        <v/>
      </c>
      <c r="AS465" t="str">
        <f t="shared" si="80"/>
        <v/>
      </c>
    </row>
    <row r="466" spans="1:45">
      <c r="A466" s="291"/>
      <c r="B466" s="292"/>
      <c r="C466" s="293"/>
      <c r="D466" s="293"/>
      <c r="E466" s="293"/>
      <c r="F466" s="293"/>
      <c r="G466" s="294"/>
      <c r="H466" s="300"/>
      <c r="I466" s="295"/>
      <c r="J466" s="295"/>
      <c r="K466" s="296"/>
      <c r="L466" s="301"/>
      <c r="M466" s="297"/>
      <c r="N466" s="298"/>
      <c r="P466" s="190" t="str">
        <f>IF(R466 = "", "", COUNT(R$4:$R466))</f>
        <v/>
      </c>
      <c r="Q466" s="190" t="str">
        <f t="shared" si="71"/>
        <v/>
      </c>
      <c r="R466" s="191" t="str">
        <f t="shared" si="72"/>
        <v/>
      </c>
      <c r="S466" s="192" t="str">
        <f t="shared" si="74"/>
        <v/>
      </c>
      <c r="T466" s="193" t="str">
        <f t="shared" si="75"/>
        <v/>
      </c>
      <c r="U466" s="194" t="str">
        <f t="shared" si="76"/>
        <v/>
      </c>
      <c r="V466" s="195" t="str">
        <f t="shared" si="73"/>
        <v/>
      </c>
      <c r="W466" s="336" t="str">
        <f t="shared" si="77"/>
        <v/>
      </c>
      <c r="X466" s="338" t="str">
        <f t="shared" si="78"/>
        <v/>
      </c>
      <c r="Y466" s="274"/>
      <c r="AR466" t="str">
        <f t="shared" si="79"/>
        <v/>
      </c>
      <c r="AS466" t="str">
        <f t="shared" si="80"/>
        <v/>
      </c>
    </row>
    <row r="467" spans="1:45">
      <c r="A467" s="291"/>
      <c r="B467" s="292"/>
      <c r="C467" s="293"/>
      <c r="D467" s="293"/>
      <c r="E467" s="293"/>
      <c r="F467" s="293"/>
      <c r="G467" s="294"/>
      <c r="H467" s="300"/>
      <c r="I467" s="295"/>
      <c r="J467" s="295"/>
      <c r="K467" s="296"/>
      <c r="L467" s="301"/>
      <c r="M467" s="297"/>
      <c r="N467" s="298"/>
      <c r="P467" s="190" t="str">
        <f>IF(R467 = "", "", COUNT(R$4:$R467))</f>
        <v/>
      </c>
      <c r="Q467" s="190" t="str">
        <f t="shared" si="71"/>
        <v/>
      </c>
      <c r="R467" s="191" t="str">
        <f t="shared" si="72"/>
        <v/>
      </c>
      <c r="S467" s="192" t="str">
        <f t="shared" si="74"/>
        <v/>
      </c>
      <c r="T467" s="193" t="str">
        <f t="shared" si="75"/>
        <v/>
      </c>
      <c r="U467" s="194" t="str">
        <f t="shared" si="76"/>
        <v/>
      </c>
      <c r="V467" s="195" t="str">
        <f t="shared" si="73"/>
        <v/>
      </c>
      <c r="W467" s="336" t="str">
        <f t="shared" si="77"/>
        <v/>
      </c>
      <c r="X467" s="338" t="str">
        <f t="shared" si="78"/>
        <v/>
      </c>
      <c r="Y467" s="274"/>
      <c r="AR467" t="str">
        <f t="shared" si="79"/>
        <v/>
      </c>
      <c r="AS467" t="str">
        <f t="shared" si="80"/>
        <v/>
      </c>
    </row>
    <row r="468" spans="1:45">
      <c r="A468" s="291"/>
      <c r="B468" s="292"/>
      <c r="C468" s="293"/>
      <c r="D468" s="293"/>
      <c r="E468" s="293"/>
      <c r="F468" s="293"/>
      <c r="G468" s="294"/>
      <c r="H468" s="300"/>
      <c r="I468" s="295"/>
      <c r="J468" s="295"/>
      <c r="K468" s="296"/>
      <c r="L468" s="301"/>
      <c r="M468" s="297"/>
      <c r="N468" s="298"/>
      <c r="P468" s="190" t="str">
        <f>IF(R468 = "", "", COUNT(R$4:$R468))</f>
        <v/>
      </c>
      <c r="Q468" s="190" t="str">
        <f t="shared" si="71"/>
        <v/>
      </c>
      <c r="R468" s="191" t="str">
        <f t="shared" si="72"/>
        <v/>
      </c>
      <c r="S468" s="192" t="str">
        <f t="shared" si="74"/>
        <v/>
      </c>
      <c r="T468" s="193" t="str">
        <f t="shared" si="75"/>
        <v/>
      </c>
      <c r="U468" s="194" t="str">
        <f t="shared" si="76"/>
        <v/>
      </c>
      <c r="V468" s="195" t="str">
        <f t="shared" si="73"/>
        <v/>
      </c>
      <c r="W468" s="336" t="str">
        <f t="shared" si="77"/>
        <v/>
      </c>
      <c r="X468" s="338" t="str">
        <f t="shared" si="78"/>
        <v/>
      </c>
      <c r="Y468" s="274"/>
      <c r="AR468" t="str">
        <f t="shared" si="79"/>
        <v/>
      </c>
      <c r="AS468" t="str">
        <f t="shared" si="80"/>
        <v/>
      </c>
    </row>
    <row r="469" spans="1:45">
      <c r="A469" s="291"/>
      <c r="B469" s="292"/>
      <c r="C469" s="293"/>
      <c r="D469" s="293"/>
      <c r="E469" s="293"/>
      <c r="F469" s="293"/>
      <c r="G469" s="294"/>
      <c r="H469" s="300"/>
      <c r="I469" s="295"/>
      <c r="J469" s="295"/>
      <c r="K469" s="296"/>
      <c r="L469" s="301"/>
      <c r="M469" s="297"/>
      <c r="N469" s="298"/>
      <c r="P469" s="190" t="str">
        <f>IF(R469 = "", "", COUNT(R$4:$R469))</f>
        <v/>
      </c>
      <c r="Q469" s="190" t="str">
        <f t="shared" si="71"/>
        <v/>
      </c>
      <c r="R469" s="191" t="str">
        <f t="shared" si="72"/>
        <v/>
      </c>
      <c r="S469" s="192" t="str">
        <f t="shared" si="74"/>
        <v/>
      </c>
      <c r="T469" s="193" t="str">
        <f t="shared" si="75"/>
        <v/>
      </c>
      <c r="U469" s="194" t="str">
        <f t="shared" si="76"/>
        <v/>
      </c>
      <c r="V469" s="195" t="str">
        <f t="shared" si="73"/>
        <v/>
      </c>
      <c r="W469" s="336" t="str">
        <f t="shared" si="77"/>
        <v/>
      </c>
      <c r="X469" s="338" t="str">
        <f t="shared" si="78"/>
        <v/>
      </c>
      <c r="Y469" s="274"/>
      <c r="AR469" t="str">
        <f t="shared" si="79"/>
        <v/>
      </c>
      <c r="AS469" t="str">
        <f t="shared" si="80"/>
        <v/>
      </c>
    </row>
    <row r="470" spans="1:45">
      <c r="A470" s="291"/>
      <c r="B470" s="292"/>
      <c r="C470" s="293"/>
      <c r="D470" s="293"/>
      <c r="E470" s="293"/>
      <c r="F470" s="293"/>
      <c r="G470" s="294"/>
      <c r="H470" s="300"/>
      <c r="I470" s="295"/>
      <c r="J470" s="295"/>
      <c r="K470" s="296"/>
      <c r="L470" s="301"/>
      <c r="M470" s="297"/>
      <c r="N470" s="298"/>
      <c r="P470" s="190" t="str">
        <f>IF(R470 = "", "", COUNT(R$4:$R470))</f>
        <v/>
      </c>
      <c r="Q470" s="190" t="str">
        <f t="shared" si="71"/>
        <v/>
      </c>
      <c r="R470" s="191" t="str">
        <f t="shared" si="72"/>
        <v/>
      </c>
      <c r="S470" s="192" t="str">
        <f t="shared" si="74"/>
        <v/>
      </c>
      <c r="T470" s="193" t="str">
        <f t="shared" si="75"/>
        <v/>
      </c>
      <c r="U470" s="194" t="str">
        <f t="shared" si="76"/>
        <v/>
      </c>
      <c r="V470" s="195" t="str">
        <f t="shared" si="73"/>
        <v/>
      </c>
      <c r="W470" s="336" t="str">
        <f t="shared" si="77"/>
        <v/>
      </c>
      <c r="X470" s="338" t="str">
        <f t="shared" si="78"/>
        <v/>
      </c>
      <c r="Y470" s="274"/>
      <c r="AR470" t="str">
        <f t="shared" si="79"/>
        <v/>
      </c>
      <c r="AS470" t="str">
        <f t="shared" si="80"/>
        <v/>
      </c>
    </row>
    <row r="471" spans="1:45">
      <c r="A471" s="291"/>
      <c r="B471" s="292"/>
      <c r="C471" s="293"/>
      <c r="D471" s="293"/>
      <c r="E471" s="293"/>
      <c r="F471" s="293"/>
      <c r="G471" s="294"/>
      <c r="H471" s="300"/>
      <c r="I471" s="295"/>
      <c r="J471" s="295"/>
      <c r="K471" s="296"/>
      <c r="L471" s="301"/>
      <c r="M471" s="297"/>
      <c r="N471" s="298"/>
      <c r="P471" s="190" t="str">
        <f>IF(R471 = "", "", COUNT(R$4:$R471))</f>
        <v/>
      </c>
      <c r="Q471" s="190" t="str">
        <f t="shared" si="71"/>
        <v/>
      </c>
      <c r="R471" s="191" t="str">
        <f t="shared" si="72"/>
        <v/>
      </c>
      <c r="S471" s="192" t="str">
        <f t="shared" si="74"/>
        <v/>
      </c>
      <c r="T471" s="193" t="str">
        <f t="shared" si="75"/>
        <v/>
      </c>
      <c r="U471" s="194" t="str">
        <f t="shared" si="76"/>
        <v/>
      </c>
      <c r="V471" s="195" t="str">
        <f t="shared" si="73"/>
        <v/>
      </c>
      <c r="W471" s="336" t="str">
        <f t="shared" si="77"/>
        <v/>
      </c>
      <c r="X471" s="338" t="str">
        <f t="shared" si="78"/>
        <v/>
      </c>
      <c r="Y471" s="274"/>
      <c r="AR471" t="str">
        <f t="shared" si="79"/>
        <v/>
      </c>
      <c r="AS471" t="str">
        <f t="shared" si="80"/>
        <v/>
      </c>
    </row>
    <row r="472" spans="1:45">
      <c r="A472" s="291"/>
      <c r="B472" s="292"/>
      <c r="C472" s="293"/>
      <c r="D472" s="293"/>
      <c r="E472" s="293"/>
      <c r="F472" s="293"/>
      <c r="G472" s="294"/>
      <c r="H472" s="300"/>
      <c r="I472" s="295"/>
      <c r="J472" s="295"/>
      <c r="K472" s="296"/>
      <c r="L472" s="301"/>
      <c r="M472" s="297"/>
      <c r="N472" s="298"/>
      <c r="P472" s="190" t="str">
        <f>IF(R472 = "", "", COUNT(R$4:$R472))</f>
        <v/>
      </c>
      <c r="Q472" s="190" t="str">
        <f t="shared" si="71"/>
        <v/>
      </c>
      <c r="R472" s="191" t="str">
        <f t="shared" si="72"/>
        <v/>
      </c>
      <c r="S472" s="192" t="str">
        <f t="shared" si="74"/>
        <v/>
      </c>
      <c r="T472" s="193" t="str">
        <f t="shared" si="75"/>
        <v/>
      </c>
      <c r="U472" s="194" t="str">
        <f t="shared" si="76"/>
        <v/>
      </c>
      <c r="V472" s="195" t="str">
        <f t="shared" si="73"/>
        <v/>
      </c>
      <c r="W472" s="336" t="str">
        <f t="shared" si="77"/>
        <v/>
      </c>
      <c r="X472" s="338" t="str">
        <f t="shared" si="78"/>
        <v/>
      </c>
      <c r="Y472" s="274"/>
      <c r="AR472" t="str">
        <f t="shared" si="79"/>
        <v/>
      </c>
      <c r="AS472" t="str">
        <f t="shared" si="80"/>
        <v/>
      </c>
    </row>
    <row r="473" spans="1:45">
      <c r="A473" s="291"/>
      <c r="B473" s="292"/>
      <c r="C473" s="293"/>
      <c r="D473" s="293"/>
      <c r="E473" s="293"/>
      <c r="F473" s="293"/>
      <c r="G473" s="294"/>
      <c r="H473" s="300"/>
      <c r="I473" s="295"/>
      <c r="J473" s="295"/>
      <c r="K473" s="296"/>
      <c r="L473" s="301"/>
      <c r="M473" s="297"/>
      <c r="N473" s="298"/>
      <c r="P473" s="190" t="str">
        <f>IF(R473 = "", "", COUNT(R$4:$R473))</f>
        <v/>
      </c>
      <c r="Q473" s="190" t="str">
        <f t="shared" si="71"/>
        <v/>
      </c>
      <c r="R473" s="191" t="str">
        <f t="shared" si="72"/>
        <v/>
      </c>
      <c r="S473" s="192" t="str">
        <f t="shared" si="74"/>
        <v/>
      </c>
      <c r="T473" s="193" t="str">
        <f t="shared" si="75"/>
        <v/>
      </c>
      <c r="U473" s="194" t="str">
        <f t="shared" si="76"/>
        <v/>
      </c>
      <c r="V473" s="195" t="str">
        <f t="shared" si="73"/>
        <v/>
      </c>
      <c r="W473" s="336" t="str">
        <f t="shared" si="77"/>
        <v/>
      </c>
      <c r="X473" s="338" t="str">
        <f t="shared" si="78"/>
        <v/>
      </c>
      <c r="Y473" s="274"/>
      <c r="AR473" t="str">
        <f t="shared" si="79"/>
        <v/>
      </c>
      <c r="AS473" t="str">
        <f t="shared" si="80"/>
        <v/>
      </c>
    </row>
    <row r="474" spans="1:45">
      <c r="A474" s="291"/>
      <c r="B474" s="292"/>
      <c r="C474" s="293"/>
      <c r="D474" s="293"/>
      <c r="E474" s="293"/>
      <c r="F474" s="293"/>
      <c r="G474" s="294"/>
      <c r="H474" s="300"/>
      <c r="I474" s="295"/>
      <c r="J474" s="295"/>
      <c r="K474" s="296"/>
      <c r="L474" s="301"/>
      <c r="M474" s="297"/>
      <c r="N474" s="298"/>
      <c r="P474" s="190" t="str">
        <f>IF(R474 = "", "", COUNT(R$4:$R474))</f>
        <v/>
      </c>
      <c r="Q474" s="190" t="str">
        <f t="shared" si="71"/>
        <v/>
      </c>
      <c r="R474" s="191" t="str">
        <f t="shared" si="72"/>
        <v/>
      </c>
      <c r="S474" s="192" t="str">
        <f t="shared" si="74"/>
        <v/>
      </c>
      <c r="T474" s="193" t="str">
        <f t="shared" si="75"/>
        <v/>
      </c>
      <c r="U474" s="194" t="str">
        <f t="shared" si="76"/>
        <v/>
      </c>
      <c r="V474" s="195" t="str">
        <f t="shared" si="73"/>
        <v/>
      </c>
      <c r="W474" s="336" t="str">
        <f t="shared" si="77"/>
        <v/>
      </c>
      <c r="X474" s="338" t="str">
        <f t="shared" si="78"/>
        <v/>
      </c>
      <c r="Y474" s="274"/>
      <c r="AR474" t="str">
        <f t="shared" si="79"/>
        <v/>
      </c>
      <c r="AS474" t="str">
        <f t="shared" si="80"/>
        <v/>
      </c>
    </row>
    <row r="475" spans="1:45">
      <c r="A475" s="291"/>
      <c r="B475" s="292"/>
      <c r="C475" s="293"/>
      <c r="D475" s="293"/>
      <c r="E475" s="293"/>
      <c r="F475" s="293"/>
      <c r="G475" s="294"/>
      <c r="H475" s="300"/>
      <c r="I475" s="295"/>
      <c r="J475" s="295"/>
      <c r="K475" s="296"/>
      <c r="L475" s="301"/>
      <c r="M475" s="297"/>
      <c r="N475" s="298"/>
      <c r="P475" s="190" t="str">
        <f>IF(R475 = "", "", COUNT(R$4:$R475))</f>
        <v/>
      </c>
      <c r="Q475" s="190" t="str">
        <f t="shared" si="71"/>
        <v/>
      </c>
      <c r="R475" s="191" t="str">
        <f t="shared" si="72"/>
        <v/>
      </c>
      <c r="S475" s="192" t="str">
        <f t="shared" si="74"/>
        <v/>
      </c>
      <c r="T475" s="193" t="str">
        <f t="shared" si="75"/>
        <v/>
      </c>
      <c r="U475" s="194" t="str">
        <f t="shared" si="76"/>
        <v/>
      </c>
      <c r="V475" s="195" t="str">
        <f t="shared" si="73"/>
        <v/>
      </c>
      <c r="W475" s="336" t="str">
        <f t="shared" si="77"/>
        <v/>
      </c>
      <c r="X475" s="338" t="str">
        <f t="shared" si="78"/>
        <v/>
      </c>
      <c r="Y475" s="274"/>
      <c r="AR475" t="str">
        <f t="shared" si="79"/>
        <v/>
      </c>
      <c r="AS475" t="str">
        <f t="shared" si="80"/>
        <v/>
      </c>
    </row>
    <row r="476" spans="1:45">
      <c r="A476" s="291"/>
      <c r="B476" s="292"/>
      <c r="C476" s="293"/>
      <c r="D476" s="293"/>
      <c r="E476" s="293"/>
      <c r="F476" s="293"/>
      <c r="G476" s="294"/>
      <c r="H476" s="300"/>
      <c r="I476" s="295"/>
      <c r="J476" s="295"/>
      <c r="K476" s="296"/>
      <c r="L476" s="301"/>
      <c r="M476" s="297"/>
      <c r="N476" s="298"/>
      <c r="P476" s="190" t="str">
        <f>IF(R476 = "", "", COUNT(R$4:$R476))</f>
        <v/>
      </c>
      <c r="Q476" s="190" t="str">
        <f t="shared" si="71"/>
        <v/>
      </c>
      <c r="R476" s="191" t="str">
        <f t="shared" si="72"/>
        <v/>
      </c>
      <c r="S476" s="192" t="str">
        <f t="shared" si="74"/>
        <v/>
      </c>
      <c r="T476" s="193" t="str">
        <f t="shared" si="75"/>
        <v/>
      </c>
      <c r="U476" s="194" t="str">
        <f t="shared" si="76"/>
        <v/>
      </c>
      <c r="V476" s="195" t="str">
        <f t="shared" si="73"/>
        <v/>
      </c>
      <c r="W476" s="336" t="str">
        <f t="shared" si="77"/>
        <v/>
      </c>
      <c r="X476" s="338" t="str">
        <f t="shared" si="78"/>
        <v/>
      </c>
      <c r="Y476" s="274"/>
      <c r="AR476" t="str">
        <f t="shared" si="79"/>
        <v/>
      </c>
      <c r="AS476" t="str">
        <f t="shared" si="80"/>
        <v/>
      </c>
    </row>
    <row r="477" spans="1:45">
      <c r="A477" s="291"/>
      <c r="B477" s="292"/>
      <c r="C477" s="293"/>
      <c r="D477" s="293"/>
      <c r="E477" s="293"/>
      <c r="F477" s="293"/>
      <c r="G477" s="294"/>
      <c r="H477" s="300"/>
      <c r="I477" s="295"/>
      <c r="J477" s="295"/>
      <c r="K477" s="296"/>
      <c r="L477" s="301"/>
      <c r="M477" s="297"/>
      <c r="N477" s="298"/>
      <c r="P477" s="190" t="str">
        <f>IF(R477 = "", "", COUNT(R$4:$R477))</f>
        <v/>
      </c>
      <c r="Q477" s="190" t="str">
        <f t="shared" si="71"/>
        <v/>
      </c>
      <c r="R477" s="191" t="str">
        <f t="shared" si="72"/>
        <v/>
      </c>
      <c r="S477" s="192" t="str">
        <f t="shared" si="74"/>
        <v/>
      </c>
      <c r="T477" s="193" t="str">
        <f t="shared" si="75"/>
        <v/>
      </c>
      <c r="U477" s="194" t="str">
        <f t="shared" si="76"/>
        <v/>
      </c>
      <c r="V477" s="195" t="str">
        <f t="shared" si="73"/>
        <v/>
      </c>
      <c r="W477" s="336" t="str">
        <f t="shared" si="77"/>
        <v/>
      </c>
      <c r="X477" s="338" t="str">
        <f t="shared" si="78"/>
        <v/>
      </c>
      <c r="Y477" s="274"/>
      <c r="AR477" t="str">
        <f t="shared" si="79"/>
        <v/>
      </c>
      <c r="AS477" t="str">
        <f t="shared" si="80"/>
        <v/>
      </c>
    </row>
    <row r="478" spans="1:45">
      <c r="A478" s="291"/>
      <c r="B478" s="292"/>
      <c r="C478" s="293"/>
      <c r="D478" s="293"/>
      <c r="E478" s="293"/>
      <c r="F478" s="293"/>
      <c r="G478" s="294"/>
      <c r="H478" s="300"/>
      <c r="I478" s="295"/>
      <c r="J478" s="295"/>
      <c r="K478" s="296"/>
      <c r="L478" s="301"/>
      <c r="M478" s="297"/>
      <c r="N478" s="298"/>
      <c r="P478" s="190" t="str">
        <f>IF(R478 = "", "", COUNT(R$4:$R478))</f>
        <v/>
      </c>
      <c r="Q478" s="190" t="str">
        <f t="shared" si="71"/>
        <v/>
      </c>
      <c r="R478" s="191" t="str">
        <f t="shared" si="72"/>
        <v/>
      </c>
      <c r="S478" s="192" t="str">
        <f t="shared" si="74"/>
        <v/>
      </c>
      <c r="T478" s="193" t="str">
        <f t="shared" si="75"/>
        <v/>
      </c>
      <c r="U478" s="194" t="str">
        <f t="shared" si="76"/>
        <v/>
      </c>
      <c r="V478" s="195" t="str">
        <f t="shared" si="73"/>
        <v/>
      </c>
      <c r="W478" s="336" t="str">
        <f t="shared" si="77"/>
        <v/>
      </c>
      <c r="X478" s="338" t="str">
        <f t="shared" si="78"/>
        <v/>
      </c>
      <c r="Y478" s="274"/>
      <c r="AR478" t="str">
        <f t="shared" si="79"/>
        <v/>
      </c>
      <c r="AS478" t="str">
        <f t="shared" si="80"/>
        <v/>
      </c>
    </row>
    <row r="479" spans="1:45">
      <c r="A479" s="291"/>
      <c r="B479" s="292"/>
      <c r="C479" s="293"/>
      <c r="D479" s="293"/>
      <c r="E479" s="293"/>
      <c r="F479" s="293"/>
      <c r="G479" s="294"/>
      <c r="H479" s="300"/>
      <c r="I479" s="295"/>
      <c r="J479" s="295"/>
      <c r="K479" s="296"/>
      <c r="L479" s="301"/>
      <c r="M479" s="297"/>
      <c r="N479" s="298"/>
      <c r="P479" s="190" t="str">
        <f>IF(R479 = "", "", COUNT(R$4:$R479))</f>
        <v/>
      </c>
      <c r="Q479" s="190" t="str">
        <f t="shared" si="71"/>
        <v/>
      </c>
      <c r="R479" s="191" t="str">
        <f t="shared" si="72"/>
        <v/>
      </c>
      <c r="S479" s="192" t="str">
        <f t="shared" si="74"/>
        <v/>
      </c>
      <c r="T479" s="193" t="str">
        <f t="shared" si="75"/>
        <v/>
      </c>
      <c r="U479" s="194" t="str">
        <f t="shared" si="76"/>
        <v/>
      </c>
      <c r="V479" s="195" t="str">
        <f t="shared" si="73"/>
        <v/>
      </c>
      <c r="W479" s="336" t="str">
        <f t="shared" si="77"/>
        <v/>
      </c>
      <c r="X479" s="338" t="str">
        <f t="shared" si="78"/>
        <v/>
      </c>
      <c r="Y479" s="274"/>
      <c r="AR479" t="str">
        <f t="shared" si="79"/>
        <v/>
      </c>
      <c r="AS479" t="str">
        <f t="shared" si="80"/>
        <v/>
      </c>
    </row>
    <row r="480" spans="1:45">
      <c r="A480" s="291"/>
      <c r="B480" s="292"/>
      <c r="C480" s="293"/>
      <c r="D480" s="293"/>
      <c r="E480" s="293"/>
      <c r="F480" s="293"/>
      <c r="G480" s="294"/>
      <c r="H480" s="300"/>
      <c r="I480" s="295"/>
      <c r="J480" s="295"/>
      <c r="K480" s="296"/>
      <c r="L480" s="301"/>
      <c r="M480" s="297"/>
      <c r="N480" s="298"/>
      <c r="P480" s="190" t="str">
        <f>IF(R480 = "", "", COUNT(R$4:$R480))</f>
        <v/>
      </c>
      <c r="Q480" s="190" t="str">
        <f t="shared" si="71"/>
        <v/>
      </c>
      <c r="R480" s="191" t="str">
        <f t="shared" si="72"/>
        <v/>
      </c>
      <c r="S480" s="192" t="str">
        <f t="shared" si="74"/>
        <v/>
      </c>
      <c r="T480" s="193" t="str">
        <f t="shared" si="75"/>
        <v/>
      </c>
      <c r="U480" s="194" t="str">
        <f t="shared" si="76"/>
        <v/>
      </c>
      <c r="V480" s="195" t="str">
        <f t="shared" si="73"/>
        <v/>
      </c>
      <c r="W480" s="336" t="str">
        <f t="shared" si="77"/>
        <v/>
      </c>
      <c r="X480" s="338" t="str">
        <f t="shared" si="78"/>
        <v/>
      </c>
      <c r="Y480" s="274"/>
      <c r="AR480" t="str">
        <f t="shared" si="79"/>
        <v/>
      </c>
      <c r="AS480" t="str">
        <f t="shared" si="80"/>
        <v/>
      </c>
    </row>
    <row r="481" spans="1:45">
      <c r="A481" s="291"/>
      <c r="B481" s="292"/>
      <c r="C481" s="293"/>
      <c r="D481" s="293"/>
      <c r="E481" s="293"/>
      <c r="F481" s="293"/>
      <c r="G481" s="294"/>
      <c r="H481" s="300"/>
      <c r="I481" s="295"/>
      <c r="J481" s="295"/>
      <c r="K481" s="296"/>
      <c r="L481" s="301"/>
      <c r="M481" s="297"/>
      <c r="N481" s="298"/>
      <c r="P481" s="190" t="str">
        <f>IF(R481 = "", "", COUNT(R$4:$R481))</f>
        <v/>
      </c>
      <c r="Q481" s="190" t="str">
        <f t="shared" si="71"/>
        <v/>
      </c>
      <c r="R481" s="191" t="str">
        <f t="shared" si="72"/>
        <v/>
      </c>
      <c r="S481" s="192" t="str">
        <f t="shared" si="74"/>
        <v/>
      </c>
      <c r="T481" s="193" t="str">
        <f t="shared" si="75"/>
        <v/>
      </c>
      <c r="U481" s="194" t="str">
        <f t="shared" si="76"/>
        <v/>
      </c>
      <c r="V481" s="195" t="str">
        <f t="shared" si="73"/>
        <v/>
      </c>
      <c r="W481" s="336" t="str">
        <f t="shared" si="77"/>
        <v/>
      </c>
      <c r="X481" s="338" t="str">
        <f t="shared" si="78"/>
        <v/>
      </c>
      <c r="Y481" s="274"/>
      <c r="AR481" t="str">
        <f t="shared" si="79"/>
        <v/>
      </c>
      <c r="AS481" t="str">
        <f t="shared" si="80"/>
        <v/>
      </c>
    </row>
    <row r="482" spans="1:45">
      <c r="A482" s="291"/>
      <c r="B482" s="292"/>
      <c r="C482" s="293"/>
      <c r="D482" s="293"/>
      <c r="E482" s="293"/>
      <c r="F482" s="293"/>
      <c r="G482" s="294"/>
      <c r="H482" s="300"/>
      <c r="I482" s="295"/>
      <c r="J482" s="295"/>
      <c r="K482" s="296"/>
      <c r="L482" s="301"/>
      <c r="M482" s="297"/>
      <c r="N482" s="298"/>
      <c r="P482" s="190" t="str">
        <f>IF(R482 = "", "", COUNT(R$4:$R482))</f>
        <v/>
      </c>
      <c r="Q482" s="190" t="str">
        <f t="shared" si="71"/>
        <v/>
      </c>
      <c r="R482" s="191" t="str">
        <f t="shared" si="72"/>
        <v/>
      </c>
      <c r="S482" s="192" t="str">
        <f t="shared" si="74"/>
        <v/>
      </c>
      <c r="T482" s="193" t="str">
        <f t="shared" si="75"/>
        <v/>
      </c>
      <c r="U482" s="194" t="str">
        <f t="shared" si="76"/>
        <v/>
      </c>
      <c r="V482" s="195" t="str">
        <f t="shared" si="73"/>
        <v/>
      </c>
      <c r="W482" s="336" t="str">
        <f t="shared" si="77"/>
        <v/>
      </c>
      <c r="X482" s="338" t="str">
        <f t="shared" si="78"/>
        <v/>
      </c>
      <c r="Y482" s="274"/>
      <c r="AR482" t="str">
        <f t="shared" si="79"/>
        <v/>
      </c>
      <c r="AS482" t="str">
        <f t="shared" si="80"/>
        <v/>
      </c>
    </row>
    <row r="483" spans="1:45">
      <c r="A483" s="291"/>
      <c r="B483" s="292"/>
      <c r="C483" s="293"/>
      <c r="D483" s="293"/>
      <c r="E483" s="293"/>
      <c r="F483" s="293"/>
      <c r="G483" s="294"/>
      <c r="H483" s="300"/>
      <c r="I483" s="295"/>
      <c r="J483" s="295"/>
      <c r="K483" s="296"/>
      <c r="L483" s="301"/>
      <c r="M483" s="297"/>
      <c r="N483" s="298"/>
      <c r="P483" s="190" t="str">
        <f>IF(R483 = "", "", COUNT(R$4:$R483))</f>
        <v/>
      </c>
      <c r="Q483" s="190" t="str">
        <f t="shared" si="71"/>
        <v/>
      </c>
      <c r="R483" s="191" t="str">
        <f t="shared" si="72"/>
        <v/>
      </c>
      <c r="S483" s="192" t="str">
        <f t="shared" si="74"/>
        <v/>
      </c>
      <c r="T483" s="193" t="str">
        <f t="shared" si="75"/>
        <v/>
      </c>
      <c r="U483" s="194" t="str">
        <f t="shared" si="76"/>
        <v/>
      </c>
      <c r="V483" s="195" t="str">
        <f t="shared" si="73"/>
        <v/>
      </c>
      <c r="W483" s="336" t="str">
        <f t="shared" si="77"/>
        <v/>
      </c>
      <c r="X483" s="338" t="str">
        <f t="shared" si="78"/>
        <v/>
      </c>
      <c r="Y483" s="274"/>
      <c r="AR483" t="str">
        <f t="shared" si="79"/>
        <v/>
      </c>
      <c r="AS483" t="str">
        <f t="shared" si="80"/>
        <v/>
      </c>
    </row>
    <row r="484" spans="1:45">
      <c r="A484" s="291"/>
      <c r="B484" s="292"/>
      <c r="C484" s="293"/>
      <c r="D484" s="293"/>
      <c r="E484" s="293"/>
      <c r="F484" s="293"/>
      <c r="G484" s="294"/>
      <c r="H484" s="300"/>
      <c r="I484" s="295"/>
      <c r="J484" s="295"/>
      <c r="K484" s="296"/>
      <c r="L484" s="301"/>
      <c r="M484" s="297"/>
      <c r="N484" s="298"/>
      <c r="P484" s="190" t="str">
        <f>IF(R484 = "", "", COUNT(R$4:$R484))</f>
        <v/>
      </c>
      <c r="Q484" s="190" t="str">
        <f t="shared" si="71"/>
        <v/>
      </c>
      <c r="R484" s="191" t="str">
        <f t="shared" si="72"/>
        <v/>
      </c>
      <c r="S484" s="192" t="str">
        <f t="shared" si="74"/>
        <v/>
      </c>
      <c r="T484" s="193" t="str">
        <f t="shared" si="75"/>
        <v/>
      </c>
      <c r="U484" s="194" t="str">
        <f t="shared" si="76"/>
        <v/>
      </c>
      <c r="V484" s="195" t="str">
        <f t="shared" si="73"/>
        <v/>
      </c>
      <c r="W484" s="336" t="str">
        <f t="shared" si="77"/>
        <v/>
      </c>
      <c r="X484" s="338" t="str">
        <f t="shared" si="78"/>
        <v/>
      </c>
      <c r="Y484" s="274"/>
      <c r="AR484" t="str">
        <f t="shared" si="79"/>
        <v/>
      </c>
      <c r="AS484" t="str">
        <f t="shared" si="80"/>
        <v/>
      </c>
    </row>
    <row r="485" spans="1:45">
      <c r="A485" s="291"/>
      <c r="B485" s="292"/>
      <c r="C485" s="293"/>
      <c r="D485" s="293"/>
      <c r="E485" s="293"/>
      <c r="F485" s="293"/>
      <c r="G485" s="294"/>
      <c r="H485" s="300"/>
      <c r="I485" s="295"/>
      <c r="J485" s="295"/>
      <c r="K485" s="296"/>
      <c r="L485" s="301"/>
      <c r="M485" s="297"/>
      <c r="N485" s="298"/>
      <c r="P485" s="190" t="str">
        <f>IF(R485 = "", "", COUNT(R$4:$R485))</f>
        <v/>
      </c>
      <c r="Q485" s="190" t="str">
        <f t="shared" si="71"/>
        <v/>
      </c>
      <c r="R485" s="191" t="str">
        <f t="shared" si="72"/>
        <v/>
      </c>
      <c r="S485" s="192" t="str">
        <f t="shared" si="74"/>
        <v/>
      </c>
      <c r="T485" s="193" t="str">
        <f t="shared" si="75"/>
        <v/>
      </c>
      <c r="U485" s="194" t="str">
        <f t="shared" si="76"/>
        <v/>
      </c>
      <c r="V485" s="195" t="str">
        <f t="shared" si="73"/>
        <v/>
      </c>
      <c r="W485" s="336" t="str">
        <f t="shared" si="77"/>
        <v/>
      </c>
      <c r="X485" s="338" t="str">
        <f t="shared" si="78"/>
        <v/>
      </c>
      <c r="Y485" s="274"/>
      <c r="AR485" t="str">
        <f t="shared" si="79"/>
        <v/>
      </c>
      <c r="AS485" t="str">
        <f t="shared" si="80"/>
        <v/>
      </c>
    </row>
    <row r="486" spans="1:45">
      <c r="A486" s="291"/>
      <c r="B486" s="292"/>
      <c r="C486" s="293"/>
      <c r="D486" s="293"/>
      <c r="E486" s="293"/>
      <c r="F486" s="293"/>
      <c r="G486" s="294"/>
      <c r="H486" s="300"/>
      <c r="I486" s="295"/>
      <c r="J486" s="295"/>
      <c r="K486" s="296"/>
      <c r="L486" s="301"/>
      <c r="M486" s="297"/>
      <c r="N486" s="298"/>
      <c r="P486" s="190" t="str">
        <f>IF(R486 = "", "", COUNT(R$4:$R486))</f>
        <v/>
      </c>
      <c r="Q486" s="190" t="str">
        <f t="shared" si="71"/>
        <v/>
      </c>
      <c r="R486" s="191" t="str">
        <f t="shared" si="72"/>
        <v/>
      </c>
      <c r="S486" s="192" t="str">
        <f t="shared" si="74"/>
        <v/>
      </c>
      <c r="T486" s="193" t="str">
        <f t="shared" si="75"/>
        <v/>
      </c>
      <c r="U486" s="194" t="str">
        <f t="shared" si="76"/>
        <v/>
      </c>
      <c r="V486" s="195" t="str">
        <f t="shared" si="73"/>
        <v/>
      </c>
      <c r="W486" s="336" t="str">
        <f t="shared" si="77"/>
        <v/>
      </c>
      <c r="X486" s="338" t="str">
        <f t="shared" si="78"/>
        <v/>
      </c>
      <c r="Y486" s="274"/>
      <c r="AR486" t="str">
        <f t="shared" si="79"/>
        <v/>
      </c>
      <c r="AS486" t="str">
        <f t="shared" si="80"/>
        <v/>
      </c>
    </row>
    <row r="487" spans="1:45">
      <c r="A487" s="291"/>
      <c r="B487" s="292"/>
      <c r="C487" s="293"/>
      <c r="D487" s="293"/>
      <c r="E487" s="293"/>
      <c r="F487" s="293"/>
      <c r="G487" s="294"/>
      <c r="H487" s="300"/>
      <c r="I487" s="295"/>
      <c r="J487" s="295"/>
      <c r="K487" s="296"/>
      <c r="L487" s="301"/>
      <c r="M487" s="297"/>
      <c r="N487" s="298"/>
      <c r="P487" s="190" t="str">
        <f>IF(R487 = "", "", COUNT(R$4:$R487))</f>
        <v/>
      </c>
      <c r="Q487" s="190" t="str">
        <f t="shared" si="71"/>
        <v/>
      </c>
      <c r="R487" s="191" t="str">
        <f t="shared" si="72"/>
        <v/>
      </c>
      <c r="S487" s="192" t="str">
        <f t="shared" si="74"/>
        <v/>
      </c>
      <c r="T487" s="193" t="str">
        <f t="shared" si="75"/>
        <v/>
      </c>
      <c r="U487" s="194" t="str">
        <f t="shared" si="76"/>
        <v/>
      </c>
      <c r="V487" s="195" t="str">
        <f t="shared" si="73"/>
        <v/>
      </c>
      <c r="W487" s="336" t="str">
        <f t="shared" si="77"/>
        <v/>
      </c>
      <c r="X487" s="338" t="str">
        <f t="shared" si="78"/>
        <v/>
      </c>
      <c r="Y487" s="274"/>
      <c r="AR487" t="str">
        <f t="shared" si="79"/>
        <v/>
      </c>
      <c r="AS487" t="str">
        <f t="shared" si="80"/>
        <v/>
      </c>
    </row>
    <row r="488" spans="1:45">
      <c r="A488" s="291"/>
      <c r="B488" s="292"/>
      <c r="C488" s="293"/>
      <c r="D488" s="293"/>
      <c r="E488" s="293"/>
      <c r="F488" s="293"/>
      <c r="G488" s="294"/>
      <c r="H488" s="300"/>
      <c r="I488" s="295"/>
      <c r="J488" s="295"/>
      <c r="K488" s="296"/>
      <c r="L488" s="301"/>
      <c r="M488" s="297"/>
      <c r="N488" s="298"/>
      <c r="P488" s="190" t="str">
        <f>IF(R488 = "", "", COUNT(R$4:$R488))</f>
        <v/>
      </c>
      <c r="Q488" s="190" t="str">
        <f t="shared" si="71"/>
        <v/>
      </c>
      <c r="R488" s="191" t="str">
        <f t="shared" si="72"/>
        <v/>
      </c>
      <c r="S488" s="192" t="str">
        <f t="shared" si="74"/>
        <v/>
      </c>
      <c r="T488" s="193" t="str">
        <f t="shared" si="75"/>
        <v/>
      </c>
      <c r="U488" s="194" t="str">
        <f t="shared" si="76"/>
        <v/>
      </c>
      <c r="V488" s="195" t="str">
        <f t="shared" si="73"/>
        <v/>
      </c>
      <c r="W488" s="336" t="str">
        <f t="shared" si="77"/>
        <v/>
      </c>
      <c r="X488" s="338" t="str">
        <f t="shared" si="78"/>
        <v/>
      </c>
      <c r="Y488" s="274"/>
      <c r="AR488" t="str">
        <f t="shared" si="79"/>
        <v/>
      </c>
      <c r="AS488" t="str">
        <f t="shared" si="80"/>
        <v/>
      </c>
    </row>
    <row r="489" spans="1:45">
      <c r="A489" s="291"/>
      <c r="B489" s="292"/>
      <c r="C489" s="293"/>
      <c r="D489" s="293"/>
      <c r="E489" s="293"/>
      <c r="F489" s="293"/>
      <c r="G489" s="294"/>
      <c r="H489" s="300"/>
      <c r="I489" s="295"/>
      <c r="J489" s="295"/>
      <c r="K489" s="296"/>
      <c r="L489" s="301"/>
      <c r="M489" s="297"/>
      <c r="N489" s="298"/>
      <c r="P489" s="190" t="str">
        <f>IF(R489 = "", "", COUNT(R$4:$R489))</f>
        <v/>
      </c>
      <c r="Q489" s="190" t="str">
        <f t="shared" si="71"/>
        <v/>
      </c>
      <c r="R489" s="191" t="str">
        <f t="shared" si="72"/>
        <v/>
      </c>
      <c r="S489" s="192" t="str">
        <f t="shared" si="74"/>
        <v/>
      </c>
      <c r="T489" s="193" t="str">
        <f t="shared" si="75"/>
        <v/>
      </c>
      <c r="U489" s="194" t="str">
        <f t="shared" si="76"/>
        <v/>
      </c>
      <c r="V489" s="195" t="str">
        <f t="shared" si="73"/>
        <v/>
      </c>
      <c r="W489" s="336" t="str">
        <f t="shared" si="77"/>
        <v/>
      </c>
      <c r="X489" s="338" t="str">
        <f t="shared" si="78"/>
        <v/>
      </c>
      <c r="Y489" s="274"/>
      <c r="AR489" t="str">
        <f t="shared" si="79"/>
        <v/>
      </c>
      <c r="AS489" t="str">
        <f t="shared" si="80"/>
        <v/>
      </c>
    </row>
    <row r="490" spans="1:45">
      <c r="A490" s="291"/>
      <c r="B490" s="292"/>
      <c r="C490" s="293"/>
      <c r="D490" s="293"/>
      <c r="E490" s="293"/>
      <c r="F490" s="293"/>
      <c r="G490" s="294"/>
      <c r="H490" s="300"/>
      <c r="I490" s="295"/>
      <c r="J490" s="295"/>
      <c r="K490" s="296"/>
      <c r="L490" s="301"/>
      <c r="M490" s="297"/>
      <c r="N490" s="298"/>
      <c r="P490" s="190" t="str">
        <f>IF(R490 = "", "", COUNT(R$4:$R490))</f>
        <v/>
      </c>
      <c r="Q490" s="190" t="str">
        <f t="shared" si="71"/>
        <v/>
      </c>
      <c r="R490" s="191" t="str">
        <f t="shared" si="72"/>
        <v/>
      </c>
      <c r="S490" s="192" t="str">
        <f t="shared" si="74"/>
        <v/>
      </c>
      <c r="T490" s="193" t="str">
        <f t="shared" si="75"/>
        <v/>
      </c>
      <c r="U490" s="194" t="str">
        <f t="shared" si="76"/>
        <v/>
      </c>
      <c r="V490" s="195" t="str">
        <f t="shared" si="73"/>
        <v/>
      </c>
      <c r="W490" s="336" t="str">
        <f t="shared" si="77"/>
        <v/>
      </c>
      <c r="X490" s="338" t="str">
        <f t="shared" si="78"/>
        <v/>
      </c>
      <c r="Y490" s="274"/>
      <c r="AR490" t="str">
        <f t="shared" si="79"/>
        <v/>
      </c>
      <c r="AS490" t="str">
        <f t="shared" si="80"/>
        <v/>
      </c>
    </row>
    <row r="491" spans="1:45">
      <c r="A491" s="291"/>
      <c r="B491" s="292"/>
      <c r="C491" s="293"/>
      <c r="D491" s="293"/>
      <c r="E491" s="293"/>
      <c r="F491" s="293"/>
      <c r="G491" s="294"/>
      <c r="H491" s="300"/>
      <c r="I491" s="295"/>
      <c r="J491" s="295"/>
      <c r="K491" s="296"/>
      <c r="L491" s="301"/>
      <c r="M491" s="297"/>
      <c r="N491" s="298"/>
      <c r="P491" s="190" t="str">
        <f>IF(R491 = "", "", COUNT(R$4:$R491))</f>
        <v/>
      </c>
      <c r="Q491" s="190" t="str">
        <f t="shared" si="71"/>
        <v/>
      </c>
      <c r="R491" s="191" t="str">
        <f t="shared" si="72"/>
        <v/>
      </c>
      <c r="S491" s="192" t="str">
        <f t="shared" si="74"/>
        <v/>
      </c>
      <c r="T491" s="193" t="str">
        <f t="shared" si="75"/>
        <v/>
      </c>
      <c r="U491" s="194" t="str">
        <f t="shared" si="76"/>
        <v/>
      </c>
      <c r="V491" s="195" t="str">
        <f t="shared" si="73"/>
        <v/>
      </c>
      <c r="W491" s="336" t="str">
        <f t="shared" si="77"/>
        <v/>
      </c>
      <c r="X491" s="338" t="str">
        <f t="shared" si="78"/>
        <v/>
      </c>
      <c r="Y491" s="274"/>
      <c r="AR491" t="str">
        <f t="shared" si="79"/>
        <v/>
      </c>
      <c r="AS491" t="str">
        <f t="shared" si="80"/>
        <v/>
      </c>
    </row>
    <row r="492" spans="1:45">
      <c r="A492" s="291"/>
      <c r="B492" s="292"/>
      <c r="C492" s="293"/>
      <c r="D492" s="293"/>
      <c r="E492" s="293"/>
      <c r="F492" s="293"/>
      <c r="G492" s="294"/>
      <c r="H492" s="300"/>
      <c r="I492" s="295"/>
      <c r="J492" s="295"/>
      <c r="K492" s="296"/>
      <c r="L492" s="301"/>
      <c r="M492" s="297"/>
      <c r="N492" s="298"/>
      <c r="P492" s="190" t="str">
        <f>IF(R492 = "", "", COUNT(R$4:$R492))</f>
        <v/>
      </c>
      <c r="Q492" s="190" t="str">
        <f t="shared" si="71"/>
        <v/>
      </c>
      <c r="R492" s="191" t="str">
        <f t="shared" si="72"/>
        <v/>
      </c>
      <c r="S492" s="192" t="str">
        <f t="shared" si="74"/>
        <v/>
      </c>
      <c r="T492" s="193" t="str">
        <f t="shared" si="75"/>
        <v/>
      </c>
      <c r="U492" s="194" t="str">
        <f t="shared" si="76"/>
        <v/>
      </c>
      <c r="V492" s="195" t="str">
        <f t="shared" si="73"/>
        <v/>
      </c>
      <c r="W492" s="336" t="str">
        <f t="shared" si="77"/>
        <v/>
      </c>
      <c r="X492" s="338" t="str">
        <f t="shared" si="78"/>
        <v/>
      </c>
      <c r="Y492" s="274"/>
      <c r="AR492" t="str">
        <f t="shared" si="79"/>
        <v/>
      </c>
      <c r="AS492" t="str">
        <f t="shared" si="80"/>
        <v/>
      </c>
    </row>
    <row r="493" spans="1:45">
      <c r="A493" s="291"/>
      <c r="B493" s="292"/>
      <c r="C493" s="293"/>
      <c r="D493" s="293"/>
      <c r="E493" s="293"/>
      <c r="F493" s="293"/>
      <c r="G493" s="294"/>
      <c r="H493" s="300"/>
      <c r="I493" s="295"/>
      <c r="J493" s="295"/>
      <c r="K493" s="296"/>
      <c r="L493" s="301"/>
      <c r="M493" s="297"/>
      <c r="N493" s="298"/>
      <c r="P493" s="190" t="str">
        <f>IF(R493 = "", "", COUNT(R$4:$R493))</f>
        <v/>
      </c>
      <c r="Q493" s="190" t="str">
        <f t="shared" si="71"/>
        <v/>
      </c>
      <c r="R493" s="191" t="str">
        <f t="shared" si="72"/>
        <v/>
      </c>
      <c r="S493" s="192" t="str">
        <f t="shared" si="74"/>
        <v/>
      </c>
      <c r="T493" s="193" t="str">
        <f t="shared" si="75"/>
        <v/>
      </c>
      <c r="U493" s="194" t="str">
        <f t="shared" si="76"/>
        <v/>
      </c>
      <c r="V493" s="195" t="str">
        <f t="shared" si="73"/>
        <v/>
      </c>
      <c r="W493" s="336" t="str">
        <f t="shared" si="77"/>
        <v/>
      </c>
      <c r="X493" s="338" t="str">
        <f t="shared" si="78"/>
        <v/>
      </c>
      <c r="Y493" s="274"/>
      <c r="AR493" t="str">
        <f t="shared" si="79"/>
        <v/>
      </c>
      <c r="AS493" t="str">
        <f t="shared" si="80"/>
        <v/>
      </c>
    </row>
    <row r="494" spans="1:45">
      <c r="A494" s="291"/>
      <c r="B494" s="292"/>
      <c r="C494" s="293"/>
      <c r="D494" s="293"/>
      <c r="E494" s="293"/>
      <c r="F494" s="293"/>
      <c r="G494" s="294"/>
      <c r="H494" s="300"/>
      <c r="I494" s="295"/>
      <c r="J494" s="295"/>
      <c r="K494" s="296"/>
      <c r="L494" s="301"/>
      <c r="M494" s="297"/>
      <c r="N494" s="298"/>
      <c r="P494" s="190" t="str">
        <f>IF(R494 = "", "", COUNT(R$4:$R494))</f>
        <v/>
      </c>
      <c r="Q494" s="190" t="str">
        <f t="shared" si="71"/>
        <v/>
      </c>
      <c r="R494" s="191" t="str">
        <f t="shared" si="72"/>
        <v/>
      </c>
      <c r="S494" s="192" t="str">
        <f t="shared" si="74"/>
        <v/>
      </c>
      <c r="T494" s="193" t="str">
        <f t="shared" si="75"/>
        <v/>
      </c>
      <c r="U494" s="194" t="str">
        <f t="shared" si="76"/>
        <v/>
      </c>
      <c r="V494" s="195" t="str">
        <f t="shared" si="73"/>
        <v/>
      </c>
      <c r="W494" s="336" t="str">
        <f t="shared" si="77"/>
        <v/>
      </c>
      <c r="X494" s="338" t="str">
        <f t="shared" si="78"/>
        <v/>
      </c>
      <c r="Y494" s="274"/>
      <c r="AR494" t="str">
        <f t="shared" si="79"/>
        <v/>
      </c>
      <c r="AS494" t="str">
        <f t="shared" si="80"/>
        <v/>
      </c>
    </row>
    <row r="495" spans="1:45">
      <c r="A495" s="291"/>
      <c r="B495" s="292"/>
      <c r="C495" s="293"/>
      <c r="D495" s="293"/>
      <c r="E495" s="293"/>
      <c r="F495" s="293"/>
      <c r="G495" s="294"/>
      <c r="H495" s="300"/>
      <c r="I495" s="295"/>
      <c r="J495" s="295"/>
      <c r="K495" s="296"/>
      <c r="L495" s="301"/>
      <c r="M495" s="297"/>
      <c r="N495" s="298"/>
      <c r="P495" s="190" t="str">
        <f>IF(R495 = "", "", COUNT(R$4:$R495))</f>
        <v/>
      </c>
      <c r="Q495" s="190" t="str">
        <f t="shared" si="71"/>
        <v/>
      </c>
      <c r="R495" s="191" t="str">
        <f t="shared" si="72"/>
        <v/>
      </c>
      <c r="S495" s="192" t="str">
        <f t="shared" si="74"/>
        <v/>
      </c>
      <c r="T495" s="193" t="str">
        <f t="shared" si="75"/>
        <v/>
      </c>
      <c r="U495" s="194" t="str">
        <f t="shared" si="76"/>
        <v/>
      </c>
      <c r="V495" s="195" t="str">
        <f t="shared" si="73"/>
        <v/>
      </c>
      <c r="W495" s="336" t="str">
        <f t="shared" si="77"/>
        <v/>
      </c>
      <c r="X495" s="338" t="str">
        <f t="shared" si="78"/>
        <v/>
      </c>
      <c r="Y495" s="274"/>
      <c r="AR495" t="str">
        <f t="shared" si="79"/>
        <v/>
      </c>
      <c r="AS495" t="str">
        <f t="shared" si="80"/>
        <v/>
      </c>
    </row>
    <row r="496" spans="1:45">
      <c r="A496" s="291"/>
      <c r="B496" s="292"/>
      <c r="C496" s="293"/>
      <c r="D496" s="293"/>
      <c r="E496" s="293"/>
      <c r="F496" s="293"/>
      <c r="G496" s="294"/>
      <c r="H496" s="300"/>
      <c r="I496" s="295"/>
      <c r="J496" s="295"/>
      <c r="K496" s="296"/>
      <c r="L496" s="301"/>
      <c r="M496" s="297"/>
      <c r="N496" s="298"/>
      <c r="P496" s="190" t="str">
        <f>IF(R496 = "", "", COUNT(R$4:$R496))</f>
        <v/>
      </c>
      <c r="Q496" s="190" t="str">
        <f t="shared" si="71"/>
        <v/>
      </c>
      <c r="R496" s="191" t="str">
        <f t="shared" si="72"/>
        <v/>
      </c>
      <c r="S496" s="192" t="str">
        <f t="shared" si="74"/>
        <v/>
      </c>
      <c r="T496" s="193" t="str">
        <f t="shared" si="75"/>
        <v/>
      </c>
      <c r="U496" s="194" t="str">
        <f t="shared" si="76"/>
        <v/>
      </c>
      <c r="V496" s="195" t="str">
        <f t="shared" si="73"/>
        <v/>
      </c>
      <c r="W496" s="336" t="str">
        <f t="shared" si="77"/>
        <v/>
      </c>
      <c r="X496" s="338" t="str">
        <f t="shared" si="78"/>
        <v/>
      </c>
      <c r="Y496" s="274"/>
      <c r="AR496" t="str">
        <f t="shared" si="79"/>
        <v/>
      </c>
      <c r="AS496" t="str">
        <f t="shared" si="80"/>
        <v/>
      </c>
    </row>
    <row r="497" spans="1:45">
      <c r="A497" s="291"/>
      <c r="B497" s="292"/>
      <c r="C497" s="293"/>
      <c r="D497" s="293"/>
      <c r="E497" s="293"/>
      <c r="F497" s="293"/>
      <c r="G497" s="294"/>
      <c r="H497" s="300"/>
      <c r="I497" s="295"/>
      <c r="J497" s="295"/>
      <c r="K497" s="296"/>
      <c r="L497" s="301"/>
      <c r="M497" s="297"/>
      <c r="N497" s="298"/>
      <c r="P497" s="190" t="str">
        <f>IF(R497 = "", "", COUNT(R$4:$R497))</f>
        <v/>
      </c>
      <c r="Q497" s="190" t="str">
        <f t="shared" si="71"/>
        <v/>
      </c>
      <c r="R497" s="191" t="str">
        <f t="shared" si="72"/>
        <v/>
      </c>
      <c r="S497" s="192" t="str">
        <f t="shared" si="74"/>
        <v/>
      </c>
      <c r="T497" s="193" t="str">
        <f t="shared" si="75"/>
        <v/>
      </c>
      <c r="U497" s="194" t="str">
        <f t="shared" si="76"/>
        <v/>
      </c>
      <c r="V497" s="195" t="str">
        <f t="shared" si="73"/>
        <v/>
      </c>
      <c r="W497" s="336" t="str">
        <f t="shared" si="77"/>
        <v/>
      </c>
      <c r="X497" s="338" t="str">
        <f t="shared" si="78"/>
        <v/>
      </c>
      <c r="Y497" s="274"/>
      <c r="AR497" t="str">
        <f t="shared" si="79"/>
        <v/>
      </c>
      <c r="AS497" t="str">
        <f t="shared" si="80"/>
        <v/>
      </c>
    </row>
    <row r="498" spans="1:45">
      <c r="A498" s="291"/>
      <c r="B498" s="292"/>
      <c r="C498" s="293"/>
      <c r="D498" s="293"/>
      <c r="E498" s="293"/>
      <c r="F498" s="293"/>
      <c r="G498" s="294"/>
      <c r="H498" s="300"/>
      <c r="I498" s="295"/>
      <c r="J498" s="295"/>
      <c r="K498" s="296"/>
      <c r="L498" s="301"/>
      <c r="M498" s="297"/>
      <c r="N498" s="298"/>
      <c r="P498" s="190" t="str">
        <f>IF(R498 = "", "", COUNT(R$4:$R498))</f>
        <v/>
      </c>
      <c r="Q498" s="190" t="str">
        <f t="shared" si="71"/>
        <v/>
      </c>
      <c r="R498" s="191" t="str">
        <f t="shared" si="72"/>
        <v/>
      </c>
      <c r="S498" s="192" t="str">
        <f t="shared" si="74"/>
        <v/>
      </c>
      <c r="T498" s="193" t="str">
        <f t="shared" si="75"/>
        <v/>
      </c>
      <c r="U498" s="194" t="str">
        <f t="shared" si="76"/>
        <v/>
      </c>
      <c r="V498" s="195" t="str">
        <f t="shared" si="73"/>
        <v/>
      </c>
      <c r="W498" s="336" t="str">
        <f t="shared" si="77"/>
        <v/>
      </c>
      <c r="X498" s="338" t="str">
        <f t="shared" si="78"/>
        <v/>
      </c>
      <c r="Y498" s="274"/>
      <c r="AR498" t="str">
        <f t="shared" si="79"/>
        <v/>
      </c>
      <c r="AS498" t="str">
        <f t="shared" si="80"/>
        <v/>
      </c>
    </row>
    <row r="499" spans="1:45">
      <c r="A499" s="291"/>
      <c r="B499" s="292"/>
      <c r="C499" s="293"/>
      <c r="D499" s="293"/>
      <c r="E499" s="293"/>
      <c r="F499" s="293"/>
      <c r="G499" s="294"/>
      <c r="H499" s="300"/>
      <c r="I499" s="295"/>
      <c r="J499" s="295"/>
      <c r="K499" s="296"/>
      <c r="L499" s="301"/>
      <c r="M499" s="297"/>
      <c r="N499" s="298"/>
      <c r="P499" s="190" t="str">
        <f>IF(R499 = "", "", COUNT(R$4:$R499))</f>
        <v/>
      </c>
      <c r="Q499" s="190" t="str">
        <f t="shared" si="71"/>
        <v/>
      </c>
      <c r="R499" s="191" t="str">
        <f t="shared" si="72"/>
        <v/>
      </c>
      <c r="S499" s="192" t="str">
        <f t="shared" si="74"/>
        <v/>
      </c>
      <c r="T499" s="193" t="str">
        <f t="shared" si="75"/>
        <v/>
      </c>
      <c r="U499" s="194" t="str">
        <f t="shared" si="76"/>
        <v/>
      </c>
      <c r="V499" s="195" t="str">
        <f t="shared" si="73"/>
        <v/>
      </c>
      <c r="W499" s="336" t="str">
        <f t="shared" si="77"/>
        <v/>
      </c>
      <c r="X499" s="338" t="str">
        <f t="shared" si="78"/>
        <v/>
      </c>
      <c r="Y499" s="274"/>
      <c r="AR499" t="str">
        <f t="shared" si="79"/>
        <v/>
      </c>
      <c r="AS499" t="str">
        <f t="shared" si="80"/>
        <v/>
      </c>
    </row>
    <row r="500" spans="1:45">
      <c r="A500" s="291"/>
      <c r="B500" s="292"/>
      <c r="C500" s="293"/>
      <c r="D500" s="293"/>
      <c r="E500" s="293"/>
      <c r="F500" s="293"/>
      <c r="G500" s="294"/>
      <c r="H500" s="300"/>
      <c r="I500" s="295"/>
      <c r="J500" s="295"/>
      <c r="K500" s="296"/>
      <c r="L500" s="301"/>
      <c r="M500" s="297"/>
      <c r="N500" s="298"/>
      <c r="P500" s="190" t="str">
        <f>IF(R500 = "", "", COUNT(R$4:$R500))</f>
        <v/>
      </c>
      <c r="Q500" s="190" t="str">
        <f t="shared" si="71"/>
        <v/>
      </c>
      <c r="R500" s="191" t="str">
        <f t="shared" si="72"/>
        <v/>
      </c>
      <c r="S500" s="192" t="str">
        <f t="shared" si="74"/>
        <v/>
      </c>
      <c r="T500" s="193" t="str">
        <f t="shared" si="75"/>
        <v/>
      </c>
      <c r="U500" s="194" t="str">
        <f t="shared" si="76"/>
        <v/>
      </c>
      <c r="V500" s="195" t="str">
        <f t="shared" si="73"/>
        <v/>
      </c>
      <c r="W500" s="336" t="str">
        <f t="shared" si="77"/>
        <v/>
      </c>
      <c r="X500" s="338" t="str">
        <f t="shared" si="78"/>
        <v/>
      </c>
      <c r="Y500" s="274"/>
      <c r="AR500" t="str">
        <f t="shared" si="79"/>
        <v/>
      </c>
      <c r="AS500" t="str">
        <f t="shared" si="80"/>
        <v/>
      </c>
    </row>
    <row r="501" spans="1:45">
      <c r="A501" s="291"/>
      <c r="B501" s="292"/>
      <c r="C501" s="293"/>
      <c r="D501" s="293"/>
      <c r="E501" s="293"/>
      <c r="F501" s="293"/>
      <c r="G501" s="294"/>
      <c r="H501" s="300"/>
      <c r="I501" s="295"/>
      <c r="J501" s="295"/>
      <c r="K501" s="296"/>
      <c r="L501" s="301"/>
      <c r="M501" s="297"/>
      <c r="N501" s="298"/>
      <c r="P501" s="190" t="str">
        <f>IF(R501 = "", "", COUNT(R$4:$R501))</f>
        <v/>
      </c>
      <c r="Q501" s="190" t="str">
        <f t="shared" si="71"/>
        <v/>
      </c>
      <c r="R501" s="191" t="str">
        <f t="shared" si="72"/>
        <v/>
      </c>
      <c r="S501" s="192" t="str">
        <f t="shared" si="74"/>
        <v/>
      </c>
      <c r="T501" s="193" t="str">
        <f t="shared" si="75"/>
        <v/>
      </c>
      <c r="U501" s="194" t="str">
        <f t="shared" si="76"/>
        <v/>
      </c>
      <c r="V501" s="195" t="str">
        <f t="shared" si="73"/>
        <v/>
      </c>
      <c r="W501" s="336" t="str">
        <f t="shared" si="77"/>
        <v/>
      </c>
      <c r="X501" s="338" t="str">
        <f t="shared" si="78"/>
        <v/>
      </c>
      <c r="Y501" s="274"/>
      <c r="AR501" t="str">
        <f t="shared" si="79"/>
        <v/>
      </c>
      <c r="AS501" t="str">
        <f t="shared" si="80"/>
        <v/>
      </c>
    </row>
    <row r="502" spans="1:45">
      <c r="A502" s="291"/>
      <c r="B502" s="292"/>
      <c r="C502" s="293"/>
      <c r="D502" s="293"/>
      <c r="E502" s="293"/>
      <c r="F502" s="293"/>
      <c r="G502" s="294"/>
      <c r="H502" s="300"/>
      <c r="I502" s="295"/>
      <c r="J502" s="295"/>
      <c r="K502" s="296"/>
      <c r="L502" s="301"/>
      <c r="M502" s="297"/>
      <c r="N502" s="298"/>
      <c r="P502" s="190" t="str">
        <f>IF(R502 = "", "", COUNT(R$4:$R502))</f>
        <v/>
      </c>
      <c r="Q502" s="190" t="str">
        <f t="shared" si="71"/>
        <v/>
      </c>
      <c r="R502" s="191" t="str">
        <f t="shared" si="72"/>
        <v/>
      </c>
      <c r="S502" s="192" t="str">
        <f t="shared" si="74"/>
        <v/>
      </c>
      <c r="T502" s="193" t="str">
        <f t="shared" si="75"/>
        <v/>
      </c>
      <c r="U502" s="194" t="str">
        <f t="shared" si="76"/>
        <v/>
      </c>
      <c r="V502" s="195" t="str">
        <f t="shared" si="73"/>
        <v/>
      </c>
      <c r="W502" s="336" t="str">
        <f t="shared" si="77"/>
        <v/>
      </c>
      <c r="X502" s="338" t="str">
        <f t="shared" si="78"/>
        <v/>
      </c>
      <c r="Y502" s="274"/>
      <c r="AR502" t="str">
        <f t="shared" si="79"/>
        <v/>
      </c>
      <c r="AS502" t="str">
        <f t="shared" si="80"/>
        <v/>
      </c>
    </row>
    <row r="503" spans="1:45">
      <c r="A503" s="291"/>
      <c r="B503" s="292"/>
      <c r="C503" s="293"/>
      <c r="D503" s="293"/>
      <c r="E503" s="293"/>
      <c r="F503" s="293"/>
      <c r="G503" s="294"/>
      <c r="H503" s="300"/>
      <c r="I503" s="295"/>
      <c r="J503" s="295"/>
      <c r="K503" s="296"/>
      <c r="L503" s="301"/>
      <c r="M503" s="297"/>
      <c r="N503" s="298"/>
      <c r="P503" s="190" t="str">
        <f>IF(R503 = "", "", COUNT(R$4:$R503))</f>
        <v/>
      </c>
      <c r="Q503" s="190" t="str">
        <f t="shared" si="71"/>
        <v/>
      </c>
      <c r="R503" s="191" t="str">
        <f t="shared" si="72"/>
        <v/>
      </c>
      <c r="S503" s="192" t="str">
        <f t="shared" si="74"/>
        <v/>
      </c>
      <c r="T503" s="193" t="str">
        <f t="shared" si="75"/>
        <v/>
      </c>
      <c r="U503" s="194" t="str">
        <f t="shared" si="76"/>
        <v/>
      </c>
      <c r="V503" s="195" t="str">
        <f t="shared" si="73"/>
        <v/>
      </c>
      <c r="W503" s="336" t="str">
        <f t="shared" si="77"/>
        <v/>
      </c>
      <c r="X503" s="338" t="str">
        <f t="shared" si="78"/>
        <v/>
      </c>
      <c r="Y503" s="274"/>
      <c r="AR503" t="str">
        <f t="shared" si="79"/>
        <v/>
      </c>
      <c r="AS503" t="str">
        <f t="shared" si="80"/>
        <v/>
      </c>
    </row>
    <row r="504" spans="1:45">
      <c r="A504" s="291"/>
      <c r="B504" s="292"/>
      <c r="C504" s="293"/>
      <c r="D504" s="293"/>
      <c r="E504" s="293"/>
      <c r="F504" s="293"/>
      <c r="G504" s="294"/>
      <c r="H504" s="300"/>
      <c r="I504" s="295"/>
      <c r="J504" s="295"/>
      <c r="K504" s="296"/>
      <c r="L504" s="301"/>
      <c r="M504" s="297"/>
      <c r="N504" s="298"/>
      <c r="P504" s="190" t="str">
        <f>IF(R504 = "", "", COUNT(R$4:$R504))</f>
        <v/>
      </c>
      <c r="Q504" s="190" t="str">
        <f t="shared" si="71"/>
        <v/>
      </c>
      <c r="R504" s="191" t="str">
        <f t="shared" si="72"/>
        <v/>
      </c>
      <c r="S504" s="192" t="str">
        <f t="shared" si="74"/>
        <v/>
      </c>
      <c r="T504" s="193" t="str">
        <f t="shared" si="75"/>
        <v/>
      </c>
      <c r="U504" s="194" t="str">
        <f t="shared" si="76"/>
        <v/>
      </c>
      <c r="V504" s="195" t="str">
        <f t="shared" si="73"/>
        <v/>
      </c>
      <c r="W504" s="336" t="str">
        <f t="shared" si="77"/>
        <v/>
      </c>
      <c r="X504" s="338" t="str">
        <f t="shared" si="78"/>
        <v/>
      </c>
      <c r="Y504" s="274"/>
      <c r="AR504" t="str">
        <f t="shared" si="79"/>
        <v/>
      </c>
      <c r="AS504" t="str">
        <f t="shared" si="80"/>
        <v/>
      </c>
    </row>
    <row r="505" spans="1:45">
      <c r="A505" s="291"/>
      <c r="B505" s="292"/>
      <c r="C505" s="293"/>
      <c r="D505" s="293"/>
      <c r="E505" s="293"/>
      <c r="F505" s="293"/>
      <c r="G505" s="294"/>
      <c r="H505" s="300"/>
      <c r="I505" s="295"/>
      <c r="J505" s="295"/>
      <c r="K505" s="296"/>
      <c r="L505" s="301"/>
      <c r="M505" s="297"/>
      <c r="N505" s="298"/>
      <c r="P505" s="190" t="str">
        <f>IF(R505 = "", "", COUNT(R$4:$R505))</f>
        <v/>
      </c>
      <c r="Q505" s="190" t="str">
        <f t="shared" si="71"/>
        <v/>
      </c>
      <c r="R505" s="191" t="str">
        <f t="shared" si="72"/>
        <v/>
      </c>
      <c r="S505" s="192" t="str">
        <f t="shared" si="74"/>
        <v/>
      </c>
      <c r="T505" s="193" t="str">
        <f t="shared" si="75"/>
        <v/>
      </c>
      <c r="U505" s="194" t="str">
        <f t="shared" si="76"/>
        <v/>
      </c>
      <c r="V505" s="195" t="str">
        <f t="shared" si="73"/>
        <v/>
      </c>
      <c r="W505" s="336" t="str">
        <f t="shared" si="77"/>
        <v/>
      </c>
      <c r="X505" s="338" t="str">
        <f t="shared" si="78"/>
        <v/>
      </c>
      <c r="Y505" s="274"/>
      <c r="AR505" t="str">
        <f t="shared" si="79"/>
        <v/>
      </c>
      <c r="AS505" t="str">
        <f t="shared" si="80"/>
        <v/>
      </c>
    </row>
    <row r="506" spans="1:45">
      <c r="A506" s="291"/>
      <c r="B506" s="292"/>
      <c r="C506" s="293"/>
      <c r="D506" s="293"/>
      <c r="E506" s="293"/>
      <c r="F506" s="293"/>
      <c r="G506" s="294"/>
      <c r="H506" s="300"/>
      <c r="I506" s="295"/>
      <c r="J506" s="295"/>
      <c r="K506" s="296"/>
      <c r="L506" s="301"/>
      <c r="M506" s="297"/>
      <c r="N506" s="298"/>
      <c r="P506" s="190" t="str">
        <f>IF(R506 = "", "", COUNT(R$4:$R506))</f>
        <v/>
      </c>
      <c r="Q506" s="190" t="str">
        <f t="shared" si="71"/>
        <v/>
      </c>
      <c r="R506" s="191" t="str">
        <f t="shared" si="72"/>
        <v/>
      </c>
      <c r="S506" s="192" t="str">
        <f t="shared" si="74"/>
        <v/>
      </c>
      <c r="T506" s="193" t="str">
        <f t="shared" si="75"/>
        <v/>
      </c>
      <c r="U506" s="194" t="str">
        <f t="shared" si="76"/>
        <v/>
      </c>
      <c r="V506" s="195" t="str">
        <f t="shared" si="73"/>
        <v/>
      </c>
      <c r="W506" s="336" t="str">
        <f t="shared" si="77"/>
        <v/>
      </c>
      <c r="X506" s="338" t="str">
        <f t="shared" si="78"/>
        <v/>
      </c>
      <c r="Y506" s="274"/>
      <c r="AR506" t="str">
        <f t="shared" si="79"/>
        <v/>
      </c>
      <c r="AS506" t="str">
        <f t="shared" si="80"/>
        <v/>
      </c>
    </row>
    <row r="507" spans="1:45">
      <c r="A507" s="291"/>
      <c r="B507" s="292"/>
      <c r="C507" s="293"/>
      <c r="D507" s="293"/>
      <c r="E507" s="293"/>
      <c r="F507" s="293"/>
      <c r="G507" s="294"/>
      <c r="H507" s="300"/>
      <c r="I507" s="295"/>
      <c r="J507" s="295"/>
      <c r="K507" s="296"/>
      <c r="L507" s="301"/>
      <c r="M507" s="297"/>
      <c r="N507" s="298"/>
      <c r="P507" s="190" t="str">
        <f>IF(R507 = "", "", COUNT(R$4:$R507))</f>
        <v/>
      </c>
      <c r="Q507" s="190" t="str">
        <f t="shared" si="71"/>
        <v/>
      </c>
      <c r="R507" s="191" t="str">
        <f t="shared" si="72"/>
        <v/>
      </c>
      <c r="S507" s="192" t="str">
        <f t="shared" si="74"/>
        <v/>
      </c>
      <c r="T507" s="193" t="str">
        <f t="shared" si="75"/>
        <v/>
      </c>
      <c r="U507" s="194" t="str">
        <f t="shared" si="76"/>
        <v/>
      </c>
      <c r="V507" s="195" t="str">
        <f t="shared" si="73"/>
        <v/>
      </c>
      <c r="W507" s="336" t="str">
        <f t="shared" si="77"/>
        <v/>
      </c>
      <c r="X507" s="338" t="str">
        <f t="shared" si="78"/>
        <v/>
      </c>
      <c r="Y507" s="274"/>
      <c r="AR507" t="str">
        <f t="shared" si="79"/>
        <v/>
      </c>
      <c r="AS507" t="str">
        <f t="shared" si="80"/>
        <v/>
      </c>
    </row>
    <row r="508" spans="1:45">
      <c r="A508" s="291"/>
      <c r="B508" s="292"/>
      <c r="C508" s="293"/>
      <c r="D508" s="293"/>
      <c r="E508" s="293"/>
      <c r="F508" s="293"/>
      <c r="G508" s="294"/>
      <c r="H508" s="300"/>
      <c r="I508" s="295"/>
      <c r="J508" s="295"/>
      <c r="K508" s="296"/>
      <c r="L508" s="301"/>
      <c r="M508" s="297"/>
      <c r="N508" s="298"/>
      <c r="P508" s="190" t="str">
        <f>IF(R508 = "", "", COUNT(R$4:$R508))</f>
        <v/>
      </c>
      <c r="Q508" s="190" t="str">
        <f t="shared" si="71"/>
        <v/>
      </c>
      <c r="R508" s="191" t="str">
        <f t="shared" si="72"/>
        <v/>
      </c>
      <c r="S508" s="192" t="str">
        <f t="shared" si="74"/>
        <v/>
      </c>
      <c r="T508" s="193" t="str">
        <f t="shared" si="75"/>
        <v/>
      </c>
      <c r="U508" s="194" t="str">
        <f t="shared" si="76"/>
        <v/>
      </c>
      <c r="V508" s="195" t="str">
        <f t="shared" si="73"/>
        <v/>
      </c>
      <c r="W508" s="336" t="str">
        <f t="shared" si="77"/>
        <v/>
      </c>
      <c r="X508" s="338" t="str">
        <f t="shared" si="78"/>
        <v/>
      </c>
      <c r="Y508" s="274"/>
      <c r="AR508" t="str">
        <f t="shared" si="79"/>
        <v/>
      </c>
      <c r="AS508" t="str">
        <f t="shared" si="80"/>
        <v/>
      </c>
    </row>
    <row r="509" spans="1:45">
      <c r="A509" s="291"/>
      <c r="B509" s="292"/>
      <c r="C509" s="293"/>
      <c r="D509" s="293"/>
      <c r="E509" s="293"/>
      <c r="F509" s="293"/>
      <c r="G509" s="294"/>
      <c r="H509" s="300"/>
      <c r="I509" s="295"/>
      <c r="J509" s="295"/>
      <c r="K509" s="296"/>
      <c r="L509" s="301"/>
      <c r="M509" s="297"/>
      <c r="N509" s="298"/>
      <c r="P509" s="190" t="str">
        <f>IF(R509 = "", "", COUNT(R$4:$R509))</f>
        <v/>
      </c>
      <c r="Q509" s="190" t="str">
        <f t="shared" si="71"/>
        <v/>
      </c>
      <c r="R509" s="191" t="str">
        <f t="shared" si="72"/>
        <v/>
      </c>
      <c r="S509" s="192" t="str">
        <f t="shared" si="74"/>
        <v/>
      </c>
      <c r="T509" s="193" t="str">
        <f t="shared" si="75"/>
        <v/>
      </c>
      <c r="U509" s="194" t="str">
        <f t="shared" si="76"/>
        <v/>
      </c>
      <c r="V509" s="195" t="str">
        <f t="shared" si="73"/>
        <v/>
      </c>
      <c r="W509" s="336" t="str">
        <f t="shared" si="77"/>
        <v/>
      </c>
      <c r="X509" s="338" t="str">
        <f t="shared" si="78"/>
        <v/>
      </c>
      <c r="Y509" s="274"/>
      <c r="AR509" t="str">
        <f t="shared" si="79"/>
        <v/>
      </c>
      <c r="AS509" t="str">
        <f t="shared" si="80"/>
        <v/>
      </c>
    </row>
    <row r="510" spans="1:45">
      <c r="A510" s="291"/>
      <c r="B510" s="292"/>
      <c r="C510" s="293"/>
      <c r="D510" s="293"/>
      <c r="E510" s="293"/>
      <c r="F510" s="293"/>
      <c r="G510" s="294"/>
      <c r="H510" s="300"/>
      <c r="I510" s="295"/>
      <c r="J510" s="295"/>
      <c r="K510" s="296"/>
      <c r="L510" s="301"/>
      <c r="M510" s="297"/>
      <c r="N510" s="298"/>
      <c r="P510" s="190" t="str">
        <f>IF(R510 = "", "", COUNT(R$4:$R510))</f>
        <v/>
      </c>
      <c r="Q510" s="190" t="str">
        <f t="shared" si="71"/>
        <v/>
      </c>
      <c r="R510" s="191" t="str">
        <f t="shared" si="72"/>
        <v/>
      </c>
      <c r="S510" s="192" t="str">
        <f t="shared" si="74"/>
        <v/>
      </c>
      <c r="T510" s="193" t="str">
        <f t="shared" si="75"/>
        <v/>
      </c>
      <c r="U510" s="194" t="str">
        <f t="shared" si="76"/>
        <v/>
      </c>
      <c r="V510" s="195" t="str">
        <f t="shared" si="73"/>
        <v/>
      </c>
      <c r="W510" s="336" t="str">
        <f t="shared" si="77"/>
        <v/>
      </c>
      <c r="X510" s="338" t="str">
        <f t="shared" si="78"/>
        <v/>
      </c>
      <c r="Y510" s="274"/>
      <c r="AR510" t="str">
        <f t="shared" si="79"/>
        <v/>
      </c>
      <c r="AS510" t="str">
        <f t="shared" si="80"/>
        <v/>
      </c>
    </row>
    <row r="511" spans="1:45">
      <c r="A511" s="291"/>
      <c r="B511" s="292"/>
      <c r="C511" s="293"/>
      <c r="D511" s="293"/>
      <c r="E511" s="293"/>
      <c r="F511" s="293"/>
      <c r="G511" s="294"/>
      <c r="H511" s="300"/>
      <c r="I511" s="295"/>
      <c r="J511" s="295"/>
      <c r="K511" s="296"/>
      <c r="L511" s="301"/>
      <c r="M511" s="297"/>
      <c r="N511" s="298"/>
      <c r="P511" s="190" t="str">
        <f>IF(R511 = "", "", COUNT(R$4:$R511))</f>
        <v/>
      </c>
      <c r="Q511" s="190" t="str">
        <f t="shared" si="71"/>
        <v/>
      </c>
      <c r="R511" s="191" t="str">
        <f t="shared" si="72"/>
        <v/>
      </c>
      <c r="S511" s="192" t="str">
        <f t="shared" si="74"/>
        <v/>
      </c>
      <c r="T511" s="193" t="str">
        <f t="shared" si="75"/>
        <v/>
      </c>
      <c r="U511" s="194" t="str">
        <f t="shared" si="76"/>
        <v/>
      </c>
      <c r="V511" s="195" t="str">
        <f t="shared" si="73"/>
        <v/>
      </c>
      <c r="W511" s="336" t="str">
        <f t="shared" si="77"/>
        <v/>
      </c>
      <c r="X511" s="338" t="str">
        <f t="shared" si="78"/>
        <v/>
      </c>
      <c r="Y511" s="274"/>
      <c r="AR511" t="str">
        <f t="shared" si="79"/>
        <v/>
      </c>
      <c r="AS511" t="str">
        <f t="shared" si="80"/>
        <v/>
      </c>
    </row>
    <row r="512" spans="1:45">
      <c r="A512" s="291"/>
      <c r="B512" s="292"/>
      <c r="C512" s="293"/>
      <c r="D512" s="293"/>
      <c r="E512" s="293"/>
      <c r="F512" s="293"/>
      <c r="G512" s="294"/>
      <c r="H512" s="300"/>
      <c r="I512" s="295"/>
      <c r="J512" s="295"/>
      <c r="K512" s="296"/>
      <c r="L512" s="301"/>
      <c r="M512" s="297"/>
      <c r="N512" s="298"/>
      <c r="P512" s="190" t="str">
        <f>IF(R512 = "", "", COUNT(R$4:$R512))</f>
        <v/>
      </c>
      <c r="Q512" s="190" t="str">
        <f t="shared" si="71"/>
        <v/>
      </c>
      <c r="R512" s="191" t="str">
        <f t="shared" si="72"/>
        <v/>
      </c>
      <c r="S512" s="192" t="str">
        <f t="shared" si="74"/>
        <v/>
      </c>
      <c r="T512" s="193" t="str">
        <f t="shared" si="75"/>
        <v/>
      </c>
      <c r="U512" s="194" t="str">
        <f t="shared" si="76"/>
        <v/>
      </c>
      <c r="V512" s="195" t="str">
        <f t="shared" si="73"/>
        <v/>
      </c>
      <c r="W512" s="336" t="str">
        <f t="shared" si="77"/>
        <v/>
      </c>
      <c r="X512" s="338" t="str">
        <f t="shared" si="78"/>
        <v/>
      </c>
      <c r="Y512" s="274"/>
      <c r="AR512" t="str">
        <f t="shared" si="79"/>
        <v/>
      </c>
      <c r="AS512" t="str">
        <f t="shared" si="80"/>
        <v/>
      </c>
    </row>
    <row r="513" spans="1:45">
      <c r="A513" s="291"/>
      <c r="B513" s="292"/>
      <c r="C513" s="293"/>
      <c r="D513" s="293"/>
      <c r="E513" s="293"/>
      <c r="F513" s="293"/>
      <c r="G513" s="294"/>
      <c r="H513" s="300"/>
      <c r="I513" s="295"/>
      <c r="J513" s="295"/>
      <c r="K513" s="296"/>
      <c r="L513" s="301"/>
      <c r="M513" s="297"/>
      <c r="N513" s="298"/>
      <c r="P513" s="190" t="str">
        <f>IF(R513 = "", "", COUNT(R$4:$R513))</f>
        <v/>
      </c>
      <c r="Q513" s="190" t="str">
        <f t="shared" si="71"/>
        <v/>
      </c>
      <c r="R513" s="191" t="str">
        <f t="shared" si="72"/>
        <v/>
      </c>
      <c r="S513" s="192" t="str">
        <f t="shared" si="74"/>
        <v/>
      </c>
      <c r="T513" s="193" t="str">
        <f t="shared" si="75"/>
        <v/>
      </c>
      <c r="U513" s="194" t="str">
        <f t="shared" si="76"/>
        <v/>
      </c>
      <c r="V513" s="195" t="str">
        <f t="shared" si="73"/>
        <v/>
      </c>
      <c r="W513" s="336" t="str">
        <f t="shared" si="77"/>
        <v/>
      </c>
      <c r="X513" s="338" t="str">
        <f t="shared" si="78"/>
        <v/>
      </c>
      <c r="Y513" s="274"/>
      <c r="AR513" t="str">
        <f t="shared" si="79"/>
        <v/>
      </c>
      <c r="AS513" t="str">
        <f t="shared" si="80"/>
        <v/>
      </c>
    </row>
    <row r="514" spans="1:45">
      <c r="A514" s="291"/>
      <c r="B514" s="292"/>
      <c r="C514" s="293"/>
      <c r="D514" s="293"/>
      <c r="E514" s="293"/>
      <c r="F514" s="293"/>
      <c r="G514" s="294"/>
      <c r="H514" s="300"/>
      <c r="I514" s="295"/>
      <c r="J514" s="295"/>
      <c r="K514" s="296"/>
      <c r="L514" s="301"/>
      <c r="M514" s="297"/>
      <c r="N514" s="298"/>
      <c r="P514" s="190" t="str">
        <f>IF(R514 = "", "", COUNT(R$4:$R514))</f>
        <v/>
      </c>
      <c r="Q514" s="190" t="str">
        <f t="shared" si="71"/>
        <v/>
      </c>
      <c r="R514" s="191" t="str">
        <f t="shared" si="72"/>
        <v/>
      </c>
      <c r="S514" s="192" t="str">
        <f t="shared" si="74"/>
        <v/>
      </c>
      <c r="T514" s="193" t="str">
        <f t="shared" si="75"/>
        <v/>
      </c>
      <c r="U514" s="194" t="str">
        <f t="shared" si="76"/>
        <v/>
      </c>
      <c r="V514" s="195" t="str">
        <f t="shared" si="73"/>
        <v/>
      </c>
      <c r="W514" s="336" t="str">
        <f t="shared" si="77"/>
        <v/>
      </c>
      <c r="X514" s="338" t="str">
        <f t="shared" si="78"/>
        <v/>
      </c>
      <c r="Y514" s="274"/>
      <c r="AR514" t="str">
        <f t="shared" si="79"/>
        <v/>
      </c>
      <c r="AS514" t="str">
        <f t="shared" si="80"/>
        <v/>
      </c>
    </row>
    <row r="515" spans="1:45">
      <c r="A515" s="291"/>
      <c r="B515" s="292"/>
      <c r="C515" s="293"/>
      <c r="D515" s="293"/>
      <c r="E515" s="293"/>
      <c r="F515" s="293"/>
      <c r="G515" s="294"/>
      <c r="H515" s="300"/>
      <c r="I515" s="295"/>
      <c r="J515" s="295"/>
      <c r="K515" s="296"/>
      <c r="L515" s="301"/>
      <c r="M515" s="297"/>
      <c r="N515" s="298"/>
      <c r="P515" s="190" t="str">
        <f>IF(R515 = "", "", COUNT(R$4:$R515))</f>
        <v/>
      </c>
      <c r="Q515" s="190" t="str">
        <f t="shared" si="71"/>
        <v/>
      </c>
      <c r="R515" s="191" t="str">
        <f t="shared" si="72"/>
        <v/>
      </c>
      <c r="S515" s="192" t="str">
        <f t="shared" si="74"/>
        <v/>
      </c>
      <c r="T515" s="193" t="str">
        <f t="shared" si="75"/>
        <v/>
      </c>
      <c r="U515" s="194" t="str">
        <f t="shared" si="76"/>
        <v/>
      </c>
      <c r="V515" s="195" t="str">
        <f t="shared" si="73"/>
        <v/>
      </c>
      <c r="W515" s="336" t="str">
        <f t="shared" si="77"/>
        <v/>
      </c>
      <c r="X515" s="338" t="str">
        <f t="shared" si="78"/>
        <v/>
      </c>
      <c r="Y515" s="274"/>
      <c r="AR515" t="str">
        <f t="shared" si="79"/>
        <v/>
      </c>
      <c r="AS515" t="str">
        <f t="shared" si="80"/>
        <v/>
      </c>
    </row>
    <row r="516" spans="1:45">
      <c r="A516" s="291"/>
      <c r="B516" s="292"/>
      <c r="C516" s="293"/>
      <c r="D516" s="293"/>
      <c r="E516" s="293"/>
      <c r="F516" s="293"/>
      <c r="G516" s="294"/>
      <c r="H516" s="300"/>
      <c r="I516" s="295"/>
      <c r="J516" s="295"/>
      <c r="K516" s="296"/>
      <c r="L516" s="301"/>
      <c r="M516" s="297"/>
      <c r="N516" s="298"/>
      <c r="P516" s="190" t="str">
        <f>IF(R516 = "", "", COUNT(R$4:$R516))</f>
        <v/>
      </c>
      <c r="Q516" s="190" t="str">
        <f t="shared" ref="Q516:Q579" si="81">IF(C516 &gt; 0, YEAR(B516), "")</f>
        <v/>
      </c>
      <c r="R516" s="191" t="str">
        <f t="shared" ref="R516:R579" si="82">IF(A516="", "", IF(G516="",1,IF(G516="O",1,IF(G516="C",8.4,IF(G516="B",8.4,IF(G516="A",76.8,IF(G516="K",76.8,"ERR")))))))</f>
        <v/>
      </c>
      <c r="S516" s="192" t="str">
        <f t="shared" si="74"/>
        <v/>
      </c>
      <c r="T516" s="193" t="str">
        <f t="shared" si="75"/>
        <v/>
      </c>
      <c r="U516" s="194" t="str">
        <f t="shared" si="76"/>
        <v/>
      </c>
      <c r="V516" s="195" t="str">
        <f t="shared" ref="V516:V579" si="83">IF(IF(M516&lt;&gt;"",G516,"")=0, "O", IF(M516&lt;&gt;"",G516,""))</f>
        <v/>
      </c>
      <c r="W516" s="336" t="str">
        <f t="shared" si="77"/>
        <v/>
      </c>
      <c r="X516" s="338" t="str">
        <f t="shared" si="78"/>
        <v/>
      </c>
      <c r="Y516" s="274"/>
      <c r="AR516" t="str">
        <f t="shared" si="79"/>
        <v/>
      </c>
      <c r="AS516" t="str">
        <f t="shared" si="80"/>
        <v/>
      </c>
    </row>
    <row r="517" spans="1:45">
      <c r="A517" s="291"/>
      <c r="B517" s="292"/>
      <c r="C517" s="293"/>
      <c r="D517" s="293"/>
      <c r="E517" s="293"/>
      <c r="F517" s="293"/>
      <c r="G517" s="294"/>
      <c r="H517" s="300"/>
      <c r="I517" s="295"/>
      <c r="J517" s="295"/>
      <c r="K517" s="296"/>
      <c r="L517" s="301"/>
      <c r="M517" s="297"/>
      <c r="N517" s="298"/>
      <c r="P517" s="190" t="str">
        <f>IF(R517 = "", "", COUNT(R$4:$R517))</f>
        <v/>
      </c>
      <c r="Q517" s="190" t="str">
        <f t="shared" si="81"/>
        <v/>
      </c>
      <c r="R517" s="191" t="str">
        <f t="shared" si="82"/>
        <v/>
      </c>
      <c r="S517" s="192" t="str">
        <f t="shared" ref="S517:S580" si="84">IF(L517&lt;&gt;"",R517,"")</f>
        <v/>
      </c>
      <c r="T517" s="193" t="str">
        <f t="shared" ref="T517:T580" si="85">IF(IF(L517&lt;&gt;"",G517,"")=0, "O", IF(L517&lt;&gt;"",G517,""))</f>
        <v/>
      </c>
      <c r="U517" s="194" t="str">
        <f t="shared" ref="U517:U580" si="86">IF(M517&lt;&gt;"",R517,"")</f>
        <v/>
      </c>
      <c r="V517" s="195" t="str">
        <f t="shared" si="83"/>
        <v/>
      </c>
      <c r="W517" s="336" t="str">
        <f t="shared" ref="W517:W580" si="87">IF(N517&lt;&gt;"",R517,"")</f>
        <v/>
      </c>
      <c r="X517" s="338" t="str">
        <f t="shared" ref="X517:X580" si="88">IF(IF(N517&lt;&gt;"",G517,"")=0, "O", IF(N517&lt;&gt;"",G517,""))</f>
        <v/>
      </c>
      <c r="Y517" s="274"/>
      <c r="AR517" t="str">
        <f t="shared" ref="AR517:AR580" si="89">IF(P517&gt;0, P517, "")</f>
        <v/>
      </c>
      <c r="AS517" t="str">
        <f t="shared" ref="AS517:AS580" si="90">IF(OR(L517="Y",M517="Y",N517="Y"),"Y","")</f>
        <v/>
      </c>
    </row>
    <row r="518" spans="1:45">
      <c r="A518" s="291"/>
      <c r="B518" s="292"/>
      <c r="C518" s="293"/>
      <c r="D518" s="293"/>
      <c r="E518" s="293"/>
      <c r="F518" s="293"/>
      <c r="G518" s="294"/>
      <c r="H518" s="300"/>
      <c r="I518" s="295"/>
      <c r="J518" s="295"/>
      <c r="K518" s="296"/>
      <c r="L518" s="301"/>
      <c r="M518" s="297"/>
      <c r="N518" s="298"/>
      <c r="P518" s="190" t="str">
        <f>IF(R518 = "", "", COUNT(R$4:$R518))</f>
        <v/>
      </c>
      <c r="Q518" s="190" t="str">
        <f t="shared" si="81"/>
        <v/>
      </c>
      <c r="R518" s="191" t="str">
        <f t="shared" si="82"/>
        <v/>
      </c>
      <c r="S518" s="192" t="str">
        <f t="shared" si="84"/>
        <v/>
      </c>
      <c r="T518" s="193" t="str">
        <f t="shared" si="85"/>
        <v/>
      </c>
      <c r="U518" s="194" t="str">
        <f t="shared" si="86"/>
        <v/>
      </c>
      <c r="V518" s="195" t="str">
        <f t="shared" si="83"/>
        <v/>
      </c>
      <c r="W518" s="336" t="str">
        <f t="shared" si="87"/>
        <v/>
      </c>
      <c r="X518" s="338" t="str">
        <f t="shared" si="88"/>
        <v/>
      </c>
      <c r="Y518" s="274"/>
      <c r="AR518" t="str">
        <f t="shared" si="89"/>
        <v/>
      </c>
      <c r="AS518" t="str">
        <f t="shared" si="90"/>
        <v/>
      </c>
    </row>
    <row r="519" spans="1:45">
      <c r="A519" s="291"/>
      <c r="B519" s="292"/>
      <c r="C519" s="293"/>
      <c r="D519" s="293"/>
      <c r="E519" s="293"/>
      <c r="F519" s="293"/>
      <c r="G519" s="294"/>
      <c r="H519" s="300"/>
      <c r="I519" s="295"/>
      <c r="J519" s="295"/>
      <c r="K519" s="296"/>
      <c r="L519" s="301"/>
      <c r="M519" s="297"/>
      <c r="N519" s="298"/>
      <c r="P519" s="190" t="str">
        <f>IF(R519 = "", "", COUNT(R$4:$R519))</f>
        <v/>
      </c>
      <c r="Q519" s="190" t="str">
        <f t="shared" si="81"/>
        <v/>
      </c>
      <c r="R519" s="191" t="str">
        <f t="shared" si="82"/>
        <v/>
      </c>
      <c r="S519" s="192" t="str">
        <f t="shared" si="84"/>
        <v/>
      </c>
      <c r="T519" s="193" t="str">
        <f t="shared" si="85"/>
        <v/>
      </c>
      <c r="U519" s="194" t="str">
        <f t="shared" si="86"/>
        <v/>
      </c>
      <c r="V519" s="195" t="str">
        <f t="shared" si="83"/>
        <v/>
      </c>
      <c r="W519" s="336" t="str">
        <f t="shared" si="87"/>
        <v/>
      </c>
      <c r="X519" s="338" t="str">
        <f t="shared" si="88"/>
        <v/>
      </c>
      <c r="Y519" s="274"/>
      <c r="AR519" t="str">
        <f t="shared" si="89"/>
        <v/>
      </c>
      <c r="AS519" t="str">
        <f t="shared" si="90"/>
        <v/>
      </c>
    </row>
    <row r="520" spans="1:45">
      <c r="A520" s="291"/>
      <c r="B520" s="292"/>
      <c r="C520" s="293"/>
      <c r="D520" s="293"/>
      <c r="E520" s="293"/>
      <c r="F520" s="293"/>
      <c r="G520" s="294"/>
      <c r="H520" s="300"/>
      <c r="I520" s="295"/>
      <c r="J520" s="295"/>
      <c r="K520" s="296"/>
      <c r="L520" s="301"/>
      <c r="M520" s="297"/>
      <c r="N520" s="298"/>
      <c r="P520" s="190" t="str">
        <f>IF(R520 = "", "", COUNT(R$4:$R520))</f>
        <v/>
      </c>
      <c r="Q520" s="190" t="str">
        <f t="shared" si="81"/>
        <v/>
      </c>
      <c r="R520" s="191" t="str">
        <f t="shared" si="82"/>
        <v/>
      </c>
      <c r="S520" s="192" t="str">
        <f t="shared" si="84"/>
        <v/>
      </c>
      <c r="T520" s="193" t="str">
        <f t="shared" si="85"/>
        <v/>
      </c>
      <c r="U520" s="194" t="str">
        <f t="shared" si="86"/>
        <v/>
      </c>
      <c r="V520" s="195" t="str">
        <f t="shared" si="83"/>
        <v/>
      </c>
      <c r="W520" s="336" t="str">
        <f t="shared" si="87"/>
        <v/>
      </c>
      <c r="X520" s="338" t="str">
        <f t="shared" si="88"/>
        <v/>
      </c>
      <c r="Y520" s="274"/>
      <c r="AR520" t="str">
        <f t="shared" si="89"/>
        <v/>
      </c>
      <c r="AS520" t="str">
        <f t="shared" si="90"/>
        <v/>
      </c>
    </row>
    <row r="521" spans="1:45">
      <c r="A521" s="291"/>
      <c r="B521" s="292"/>
      <c r="C521" s="293"/>
      <c r="D521" s="293"/>
      <c r="E521" s="293"/>
      <c r="F521" s="293"/>
      <c r="G521" s="294"/>
      <c r="H521" s="300"/>
      <c r="I521" s="295"/>
      <c r="J521" s="295"/>
      <c r="K521" s="296"/>
      <c r="L521" s="301"/>
      <c r="M521" s="297"/>
      <c r="N521" s="298"/>
      <c r="P521" s="190" t="str">
        <f>IF(R521 = "", "", COUNT(R$4:$R521))</f>
        <v/>
      </c>
      <c r="Q521" s="190" t="str">
        <f t="shared" si="81"/>
        <v/>
      </c>
      <c r="R521" s="191" t="str">
        <f t="shared" si="82"/>
        <v/>
      </c>
      <c r="S521" s="192" t="str">
        <f t="shared" si="84"/>
        <v/>
      </c>
      <c r="T521" s="193" t="str">
        <f t="shared" si="85"/>
        <v/>
      </c>
      <c r="U521" s="194" t="str">
        <f t="shared" si="86"/>
        <v/>
      </c>
      <c r="V521" s="195" t="str">
        <f t="shared" si="83"/>
        <v/>
      </c>
      <c r="W521" s="336" t="str">
        <f t="shared" si="87"/>
        <v/>
      </c>
      <c r="X521" s="338" t="str">
        <f t="shared" si="88"/>
        <v/>
      </c>
      <c r="Y521" s="274"/>
      <c r="AR521" t="str">
        <f t="shared" si="89"/>
        <v/>
      </c>
      <c r="AS521" t="str">
        <f t="shared" si="90"/>
        <v/>
      </c>
    </row>
    <row r="522" spans="1:45">
      <c r="A522" s="291"/>
      <c r="B522" s="292"/>
      <c r="C522" s="293"/>
      <c r="D522" s="293"/>
      <c r="E522" s="293"/>
      <c r="F522" s="293"/>
      <c r="G522" s="294"/>
      <c r="H522" s="300"/>
      <c r="I522" s="295"/>
      <c r="J522" s="295"/>
      <c r="K522" s="296"/>
      <c r="L522" s="301"/>
      <c r="M522" s="297"/>
      <c r="N522" s="298"/>
      <c r="P522" s="190" t="str">
        <f>IF(R522 = "", "", COUNT(R$4:$R522))</f>
        <v/>
      </c>
      <c r="Q522" s="190" t="str">
        <f t="shared" si="81"/>
        <v/>
      </c>
      <c r="R522" s="191" t="str">
        <f t="shared" si="82"/>
        <v/>
      </c>
      <c r="S522" s="192" t="str">
        <f t="shared" si="84"/>
        <v/>
      </c>
      <c r="T522" s="193" t="str">
        <f t="shared" si="85"/>
        <v/>
      </c>
      <c r="U522" s="194" t="str">
        <f t="shared" si="86"/>
        <v/>
      </c>
      <c r="V522" s="195" t="str">
        <f t="shared" si="83"/>
        <v/>
      </c>
      <c r="W522" s="336" t="str">
        <f t="shared" si="87"/>
        <v/>
      </c>
      <c r="X522" s="338" t="str">
        <f t="shared" si="88"/>
        <v/>
      </c>
      <c r="Y522" s="274"/>
      <c r="AR522" t="str">
        <f t="shared" si="89"/>
        <v/>
      </c>
      <c r="AS522" t="str">
        <f t="shared" si="90"/>
        <v/>
      </c>
    </row>
    <row r="523" spans="1:45">
      <c r="A523" s="291"/>
      <c r="B523" s="292"/>
      <c r="C523" s="293"/>
      <c r="D523" s="293"/>
      <c r="E523" s="293"/>
      <c r="F523" s="293"/>
      <c r="G523" s="294"/>
      <c r="H523" s="300"/>
      <c r="I523" s="295"/>
      <c r="J523" s="295"/>
      <c r="K523" s="296"/>
      <c r="L523" s="301"/>
      <c r="M523" s="297"/>
      <c r="N523" s="298"/>
      <c r="P523" s="190" t="str">
        <f>IF(R523 = "", "", COUNT(R$4:$R523))</f>
        <v/>
      </c>
      <c r="Q523" s="190" t="str">
        <f t="shared" si="81"/>
        <v/>
      </c>
      <c r="R523" s="191" t="str">
        <f t="shared" si="82"/>
        <v/>
      </c>
      <c r="S523" s="192" t="str">
        <f t="shared" si="84"/>
        <v/>
      </c>
      <c r="T523" s="193" t="str">
        <f t="shared" si="85"/>
        <v/>
      </c>
      <c r="U523" s="194" t="str">
        <f t="shared" si="86"/>
        <v/>
      </c>
      <c r="V523" s="195" t="str">
        <f t="shared" si="83"/>
        <v/>
      </c>
      <c r="W523" s="336" t="str">
        <f t="shared" si="87"/>
        <v/>
      </c>
      <c r="X523" s="338" t="str">
        <f t="shared" si="88"/>
        <v/>
      </c>
      <c r="Y523" s="274"/>
      <c r="AR523" t="str">
        <f t="shared" si="89"/>
        <v/>
      </c>
      <c r="AS523" t="str">
        <f t="shared" si="90"/>
        <v/>
      </c>
    </row>
    <row r="524" spans="1:45">
      <c r="A524" s="291"/>
      <c r="B524" s="292"/>
      <c r="C524" s="293"/>
      <c r="D524" s="293"/>
      <c r="E524" s="293"/>
      <c r="F524" s="293"/>
      <c r="G524" s="294"/>
      <c r="H524" s="300"/>
      <c r="I524" s="295"/>
      <c r="J524" s="295"/>
      <c r="K524" s="296"/>
      <c r="L524" s="301"/>
      <c r="M524" s="297"/>
      <c r="N524" s="298"/>
      <c r="P524" s="190" t="str">
        <f>IF(R524 = "", "", COUNT(R$4:$R524))</f>
        <v/>
      </c>
      <c r="Q524" s="190" t="str">
        <f t="shared" si="81"/>
        <v/>
      </c>
      <c r="R524" s="191" t="str">
        <f t="shared" si="82"/>
        <v/>
      </c>
      <c r="S524" s="192" t="str">
        <f t="shared" si="84"/>
        <v/>
      </c>
      <c r="T524" s="193" t="str">
        <f t="shared" si="85"/>
        <v/>
      </c>
      <c r="U524" s="194" t="str">
        <f t="shared" si="86"/>
        <v/>
      </c>
      <c r="V524" s="195" t="str">
        <f t="shared" si="83"/>
        <v/>
      </c>
      <c r="W524" s="336" t="str">
        <f t="shared" si="87"/>
        <v/>
      </c>
      <c r="X524" s="338" t="str">
        <f t="shared" si="88"/>
        <v/>
      </c>
      <c r="Y524" s="274"/>
      <c r="AR524" t="str">
        <f t="shared" si="89"/>
        <v/>
      </c>
      <c r="AS524" t="str">
        <f t="shared" si="90"/>
        <v/>
      </c>
    </row>
    <row r="525" spans="1:45">
      <c r="A525" s="291"/>
      <c r="B525" s="292"/>
      <c r="C525" s="293"/>
      <c r="D525" s="293"/>
      <c r="E525" s="293"/>
      <c r="F525" s="293"/>
      <c r="G525" s="294"/>
      <c r="H525" s="300"/>
      <c r="I525" s="295"/>
      <c r="J525" s="295"/>
      <c r="K525" s="296"/>
      <c r="L525" s="301"/>
      <c r="M525" s="297"/>
      <c r="N525" s="298"/>
      <c r="P525" s="190" t="str">
        <f>IF(R525 = "", "", COUNT(R$4:$R525))</f>
        <v/>
      </c>
      <c r="Q525" s="190" t="str">
        <f t="shared" si="81"/>
        <v/>
      </c>
      <c r="R525" s="191" t="str">
        <f t="shared" si="82"/>
        <v/>
      </c>
      <c r="S525" s="192" t="str">
        <f t="shared" si="84"/>
        <v/>
      </c>
      <c r="T525" s="193" t="str">
        <f t="shared" si="85"/>
        <v/>
      </c>
      <c r="U525" s="194" t="str">
        <f t="shared" si="86"/>
        <v/>
      </c>
      <c r="V525" s="195" t="str">
        <f t="shared" si="83"/>
        <v/>
      </c>
      <c r="W525" s="336" t="str">
        <f t="shared" si="87"/>
        <v/>
      </c>
      <c r="X525" s="338" t="str">
        <f t="shared" si="88"/>
        <v/>
      </c>
      <c r="Y525" s="274"/>
      <c r="AR525" t="str">
        <f t="shared" si="89"/>
        <v/>
      </c>
      <c r="AS525" t="str">
        <f t="shared" si="90"/>
        <v/>
      </c>
    </row>
    <row r="526" spans="1:45">
      <c r="A526" s="291"/>
      <c r="B526" s="292"/>
      <c r="C526" s="293"/>
      <c r="D526" s="293"/>
      <c r="E526" s="293"/>
      <c r="F526" s="293"/>
      <c r="G526" s="294"/>
      <c r="H526" s="300"/>
      <c r="I526" s="295"/>
      <c r="J526" s="295"/>
      <c r="K526" s="296"/>
      <c r="L526" s="301"/>
      <c r="M526" s="297"/>
      <c r="N526" s="298"/>
      <c r="P526" s="190" t="str">
        <f>IF(R526 = "", "", COUNT(R$4:$R526))</f>
        <v/>
      </c>
      <c r="Q526" s="190" t="str">
        <f t="shared" si="81"/>
        <v/>
      </c>
      <c r="R526" s="191" t="str">
        <f t="shared" si="82"/>
        <v/>
      </c>
      <c r="S526" s="192" t="str">
        <f t="shared" si="84"/>
        <v/>
      </c>
      <c r="T526" s="193" t="str">
        <f t="shared" si="85"/>
        <v/>
      </c>
      <c r="U526" s="194" t="str">
        <f t="shared" si="86"/>
        <v/>
      </c>
      <c r="V526" s="195" t="str">
        <f t="shared" si="83"/>
        <v/>
      </c>
      <c r="W526" s="336" t="str">
        <f t="shared" si="87"/>
        <v/>
      </c>
      <c r="X526" s="338" t="str">
        <f t="shared" si="88"/>
        <v/>
      </c>
      <c r="Y526" s="274"/>
      <c r="AR526" t="str">
        <f t="shared" si="89"/>
        <v/>
      </c>
      <c r="AS526" t="str">
        <f t="shared" si="90"/>
        <v/>
      </c>
    </row>
    <row r="527" spans="1:45">
      <c r="A527" s="291"/>
      <c r="B527" s="292"/>
      <c r="C527" s="293"/>
      <c r="D527" s="293"/>
      <c r="E527" s="293"/>
      <c r="F527" s="293"/>
      <c r="G527" s="294"/>
      <c r="H527" s="300"/>
      <c r="I527" s="295"/>
      <c r="J527" s="295"/>
      <c r="K527" s="296"/>
      <c r="L527" s="301"/>
      <c r="M527" s="297"/>
      <c r="N527" s="298"/>
      <c r="P527" s="190" t="str">
        <f>IF(R527 = "", "", COUNT(R$4:$R527))</f>
        <v/>
      </c>
      <c r="Q527" s="190" t="str">
        <f t="shared" si="81"/>
        <v/>
      </c>
      <c r="R527" s="191" t="str">
        <f t="shared" si="82"/>
        <v/>
      </c>
      <c r="S527" s="192" t="str">
        <f t="shared" si="84"/>
        <v/>
      </c>
      <c r="T527" s="193" t="str">
        <f t="shared" si="85"/>
        <v/>
      </c>
      <c r="U527" s="194" t="str">
        <f t="shared" si="86"/>
        <v/>
      </c>
      <c r="V527" s="195" t="str">
        <f t="shared" si="83"/>
        <v/>
      </c>
      <c r="W527" s="336" t="str">
        <f t="shared" si="87"/>
        <v/>
      </c>
      <c r="X527" s="338" t="str">
        <f t="shared" si="88"/>
        <v/>
      </c>
      <c r="Y527" s="274"/>
      <c r="AR527" t="str">
        <f t="shared" si="89"/>
        <v/>
      </c>
      <c r="AS527" t="str">
        <f t="shared" si="90"/>
        <v/>
      </c>
    </row>
    <row r="528" spans="1:45">
      <c r="A528" s="291"/>
      <c r="B528" s="292"/>
      <c r="C528" s="293"/>
      <c r="D528" s="293"/>
      <c r="E528" s="293"/>
      <c r="F528" s="293"/>
      <c r="G528" s="294"/>
      <c r="H528" s="300"/>
      <c r="I528" s="295"/>
      <c r="J528" s="295"/>
      <c r="K528" s="296"/>
      <c r="L528" s="301"/>
      <c r="M528" s="297"/>
      <c r="N528" s="298"/>
      <c r="P528" s="190" t="str">
        <f>IF(R528 = "", "", COUNT(R$4:$R528))</f>
        <v/>
      </c>
      <c r="Q528" s="190" t="str">
        <f t="shared" si="81"/>
        <v/>
      </c>
      <c r="R528" s="191" t="str">
        <f t="shared" si="82"/>
        <v/>
      </c>
      <c r="S528" s="192" t="str">
        <f t="shared" si="84"/>
        <v/>
      </c>
      <c r="T528" s="193" t="str">
        <f t="shared" si="85"/>
        <v/>
      </c>
      <c r="U528" s="194" t="str">
        <f t="shared" si="86"/>
        <v/>
      </c>
      <c r="V528" s="195" t="str">
        <f t="shared" si="83"/>
        <v/>
      </c>
      <c r="W528" s="336" t="str">
        <f t="shared" si="87"/>
        <v/>
      </c>
      <c r="X528" s="338" t="str">
        <f t="shared" si="88"/>
        <v/>
      </c>
      <c r="Y528" s="274"/>
      <c r="AR528" t="str">
        <f t="shared" si="89"/>
        <v/>
      </c>
      <c r="AS528" t="str">
        <f t="shared" si="90"/>
        <v/>
      </c>
    </row>
    <row r="529" spans="1:45">
      <c r="A529" s="291"/>
      <c r="B529" s="292"/>
      <c r="C529" s="293"/>
      <c r="D529" s="293"/>
      <c r="E529" s="293"/>
      <c r="F529" s="293"/>
      <c r="G529" s="294"/>
      <c r="H529" s="300"/>
      <c r="I529" s="295"/>
      <c r="J529" s="295"/>
      <c r="K529" s="296"/>
      <c r="L529" s="301"/>
      <c r="M529" s="297"/>
      <c r="N529" s="298"/>
      <c r="P529" s="190" t="str">
        <f>IF(R529 = "", "", COUNT(R$4:$R529))</f>
        <v/>
      </c>
      <c r="Q529" s="190" t="str">
        <f t="shared" si="81"/>
        <v/>
      </c>
      <c r="R529" s="191" t="str">
        <f t="shared" si="82"/>
        <v/>
      </c>
      <c r="S529" s="192" t="str">
        <f t="shared" si="84"/>
        <v/>
      </c>
      <c r="T529" s="193" t="str">
        <f t="shared" si="85"/>
        <v/>
      </c>
      <c r="U529" s="194" t="str">
        <f t="shared" si="86"/>
        <v/>
      </c>
      <c r="V529" s="195" t="str">
        <f t="shared" si="83"/>
        <v/>
      </c>
      <c r="W529" s="336" t="str">
        <f t="shared" si="87"/>
        <v/>
      </c>
      <c r="X529" s="338" t="str">
        <f t="shared" si="88"/>
        <v/>
      </c>
      <c r="Y529" s="274"/>
      <c r="AR529" t="str">
        <f t="shared" si="89"/>
        <v/>
      </c>
      <c r="AS529" t="str">
        <f t="shared" si="90"/>
        <v/>
      </c>
    </row>
    <row r="530" spans="1:45">
      <c r="A530" s="291"/>
      <c r="B530" s="292"/>
      <c r="C530" s="293"/>
      <c r="D530" s="293"/>
      <c r="E530" s="293"/>
      <c r="F530" s="293"/>
      <c r="G530" s="294"/>
      <c r="H530" s="300"/>
      <c r="I530" s="295"/>
      <c r="J530" s="295"/>
      <c r="K530" s="296"/>
      <c r="L530" s="301"/>
      <c r="M530" s="297"/>
      <c r="N530" s="298"/>
      <c r="P530" s="190" t="str">
        <f>IF(R530 = "", "", COUNT(R$4:$R530))</f>
        <v/>
      </c>
      <c r="Q530" s="190" t="str">
        <f t="shared" si="81"/>
        <v/>
      </c>
      <c r="R530" s="191" t="str">
        <f t="shared" si="82"/>
        <v/>
      </c>
      <c r="S530" s="192" t="str">
        <f t="shared" si="84"/>
        <v/>
      </c>
      <c r="T530" s="193" t="str">
        <f t="shared" si="85"/>
        <v/>
      </c>
      <c r="U530" s="194" t="str">
        <f t="shared" si="86"/>
        <v/>
      </c>
      <c r="V530" s="195" t="str">
        <f t="shared" si="83"/>
        <v/>
      </c>
      <c r="W530" s="336" t="str">
        <f t="shared" si="87"/>
        <v/>
      </c>
      <c r="X530" s="338" t="str">
        <f t="shared" si="88"/>
        <v/>
      </c>
      <c r="Y530" s="274"/>
      <c r="AR530" t="str">
        <f t="shared" si="89"/>
        <v/>
      </c>
      <c r="AS530" t="str">
        <f t="shared" si="90"/>
        <v/>
      </c>
    </row>
    <row r="531" spans="1:45">
      <c r="A531" s="291"/>
      <c r="B531" s="292"/>
      <c r="C531" s="293"/>
      <c r="D531" s="293"/>
      <c r="E531" s="293"/>
      <c r="F531" s="293"/>
      <c r="G531" s="294"/>
      <c r="H531" s="300"/>
      <c r="I531" s="295"/>
      <c r="J531" s="295"/>
      <c r="K531" s="296"/>
      <c r="L531" s="301"/>
      <c r="M531" s="297"/>
      <c r="N531" s="298"/>
      <c r="P531" s="190" t="str">
        <f>IF(R531 = "", "", COUNT(R$4:$R531))</f>
        <v/>
      </c>
      <c r="Q531" s="190" t="str">
        <f t="shared" si="81"/>
        <v/>
      </c>
      <c r="R531" s="191" t="str">
        <f t="shared" si="82"/>
        <v/>
      </c>
      <c r="S531" s="192" t="str">
        <f t="shared" si="84"/>
        <v/>
      </c>
      <c r="T531" s="193" t="str">
        <f t="shared" si="85"/>
        <v/>
      </c>
      <c r="U531" s="194" t="str">
        <f t="shared" si="86"/>
        <v/>
      </c>
      <c r="V531" s="195" t="str">
        <f t="shared" si="83"/>
        <v/>
      </c>
      <c r="W531" s="336" t="str">
        <f t="shared" si="87"/>
        <v/>
      </c>
      <c r="X531" s="338" t="str">
        <f t="shared" si="88"/>
        <v/>
      </c>
      <c r="Y531" s="274"/>
      <c r="AR531" t="str">
        <f t="shared" si="89"/>
        <v/>
      </c>
      <c r="AS531" t="str">
        <f t="shared" si="90"/>
        <v/>
      </c>
    </row>
    <row r="532" spans="1:45">
      <c r="A532" s="291"/>
      <c r="B532" s="292"/>
      <c r="C532" s="293"/>
      <c r="D532" s="293"/>
      <c r="E532" s="293"/>
      <c r="F532" s="293"/>
      <c r="G532" s="294"/>
      <c r="H532" s="300"/>
      <c r="I532" s="295"/>
      <c r="J532" s="295"/>
      <c r="K532" s="296"/>
      <c r="L532" s="301"/>
      <c r="M532" s="297"/>
      <c r="N532" s="298"/>
      <c r="P532" s="190" t="str">
        <f>IF(R532 = "", "", COUNT(R$4:$R532))</f>
        <v/>
      </c>
      <c r="Q532" s="190" t="str">
        <f t="shared" si="81"/>
        <v/>
      </c>
      <c r="R532" s="191" t="str">
        <f t="shared" si="82"/>
        <v/>
      </c>
      <c r="S532" s="192" t="str">
        <f t="shared" si="84"/>
        <v/>
      </c>
      <c r="T532" s="193" t="str">
        <f t="shared" si="85"/>
        <v/>
      </c>
      <c r="U532" s="194" t="str">
        <f t="shared" si="86"/>
        <v/>
      </c>
      <c r="V532" s="195" t="str">
        <f t="shared" si="83"/>
        <v/>
      </c>
      <c r="W532" s="336" t="str">
        <f t="shared" si="87"/>
        <v/>
      </c>
      <c r="X532" s="338" t="str">
        <f t="shared" si="88"/>
        <v/>
      </c>
      <c r="Y532" s="274"/>
      <c r="AR532" t="str">
        <f t="shared" si="89"/>
        <v/>
      </c>
      <c r="AS532" t="str">
        <f t="shared" si="90"/>
        <v/>
      </c>
    </row>
    <row r="533" spans="1:45">
      <c r="A533" s="291"/>
      <c r="B533" s="292"/>
      <c r="C533" s="293"/>
      <c r="D533" s="293"/>
      <c r="E533" s="293"/>
      <c r="F533" s="293"/>
      <c r="G533" s="294"/>
      <c r="H533" s="300"/>
      <c r="I533" s="295"/>
      <c r="J533" s="295"/>
      <c r="K533" s="296"/>
      <c r="L533" s="301"/>
      <c r="M533" s="297"/>
      <c r="N533" s="298"/>
      <c r="P533" s="190" t="str">
        <f>IF(R533 = "", "", COUNT(R$4:$R533))</f>
        <v/>
      </c>
      <c r="Q533" s="190" t="str">
        <f t="shared" si="81"/>
        <v/>
      </c>
      <c r="R533" s="191" t="str">
        <f t="shared" si="82"/>
        <v/>
      </c>
      <c r="S533" s="192" t="str">
        <f t="shared" si="84"/>
        <v/>
      </c>
      <c r="T533" s="193" t="str">
        <f t="shared" si="85"/>
        <v/>
      </c>
      <c r="U533" s="194" t="str">
        <f t="shared" si="86"/>
        <v/>
      </c>
      <c r="V533" s="195" t="str">
        <f t="shared" si="83"/>
        <v/>
      </c>
      <c r="W533" s="336" t="str">
        <f t="shared" si="87"/>
        <v/>
      </c>
      <c r="X533" s="338" t="str">
        <f t="shared" si="88"/>
        <v/>
      </c>
      <c r="Y533" s="274"/>
      <c r="AR533" t="str">
        <f t="shared" si="89"/>
        <v/>
      </c>
      <c r="AS533" t="str">
        <f t="shared" si="90"/>
        <v/>
      </c>
    </row>
    <row r="534" spans="1:45">
      <c r="A534" s="291"/>
      <c r="B534" s="292"/>
      <c r="C534" s="293"/>
      <c r="D534" s="293"/>
      <c r="E534" s="293"/>
      <c r="F534" s="293"/>
      <c r="G534" s="294"/>
      <c r="H534" s="300"/>
      <c r="I534" s="295"/>
      <c r="J534" s="295"/>
      <c r="K534" s="296"/>
      <c r="L534" s="301"/>
      <c r="M534" s="297"/>
      <c r="N534" s="298"/>
      <c r="P534" s="190" t="str">
        <f>IF(R534 = "", "", COUNT(R$4:$R534))</f>
        <v/>
      </c>
      <c r="Q534" s="190" t="str">
        <f t="shared" si="81"/>
        <v/>
      </c>
      <c r="R534" s="191" t="str">
        <f t="shared" si="82"/>
        <v/>
      </c>
      <c r="S534" s="192" t="str">
        <f t="shared" si="84"/>
        <v/>
      </c>
      <c r="T534" s="193" t="str">
        <f t="shared" si="85"/>
        <v/>
      </c>
      <c r="U534" s="194" t="str">
        <f t="shared" si="86"/>
        <v/>
      </c>
      <c r="V534" s="195" t="str">
        <f t="shared" si="83"/>
        <v/>
      </c>
      <c r="W534" s="336" t="str">
        <f t="shared" si="87"/>
        <v/>
      </c>
      <c r="X534" s="338" t="str">
        <f t="shared" si="88"/>
        <v/>
      </c>
      <c r="Y534" s="274"/>
      <c r="AR534" t="str">
        <f t="shared" si="89"/>
        <v/>
      </c>
      <c r="AS534" t="str">
        <f t="shared" si="90"/>
        <v/>
      </c>
    </row>
    <row r="535" spans="1:45">
      <c r="A535" s="291"/>
      <c r="B535" s="292"/>
      <c r="C535" s="293"/>
      <c r="D535" s="293"/>
      <c r="E535" s="293"/>
      <c r="F535" s="293"/>
      <c r="G535" s="294"/>
      <c r="H535" s="300"/>
      <c r="I535" s="295"/>
      <c r="J535" s="295"/>
      <c r="K535" s="296"/>
      <c r="L535" s="301"/>
      <c r="M535" s="297"/>
      <c r="N535" s="298"/>
      <c r="P535" s="190" t="str">
        <f>IF(R535 = "", "", COUNT(R$4:$R535))</f>
        <v/>
      </c>
      <c r="Q535" s="190" t="str">
        <f t="shared" si="81"/>
        <v/>
      </c>
      <c r="R535" s="191" t="str">
        <f t="shared" si="82"/>
        <v/>
      </c>
      <c r="S535" s="192" t="str">
        <f t="shared" si="84"/>
        <v/>
      </c>
      <c r="T535" s="193" t="str">
        <f t="shared" si="85"/>
        <v/>
      </c>
      <c r="U535" s="194" t="str">
        <f t="shared" si="86"/>
        <v/>
      </c>
      <c r="V535" s="195" t="str">
        <f t="shared" si="83"/>
        <v/>
      </c>
      <c r="W535" s="336" t="str">
        <f t="shared" si="87"/>
        <v/>
      </c>
      <c r="X535" s="338" t="str">
        <f t="shared" si="88"/>
        <v/>
      </c>
      <c r="Y535" s="274"/>
      <c r="AR535" t="str">
        <f t="shared" si="89"/>
        <v/>
      </c>
      <c r="AS535" t="str">
        <f t="shared" si="90"/>
        <v/>
      </c>
    </row>
    <row r="536" spans="1:45">
      <c r="A536" s="291"/>
      <c r="B536" s="292"/>
      <c r="C536" s="293"/>
      <c r="D536" s="293"/>
      <c r="E536" s="293"/>
      <c r="F536" s="293"/>
      <c r="G536" s="294"/>
      <c r="H536" s="300"/>
      <c r="I536" s="295"/>
      <c r="J536" s="295"/>
      <c r="K536" s="296"/>
      <c r="L536" s="301"/>
      <c r="M536" s="297"/>
      <c r="N536" s="298"/>
      <c r="P536" s="190" t="str">
        <f>IF(R536 = "", "", COUNT(R$4:$R536))</f>
        <v/>
      </c>
      <c r="Q536" s="190" t="str">
        <f t="shared" si="81"/>
        <v/>
      </c>
      <c r="R536" s="191" t="str">
        <f t="shared" si="82"/>
        <v/>
      </c>
      <c r="S536" s="192" t="str">
        <f t="shared" si="84"/>
        <v/>
      </c>
      <c r="T536" s="193" t="str">
        <f t="shared" si="85"/>
        <v/>
      </c>
      <c r="U536" s="194" t="str">
        <f t="shared" si="86"/>
        <v/>
      </c>
      <c r="V536" s="195" t="str">
        <f t="shared" si="83"/>
        <v/>
      </c>
      <c r="W536" s="336" t="str">
        <f t="shared" si="87"/>
        <v/>
      </c>
      <c r="X536" s="338" t="str">
        <f t="shared" si="88"/>
        <v/>
      </c>
      <c r="Y536" s="274"/>
      <c r="AR536" t="str">
        <f t="shared" si="89"/>
        <v/>
      </c>
      <c r="AS536" t="str">
        <f t="shared" si="90"/>
        <v/>
      </c>
    </row>
    <row r="537" spans="1:45">
      <c r="A537" s="291"/>
      <c r="B537" s="292"/>
      <c r="C537" s="293"/>
      <c r="D537" s="293"/>
      <c r="E537" s="293"/>
      <c r="F537" s="293"/>
      <c r="G537" s="294"/>
      <c r="H537" s="300"/>
      <c r="I537" s="295"/>
      <c r="J537" s="295"/>
      <c r="K537" s="296"/>
      <c r="L537" s="301"/>
      <c r="M537" s="297"/>
      <c r="N537" s="298"/>
      <c r="P537" s="190" t="str">
        <f>IF(R537 = "", "", COUNT(R$4:$R537))</f>
        <v/>
      </c>
      <c r="Q537" s="190" t="str">
        <f t="shared" si="81"/>
        <v/>
      </c>
      <c r="R537" s="191" t="str">
        <f t="shared" si="82"/>
        <v/>
      </c>
      <c r="S537" s="192" t="str">
        <f t="shared" si="84"/>
        <v/>
      </c>
      <c r="T537" s="193" t="str">
        <f t="shared" si="85"/>
        <v/>
      </c>
      <c r="U537" s="194" t="str">
        <f t="shared" si="86"/>
        <v/>
      </c>
      <c r="V537" s="195" t="str">
        <f t="shared" si="83"/>
        <v/>
      </c>
      <c r="W537" s="336" t="str">
        <f t="shared" si="87"/>
        <v/>
      </c>
      <c r="X537" s="338" t="str">
        <f t="shared" si="88"/>
        <v/>
      </c>
      <c r="Y537" s="274"/>
      <c r="AR537" t="str">
        <f t="shared" si="89"/>
        <v/>
      </c>
      <c r="AS537" t="str">
        <f t="shared" si="90"/>
        <v/>
      </c>
    </row>
    <row r="538" spans="1:45">
      <c r="A538" s="291"/>
      <c r="B538" s="292"/>
      <c r="C538" s="293"/>
      <c r="D538" s="293"/>
      <c r="E538" s="293"/>
      <c r="F538" s="293"/>
      <c r="G538" s="294"/>
      <c r="H538" s="300"/>
      <c r="I538" s="295"/>
      <c r="J538" s="295"/>
      <c r="K538" s="296"/>
      <c r="L538" s="301"/>
      <c r="M538" s="297"/>
      <c r="N538" s="298"/>
      <c r="P538" s="190" t="str">
        <f>IF(R538 = "", "", COUNT(R$4:$R538))</f>
        <v/>
      </c>
      <c r="Q538" s="190" t="str">
        <f t="shared" si="81"/>
        <v/>
      </c>
      <c r="R538" s="191" t="str">
        <f t="shared" si="82"/>
        <v/>
      </c>
      <c r="S538" s="192" t="str">
        <f t="shared" si="84"/>
        <v/>
      </c>
      <c r="T538" s="193" t="str">
        <f t="shared" si="85"/>
        <v/>
      </c>
      <c r="U538" s="194" t="str">
        <f t="shared" si="86"/>
        <v/>
      </c>
      <c r="V538" s="195" t="str">
        <f t="shared" si="83"/>
        <v/>
      </c>
      <c r="W538" s="336" t="str">
        <f t="shared" si="87"/>
        <v/>
      </c>
      <c r="X538" s="338" t="str">
        <f t="shared" si="88"/>
        <v/>
      </c>
      <c r="Y538" s="274"/>
      <c r="AR538" t="str">
        <f t="shared" si="89"/>
        <v/>
      </c>
      <c r="AS538" t="str">
        <f t="shared" si="90"/>
        <v/>
      </c>
    </row>
    <row r="539" spans="1:45">
      <c r="A539" s="291"/>
      <c r="B539" s="292"/>
      <c r="C539" s="293"/>
      <c r="D539" s="293"/>
      <c r="E539" s="293"/>
      <c r="F539" s="293"/>
      <c r="G539" s="294"/>
      <c r="H539" s="300"/>
      <c r="I539" s="295"/>
      <c r="J539" s="295"/>
      <c r="K539" s="296"/>
      <c r="L539" s="301"/>
      <c r="M539" s="297"/>
      <c r="N539" s="298"/>
      <c r="P539" s="190" t="str">
        <f>IF(R539 = "", "", COUNT(R$4:$R539))</f>
        <v/>
      </c>
      <c r="Q539" s="190" t="str">
        <f t="shared" si="81"/>
        <v/>
      </c>
      <c r="R539" s="191" t="str">
        <f t="shared" si="82"/>
        <v/>
      </c>
      <c r="S539" s="192" t="str">
        <f t="shared" si="84"/>
        <v/>
      </c>
      <c r="T539" s="193" t="str">
        <f t="shared" si="85"/>
        <v/>
      </c>
      <c r="U539" s="194" t="str">
        <f t="shared" si="86"/>
        <v/>
      </c>
      <c r="V539" s="195" t="str">
        <f t="shared" si="83"/>
        <v/>
      </c>
      <c r="W539" s="336" t="str">
        <f t="shared" si="87"/>
        <v/>
      </c>
      <c r="X539" s="338" t="str">
        <f t="shared" si="88"/>
        <v/>
      </c>
      <c r="Y539" s="274"/>
      <c r="AR539" t="str">
        <f t="shared" si="89"/>
        <v/>
      </c>
      <c r="AS539" t="str">
        <f t="shared" si="90"/>
        <v/>
      </c>
    </row>
    <row r="540" spans="1:45">
      <c r="A540" s="291"/>
      <c r="B540" s="292"/>
      <c r="C540" s="293"/>
      <c r="D540" s="293"/>
      <c r="E540" s="293"/>
      <c r="F540" s="293"/>
      <c r="G540" s="294"/>
      <c r="H540" s="300"/>
      <c r="I540" s="295"/>
      <c r="J540" s="295"/>
      <c r="K540" s="296"/>
      <c r="L540" s="301"/>
      <c r="M540" s="297"/>
      <c r="N540" s="298"/>
      <c r="P540" s="190" t="str">
        <f>IF(R540 = "", "", COUNT(R$4:$R540))</f>
        <v/>
      </c>
      <c r="Q540" s="190" t="str">
        <f t="shared" si="81"/>
        <v/>
      </c>
      <c r="R540" s="191" t="str">
        <f t="shared" si="82"/>
        <v/>
      </c>
      <c r="S540" s="192" t="str">
        <f t="shared" si="84"/>
        <v/>
      </c>
      <c r="T540" s="193" t="str">
        <f t="shared" si="85"/>
        <v/>
      </c>
      <c r="U540" s="194" t="str">
        <f t="shared" si="86"/>
        <v/>
      </c>
      <c r="V540" s="195" t="str">
        <f t="shared" si="83"/>
        <v/>
      </c>
      <c r="W540" s="336" t="str">
        <f t="shared" si="87"/>
        <v/>
      </c>
      <c r="X540" s="338" t="str">
        <f t="shared" si="88"/>
        <v/>
      </c>
      <c r="Y540" s="274"/>
      <c r="AR540" t="str">
        <f t="shared" si="89"/>
        <v/>
      </c>
      <c r="AS540" t="str">
        <f t="shared" si="90"/>
        <v/>
      </c>
    </row>
    <row r="541" spans="1:45">
      <c r="A541" s="291"/>
      <c r="B541" s="292"/>
      <c r="C541" s="293"/>
      <c r="D541" s="293"/>
      <c r="E541" s="293"/>
      <c r="F541" s="293"/>
      <c r="G541" s="294"/>
      <c r="H541" s="300"/>
      <c r="I541" s="295"/>
      <c r="J541" s="295"/>
      <c r="K541" s="296"/>
      <c r="L541" s="301"/>
      <c r="M541" s="297"/>
      <c r="N541" s="298"/>
      <c r="P541" s="190" t="str">
        <f>IF(R541 = "", "", COUNT(R$4:$R541))</f>
        <v/>
      </c>
      <c r="Q541" s="190" t="str">
        <f t="shared" si="81"/>
        <v/>
      </c>
      <c r="R541" s="191" t="str">
        <f t="shared" si="82"/>
        <v/>
      </c>
      <c r="S541" s="192" t="str">
        <f t="shared" si="84"/>
        <v/>
      </c>
      <c r="T541" s="193" t="str">
        <f t="shared" si="85"/>
        <v/>
      </c>
      <c r="U541" s="194" t="str">
        <f t="shared" si="86"/>
        <v/>
      </c>
      <c r="V541" s="195" t="str">
        <f t="shared" si="83"/>
        <v/>
      </c>
      <c r="W541" s="336" t="str">
        <f t="shared" si="87"/>
        <v/>
      </c>
      <c r="X541" s="338" t="str">
        <f t="shared" si="88"/>
        <v/>
      </c>
      <c r="Y541" s="274"/>
      <c r="AR541" t="str">
        <f t="shared" si="89"/>
        <v/>
      </c>
      <c r="AS541" t="str">
        <f t="shared" si="90"/>
        <v/>
      </c>
    </row>
    <row r="542" spans="1:45">
      <c r="A542" s="291"/>
      <c r="B542" s="292"/>
      <c r="C542" s="293"/>
      <c r="D542" s="293"/>
      <c r="E542" s="293"/>
      <c r="F542" s="293"/>
      <c r="G542" s="294"/>
      <c r="H542" s="300"/>
      <c r="I542" s="295"/>
      <c r="J542" s="295"/>
      <c r="K542" s="296"/>
      <c r="L542" s="301"/>
      <c r="M542" s="297"/>
      <c r="N542" s="298"/>
      <c r="P542" s="190" t="str">
        <f>IF(R542 = "", "", COUNT(R$4:$R542))</f>
        <v/>
      </c>
      <c r="Q542" s="190" t="str">
        <f t="shared" si="81"/>
        <v/>
      </c>
      <c r="R542" s="191" t="str">
        <f t="shared" si="82"/>
        <v/>
      </c>
      <c r="S542" s="192" t="str">
        <f t="shared" si="84"/>
        <v/>
      </c>
      <c r="T542" s="193" t="str">
        <f t="shared" si="85"/>
        <v/>
      </c>
      <c r="U542" s="194" t="str">
        <f t="shared" si="86"/>
        <v/>
      </c>
      <c r="V542" s="195" t="str">
        <f t="shared" si="83"/>
        <v/>
      </c>
      <c r="W542" s="336" t="str">
        <f t="shared" si="87"/>
        <v/>
      </c>
      <c r="X542" s="338" t="str">
        <f t="shared" si="88"/>
        <v/>
      </c>
      <c r="Y542" s="274"/>
      <c r="AR542" t="str">
        <f t="shared" si="89"/>
        <v/>
      </c>
      <c r="AS542" t="str">
        <f t="shared" si="90"/>
        <v/>
      </c>
    </row>
    <row r="543" spans="1:45">
      <c r="A543" s="291"/>
      <c r="B543" s="292"/>
      <c r="C543" s="293"/>
      <c r="D543" s="293"/>
      <c r="E543" s="293"/>
      <c r="F543" s="293"/>
      <c r="G543" s="294"/>
      <c r="H543" s="300"/>
      <c r="I543" s="295"/>
      <c r="J543" s="295"/>
      <c r="K543" s="296"/>
      <c r="L543" s="301"/>
      <c r="M543" s="297"/>
      <c r="N543" s="298"/>
      <c r="P543" s="190" t="str">
        <f>IF(R543 = "", "", COUNT(R$4:$R543))</f>
        <v/>
      </c>
      <c r="Q543" s="190" t="str">
        <f t="shared" si="81"/>
        <v/>
      </c>
      <c r="R543" s="191" t="str">
        <f t="shared" si="82"/>
        <v/>
      </c>
      <c r="S543" s="192" t="str">
        <f t="shared" si="84"/>
        <v/>
      </c>
      <c r="T543" s="193" t="str">
        <f t="shared" si="85"/>
        <v/>
      </c>
      <c r="U543" s="194" t="str">
        <f t="shared" si="86"/>
        <v/>
      </c>
      <c r="V543" s="195" t="str">
        <f t="shared" si="83"/>
        <v/>
      </c>
      <c r="W543" s="336" t="str">
        <f t="shared" si="87"/>
        <v/>
      </c>
      <c r="X543" s="338" t="str">
        <f t="shared" si="88"/>
        <v/>
      </c>
      <c r="Y543" s="274"/>
      <c r="AR543" t="str">
        <f t="shared" si="89"/>
        <v/>
      </c>
      <c r="AS543" t="str">
        <f t="shared" si="90"/>
        <v/>
      </c>
    </row>
    <row r="544" spans="1:45">
      <c r="A544" s="291"/>
      <c r="B544" s="292"/>
      <c r="C544" s="293"/>
      <c r="D544" s="293"/>
      <c r="E544" s="293"/>
      <c r="F544" s="293"/>
      <c r="G544" s="294"/>
      <c r="H544" s="300"/>
      <c r="I544" s="295"/>
      <c r="J544" s="295"/>
      <c r="K544" s="296"/>
      <c r="L544" s="301"/>
      <c r="M544" s="297"/>
      <c r="N544" s="298"/>
      <c r="P544" s="190" t="str">
        <f>IF(R544 = "", "", COUNT(R$4:$R544))</f>
        <v/>
      </c>
      <c r="Q544" s="190" t="str">
        <f t="shared" si="81"/>
        <v/>
      </c>
      <c r="R544" s="191" t="str">
        <f t="shared" si="82"/>
        <v/>
      </c>
      <c r="S544" s="192" t="str">
        <f t="shared" si="84"/>
        <v/>
      </c>
      <c r="T544" s="193" t="str">
        <f t="shared" si="85"/>
        <v/>
      </c>
      <c r="U544" s="194" t="str">
        <f t="shared" si="86"/>
        <v/>
      </c>
      <c r="V544" s="195" t="str">
        <f t="shared" si="83"/>
        <v/>
      </c>
      <c r="W544" s="336" t="str">
        <f t="shared" si="87"/>
        <v/>
      </c>
      <c r="X544" s="338" t="str">
        <f t="shared" si="88"/>
        <v/>
      </c>
      <c r="Y544" s="274"/>
      <c r="AR544" t="str">
        <f t="shared" si="89"/>
        <v/>
      </c>
      <c r="AS544" t="str">
        <f t="shared" si="90"/>
        <v/>
      </c>
    </row>
    <row r="545" spans="1:45">
      <c r="A545" s="291"/>
      <c r="B545" s="292"/>
      <c r="C545" s="293"/>
      <c r="D545" s="293"/>
      <c r="E545" s="293"/>
      <c r="F545" s="293"/>
      <c r="G545" s="294"/>
      <c r="H545" s="300"/>
      <c r="I545" s="295"/>
      <c r="J545" s="295"/>
      <c r="K545" s="296"/>
      <c r="L545" s="301"/>
      <c r="M545" s="297"/>
      <c r="N545" s="298"/>
      <c r="P545" s="190" t="str">
        <f>IF(R545 = "", "", COUNT(R$4:$R545))</f>
        <v/>
      </c>
      <c r="Q545" s="190" t="str">
        <f t="shared" si="81"/>
        <v/>
      </c>
      <c r="R545" s="191" t="str">
        <f t="shared" si="82"/>
        <v/>
      </c>
      <c r="S545" s="192" t="str">
        <f t="shared" si="84"/>
        <v/>
      </c>
      <c r="T545" s="193" t="str">
        <f t="shared" si="85"/>
        <v/>
      </c>
      <c r="U545" s="194" t="str">
        <f t="shared" si="86"/>
        <v/>
      </c>
      <c r="V545" s="195" t="str">
        <f t="shared" si="83"/>
        <v/>
      </c>
      <c r="W545" s="336" t="str">
        <f t="shared" si="87"/>
        <v/>
      </c>
      <c r="X545" s="338" t="str">
        <f t="shared" si="88"/>
        <v/>
      </c>
      <c r="Y545" s="274"/>
      <c r="AR545" t="str">
        <f t="shared" si="89"/>
        <v/>
      </c>
      <c r="AS545" t="str">
        <f t="shared" si="90"/>
        <v/>
      </c>
    </row>
    <row r="546" spans="1:45">
      <c r="A546" s="291"/>
      <c r="B546" s="292"/>
      <c r="C546" s="293"/>
      <c r="D546" s="293"/>
      <c r="E546" s="293"/>
      <c r="F546" s="293"/>
      <c r="G546" s="294"/>
      <c r="H546" s="300"/>
      <c r="I546" s="295"/>
      <c r="J546" s="295"/>
      <c r="K546" s="296"/>
      <c r="L546" s="301"/>
      <c r="M546" s="297"/>
      <c r="N546" s="298"/>
      <c r="P546" s="190" t="str">
        <f>IF(R546 = "", "", COUNT(R$4:$R546))</f>
        <v/>
      </c>
      <c r="Q546" s="190" t="str">
        <f t="shared" si="81"/>
        <v/>
      </c>
      <c r="R546" s="191" t="str">
        <f t="shared" si="82"/>
        <v/>
      </c>
      <c r="S546" s="192" t="str">
        <f t="shared" si="84"/>
        <v/>
      </c>
      <c r="T546" s="193" t="str">
        <f t="shared" si="85"/>
        <v/>
      </c>
      <c r="U546" s="194" t="str">
        <f t="shared" si="86"/>
        <v/>
      </c>
      <c r="V546" s="195" t="str">
        <f t="shared" si="83"/>
        <v/>
      </c>
      <c r="W546" s="336" t="str">
        <f t="shared" si="87"/>
        <v/>
      </c>
      <c r="X546" s="338" t="str">
        <f t="shared" si="88"/>
        <v/>
      </c>
      <c r="Y546" s="274"/>
      <c r="AR546" t="str">
        <f t="shared" si="89"/>
        <v/>
      </c>
      <c r="AS546" t="str">
        <f t="shared" si="90"/>
        <v/>
      </c>
    </row>
    <row r="547" spans="1:45">
      <c r="A547" s="291"/>
      <c r="B547" s="292"/>
      <c r="C547" s="293"/>
      <c r="D547" s="293"/>
      <c r="E547" s="293"/>
      <c r="F547" s="293"/>
      <c r="G547" s="294"/>
      <c r="H547" s="300"/>
      <c r="I547" s="295"/>
      <c r="J547" s="295"/>
      <c r="K547" s="296"/>
      <c r="L547" s="301"/>
      <c r="M547" s="297"/>
      <c r="N547" s="298"/>
      <c r="P547" s="190" t="str">
        <f>IF(R547 = "", "", COUNT(R$4:$R547))</f>
        <v/>
      </c>
      <c r="Q547" s="190" t="str">
        <f t="shared" si="81"/>
        <v/>
      </c>
      <c r="R547" s="191" t="str">
        <f t="shared" si="82"/>
        <v/>
      </c>
      <c r="S547" s="192" t="str">
        <f t="shared" si="84"/>
        <v/>
      </c>
      <c r="T547" s="193" t="str">
        <f t="shared" si="85"/>
        <v/>
      </c>
      <c r="U547" s="194" t="str">
        <f t="shared" si="86"/>
        <v/>
      </c>
      <c r="V547" s="195" t="str">
        <f t="shared" si="83"/>
        <v/>
      </c>
      <c r="W547" s="336" t="str">
        <f t="shared" si="87"/>
        <v/>
      </c>
      <c r="X547" s="338" t="str">
        <f t="shared" si="88"/>
        <v/>
      </c>
      <c r="Y547" s="274"/>
      <c r="AR547" t="str">
        <f t="shared" si="89"/>
        <v/>
      </c>
      <c r="AS547" t="str">
        <f t="shared" si="90"/>
        <v/>
      </c>
    </row>
    <row r="548" spans="1:45">
      <c r="A548" s="291"/>
      <c r="B548" s="292"/>
      <c r="C548" s="293"/>
      <c r="D548" s="293"/>
      <c r="E548" s="293"/>
      <c r="F548" s="293"/>
      <c r="G548" s="294"/>
      <c r="H548" s="300"/>
      <c r="I548" s="295"/>
      <c r="J548" s="295"/>
      <c r="K548" s="296"/>
      <c r="L548" s="301"/>
      <c r="M548" s="297"/>
      <c r="N548" s="298"/>
      <c r="P548" s="190" t="str">
        <f>IF(R548 = "", "", COUNT(R$4:$R548))</f>
        <v/>
      </c>
      <c r="Q548" s="190" t="str">
        <f t="shared" si="81"/>
        <v/>
      </c>
      <c r="R548" s="191" t="str">
        <f t="shared" si="82"/>
        <v/>
      </c>
      <c r="S548" s="192" t="str">
        <f t="shared" si="84"/>
        <v/>
      </c>
      <c r="T548" s="193" t="str">
        <f t="shared" si="85"/>
        <v/>
      </c>
      <c r="U548" s="194" t="str">
        <f t="shared" si="86"/>
        <v/>
      </c>
      <c r="V548" s="195" t="str">
        <f t="shared" si="83"/>
        <v/>
      </c>
      <c r="W548" s="336" t="str">
        <f t="shared" si="87"/>
        <v/>
      </c>
      <c r="X548" s="338" t="str">
        <f t="shared" si="88"/>
        <v/>
      </c>
      <c r="Y548" s="274"/>
      <c r="AR548" t="str">
        <f t="shared" si="89"/>
        <v/>
      </c>
      <c r="AS548" t="str">
        <f t="shared" si="90"/>
        <v/>
      </c>
    </row>
    <row r="549" spans="1:45">
      <c r="A549" s="291"/>
      <c r="B549" s="292"/>
      <c r="C549" s="293"/>
      <c r="D549" s="293"/>
      <c r="E549" s="293"/>
      <c r="F549" s="293"/>
      <c r="G549" s="294"/>
      <c r="H549" s="300"/>
      <c r="I549" s="295"/>
      <c r="J549" s="295"/>
      <c r="K549" s="296"/>
      <c r="L549" s="301"/>
      <c r="M549" s="297"/>
      <c r="N549" s="298"/>
      <c r="P549" s="190" t="str">
        <f>IF(R549 = "", "", COUNT(R$4:$R549))</f>
        <v/>
      </c>
      <c r="Q549" s="190" t="str">
        <f t="shared" si="81"/>
        <v/>
      </c>
      <c r="R549" s="191" t="str">
        <f t="shared" si="82"/>
        <v/>
      </c>
      <c r="S549" s="192" t="str">
        <f t="shared" si="84"/>
        <v/>
      </c>
      <c r="T549" s="193" t="str">
        <f t="shared" si="85"/>
        <v/>
      </c>
      <c r="U549" s="194" t="str">
        <f t="shared" si="86"/>
        <v/>
      </c>
      <c r="V549" s="195" t="str">
        <f t="shared" si="83"/>
        <v/>
      </c>
      <c r="W549" s="336" t="str">
        <f t="shared" si="87"/>
        <v/>
      </c>
      <c r="X549" s="338" t="str">
        <f t="shared" si="88"/>
        <v/>
      </c>
      <c r="Y549" s="274"/>
      <c r="AR549" t="str">
        <f t="shared" si="89"/>
        <v/>
      </c>
      <c r="AS549" t="str">
        <f t="shared" si="90"/>
        <v/>
      </c>
    </row>
    <row r="550" spans="1:45">
      <c r="A550" s="291"/>
      <c r="B550" s="292"/>
      <c r="C550" s="293"/>
      <c r="D550" s="293"/>
      <c r="E550" s="293"/>
      <c r="F550" s="293"/>
      <c r="G550" s="294"/>
      <c r="H550" s="300"/>
      <c r="I550" s="295"/>
      <c r="J550" s="295"/>
      <c r="K550" s="296"/>
      <c r="L550" s="301"/>
      <c r="M550" s="297"/>
      <c r="N550" s="298"/>
      <c r="P550" s="190" t="str">
        <f>IF(R550 = "", "", COUNT(R$4:$R550))</f>
        <v/>
      </c>
      <c r="Q550" s="190" t="str">
        <f t="shared" si="81"/>
        <v/>
      </c>
      <c r="R550" s="191" t="str">
        <f t="shared" si="82"/>
        <v/>
      </c>
      <c r="S550" s="192" t="str">
        <f t="shared" si="84"/>
        <v/>
      </c>
      <c r="T550" s="193" t="str">
        <f t="shared" si="85"/>
        <v/>
      </c>
      <c r="U550" s="194" t="str">
        <f t="shared" si="86"/>
        <v/>
      </c>
      <c r="V550" s="195" t="str">
        <f t="shared" si="83"/>
        <v/>
      </c>
      <c r="W550" s="336" t="str">
        <f t="shared" si="87"/>
        <v/>
      </c>
      <c r="X550" s="338" t="str">
        <f t="shared" si="88"/>
        <v/>
      </c>
      <c r="Y550" s="274"/>
      <c r="AR550" t="str">
        <f t="shared" si="89"/>
        <v/>
      </c>
      <c r="AS550" t="str">
        <f t="shared" si="90"/>
        <v/>
      </c>
    </row>
    <row r="551" spans="1:45">
      <c r="A551" s="291"/>
      <c r="B551" s="292"/>
      <c r="C551" s="293"/>
      <c r="D551" s="293"/>
      <c r="E551" s="293"/>
      <c r="F551" s="293"/>
      <c r="G551" s="294"/>
      <c r="H551" s="300"/>
      <c r="I551" s="295"/>
      <c r="J551" s="295"/>
      <c r="K551" s="296"/>
      <c r="L551" s="301"/>
      <c r="M551" s="297"/>
      <c r="N551" s="298"/>
      <c r="P551" s="190" t="str">
        <f>IF(R551 = "", "", COUNT(R$4:$R551))</f>
        <v/>
      </c>
      <c r="Q551" s="190" t="str">
        <f t="shared" si="81"/>
        <v/>
      </c>
      <c r="R551" s="191" t="str">
        <f t="shared" si="82"/>
        <v/>
      </c>
      <c r="S551" s="192" t="str">
        <f t="shared" si="84"/>
        <v/>
      </c>
      <c r="T551" s="193" t="str">
        <f t="shared" si="85"/>
        <v/>
      </c>
      <c r="U551" s="194" t="str">
        <f t="shared" si="86"/>
        <v/>
      </c>
      <c r="V551" s="195" t="str">
        <f t="shared" si="83"/>
        <v/>
      </c>
      <c r="W551" s="336" t="str">
        <f t="shared" si="87"/>
        <v/>
      </c>
      <c r="X551" s="338" t="str">
        <f t="shared" si="88"/>
        <v/>
      </c>
      <c r="Y551" s="274"/>
      <c r="AR551" t="str">
        <f t="shared" si="89"/>
        <v/>
      </c>
      <c r="AS551" t="str">
        <f t="shared" si="90"/>
        <v/>
      </c>
    </row>
    <row r="552" spans="1:45">
      <c r="A552" s="291"/>
      <c r="B552" s="292"/>
      <c r="C552" s="293"/>
      <c r="D552" s="293"/>
      <c r="E552" s="293"/>
      <c r="F552" s="293"/>
      <c r="G552" s="294"/>
      <c r="H552" s="300"/>
      <c r="I552" s="295"/>
      <c r="J552" s="295"/>
      <c r="K552" s="296"/>
      <c r="L552" s="301"/>
      <c r="M552" s="297"/>
      <c r="N552" s="298"/>
      <c r="P552" s="190" t="str">
        <f>IF(R552 = "", "", COUNT(R$4:$R552))</f>
        <v/>
      </c>
      <c r="Q552" s="190" t="str">
        <f t="shared" si="81"/>
        <v/>
      </c>
      <c r="R552" s="191" t="str">
        <f t="shared" si="82"/>
        <v/>
      </c>
      <c r="S552" s="192" t="str">
        <f t="shared" si="84"/>
        <v/>
      </c>
      <c r="T552" s="193" t="str">
        <f t="shared" si="85"/>
        <v/>
      </c>
      <c r="U552" s="194" t="str">
        <f t="shared" si="86"/>
        <v/>
      </c>
      <c r="V552" s="195" t="str">
        <f t="shared" si="83"/>
        <v/>
      </c>
      <c r="W552" s="336" t="str">
        <f t="shared" si="87"/>
        <v/>
      </c>
      <c r="X552" s="338" t="str">
        <f t="shared" si="88"/>
        <v/>
      </c>
      <c r="Y552" s="274"/>
      <c r="AR552" t="str">
        <f t="shared" si="89"/>
        <v/>
      </c>
      <c r="AS552" t="str">
        <f t="shared" si="90"/>
        <v/>
      </c>
    </row>
    <row r="553" spans="1:45">
      <c r="A553" s="291"/>
      <c r="B553" s="292"/>
      <c r="C553" s="293"/>
      <c r="D553" s="293"/>
      <c r="E553" s="293"/>
      <c r="F553" s="293"/>
      <c r="G553" s="294"/>
      <c r="H553" s="300"/>
      <c r="I553" s="295"/>
      <c r="J553" s="295"/>
      <c r="K553" s="296"/>
      <c r="L553" s="301"/>
      <c r="M553" s="297"/>
      <c r="N553" s="298"/>
      <c r="P553" s="190" t="str">
        <f>IF(R553 = "", "", COUNT(R$4:$R553))</f>
        <v/>
      </c>
      <c r="Q553" s="190" t="str">
        <f t="shared" si="81"/>
        <v/>
      </c>
      <c r="R553" s="191" t="str">
        <f t="shared" si="82"/>
        <v/>
      </c>
      <c r="S553" s="192" t="str">
        <f t="shared" si="84"/>
        <v/>
      </c>
      <c r="T553" s="193" t="str">
        <f t="shared" si="85"/>
        <v/>
      </c>
      <c r="U553" s="194" t="str">
        <f t="shared" si="86"/>
        <v/>
      </c>
      <c r="V553" s="195" t="str">
        <f t="shared" si="83"/>
        <v/>
      </c>
      <c r="W553" s="336" t="str">
        <f t="shared" si="87"/>
        <v/>
      </c>
      <c r="X553" s="338" t="str">
        <f t="shared" si="88"/>
        <v/>
      </c>
      <c r="Y553" s="274"/>
      <c r="AR553" t="str">
        <f t="shared" si="89"/>
        <v/>
      </c>
      <c r="AS553" t="str">
        <f t="shared" si="90"/>
        <v/>
      </c>
    </row>
    <row r="554" spans="1:45">
      <c r="A554" s="291"/>
      <c r="B554" s="292"/>
      <c r="C554" s="293"/>
      <c r="D554" s="293"/>
      <c r="E554" s="293"/>
      <c r="F554" s="293"/>
      <c r="G554" s="294"/>
      <c r="H554" s="300"/>
      <c r="I554" s="295"/>
      <c r="J554" s="295"/>
      <c r="K554" s="296"/>
      <c r="L554" s="301"/>
      <c r="M554" s="297"/>
      <c r="N554" s="298"/>
      <c r="P554" s="190" t="str">
        <f>IF(R554 = "", "", COUNT(R$4:$R554))</f>
        <v/>
      </c>
      <c r="Q554" s="190" t="str">
        <f t="shared" si="81"/>
        <v/>
      </c>
      <c r="R554" s="191" t="str">
        <f t="shared" si="82"/>
        <v/>
      </c>
      <c r="S554" s="192" t="str">
        <f t="shared" si="84"/>
        <v/>
      </c>
      <c r="T554" s="193" t="str">
        <f t="shared" si="85"/>
        <v/>
      </c>
      <c r="U554" s="194" t="str">
        <f t="shared" si="86"/>
        <v/>
      </c>
      <c r="V554" s="195" t="str">
        <f t="shared" si="83"/>
        <v/>
      </c>
      <c r="W554" s="336" t="str">
        <f t="shared" si="87"/>
        <v/>
      </c>
      <c r="X554" s="338" t="str">
        <f t="shared" si="88"/>
        <v/>
      </c>
      <c r="Y554" s="274"/>
      <c r="AR554" t="str">
        <f t="shared" si="89"/>
        <v/>
      </c>
      <c r="AS554" t="str">
        <f t="shared" si="90"/>
        <v/>
      </c>
    </row>
    <row r="555" spans="1:45">
      <c r="A555" s="291"/>
      <c r="B555" s="292"/>
      <c r="C555" s="293"/>
      <c r="D555" s="293"/>
      <c r="E555" s="293"/>
      <c r="F555" s="293"/>
      <c r="G555" s="294"/>
      <c r="H555" s="300"/>
      <c r="I555" s="295"/>
      <c r="J555" s="295"/>
      <c r="K555" s="296"/>
      <c r="L555" s="301"/>
      <c r="M555" s="297"/>
      <c r="N555" s="298"/>
      <c r="P555" s="190" t="str">
        <f>IF(R555 = "", "", COUNT(R$4:$R555))</f>
        <v/>
      </c>
      <c r="Q555" s="190" t="str">
        <f t="shared" si="81"/>
        <v/>
      </c>
      <c r="R555" s="191" t="str">
        <f t="shared" si="82"/>
        <v/>
      </c>
      <c r="S555" s="192" t="str">
        <f t="shared" si="84"/>
        <v/>
      </c>
      <c r="T555" s="193" t="str">
        <f t="shared" si="85"/>
        <v/>
      </c>
      <c r="U555" s="194" t="str">
        <f t="shared" si="86"/>
        <v/>
      </c>
      <c r="V555" s="195" t="str">
        <f t="shared" si="83"/>
        <v/>
      </c>
      <c r="W555" s="336" t="str">
        <f t="shared" si="87"/>
        <v/>
      </c>
      <c r="X555" s="338" t="str">
        <f t="shared" si="88"/>
        <v/>
      </c>
      <c r="Y555" s="274"/>
      <c r="AR555" t="str">
        <f t="shared" si="89"/>
        <v/>
      </c>
      <c r="AS555" t="str">
        <f t="shared" si="90"/>
        <v/>
      </c>
    </row>
    <row r="556" spans="1:45">
      <c r="A556" s="291"/>
      <c r="B556" s="292"/>
      <c r="C556" s="293"/>
      <c r="D556" s="293"/>
      <c r="E556" s="293"/>
      <c r="F556" s="293"/>
      <c r="G556" s="294"/>
      <c r="H556" s="300"/>
      <c r="I556" s="295"/>
      <c r="J556" s="295"/>
      <c r="K556" s="296"/>
      <c r="L556" s="301"/>
      <c r="M556" s="297"/>
      <c r="N556" s="298"/>
      <c r="P556" s="190" t="str">
        <f>IF(R556 = "", "", COUNT(R$4:$R556))</f>
        <v/>
      </c>
      <c r="Q556" s="190" t="str">
        <f t="shared" si="81"/>
        <v/>
      </c>
      <c r="R556" s="191" t="str">
        <f t="shared" si="82"/>
        <v/>
      </c>
      <c r="S556" s="192" t="str">
        <f t="shared" si="84"/>
        <v/>
      </c>
      <c r="T556" s="193" t="str">
        <f t="shared" si="85"/>
        <v/>
      </c>
      <c r="U556" s="194" t="str">
        <f t="shared" si="86"/>
        <v/>
      </c>
      <c r="V556" s="195" t="str">
        <f t="shared" si="83"/>
        <v/>
      </c>
      <c r="W556" s="336" t="str">
        <f t="shared" si="87"/>
        <v/>
      </c>
      <c r="X556" s="338" t="str">
        <f t="shared" si="88"/>
        <v/>
      </c>
      <c r="Y556" s="274"/>
      <c r="AR556" t="str">
        <f t="shared" si="89"/>
        <v/>
      </c>
      <c r="AS556" t="str">
        <f t="shared" si="90"/>
        <v/>
      </c>
    </row>
    <row r="557" spans="1:45">
      <c r="A557" s="291"/>
      <c r="B557" s="292"/>
      <c r="C557" s="293"/>
      <c r="D557" s="293"/>
      <c r="E557" s="293"/>
      <c r="F557" s="293"/>
      <c r="G557" s="294"/>
      <c r="H557" s="300"/>
      <c r="I557" s="295"/>
      <c r="J557" s="295"/>
      <c r="K557" s="296"/>
      <c r="L557" s="301"/>
      <c r="M557" s="297"/>
      <c r="N557" s="298"/>
      <c r="P557" s="190" t="str">
        <f>IF(R557 = "", "", COUNT(R$4:$R557))</f>
        <v/>
      </c>
      <c r="Q557" s="190" t="str">
        <f t="shared" si="81"/>
        <v/>
      </c>
      <c r="R557" s="191" t="str">
        <f t="shared" si="82"/>
        <v/>
      </c>
      <c r="S557" s="192" t="str">
        <f t="shared" si="84"/>
        <v/>
      </c>
      <c r="T557" s="193" t="str">
        <f t="shared" si="85"/>
        <v/>
      </c>
      <c r="U557" s="194" t="str">
        <f t="shared" si="86"/>
        <v/>
      </c>
      <c r="V557" s="195" t="str">
        <f t="shared" si="83"/>
        <v/>
      </c>
      <c r="W557" s="336" t="str">
        <f t="shared" si="87"/>
        <v/>
      </c>
      <c r="X557" s="338" t="str">
        <f t="shared" si="88"/>
        <v/>
      </c>
      <c r="Y557" s="274"/>
      <c r="AR557" t="str">
        <f t="shared" si="89"/>
        <v/>
      </c>
      <c r="AS557" t="str">
        <f t="shared" si="90"/>
        <v/>
      </c>
    </row>
    <row r="558" spans="1:45">
      <c r="A558" s="291"/>
      <c r="B558" s="292"/>
      <c r="C558" s="293"/>
      <c r="D558" s="293"/>
      <c r="E558" s="293"/>
      <c r="F558" s="293"/>
      <c r="G558" s="294"/>
      <c r="H558" s="300"/>
      <c r="I558" s="295"/>
      <c r="J558" s="295"/>
      <c r="K558" s="296"/>
      <c r="L558" s="301"/>
      <c r="M558" s="297"/>
      <c r="N558" s="298"/>
      <c r="P558" s="190" t="str">
        <f>IF(R558 = "", "", COUNT(R$4:$R558))</f>
        <v/>
      </c>
      <c r="Q558" s="190" t="str">
        <f t="shared" si="81"/>
        <v/>
      </c>
      <c r="R558" s="191" t="str">
        <f t="shared" si="82"/>
        <v/>
      </c>
      <c r="S558" s="192" t="str">
        <f t="shared" si="84"/>
        <v/>
      </c>
      <c r="T558" s="193" t="str">
        <f t="shared" si="85"/>
        <v/>
      </c>
      <c r="U558" s="194" t="str">
        <f t="shared" si="86"/>
        <v/>
      </c>
      <c r="V558" s="195" t="str">
        <f t="shared" si="83"/>
        <v/>
      </c>
      <c r="W558" s="336" t="str">
        <f t="shared" si="87"/>
        <v/>
      </c>
      <c r="X558" s="338" t="str">
        <f t="shared" si="88"/>
        <v/>
      </c>
      <c r="Y558" s="274"/>
      <c r="AR558" t="str">
        <f t="shared" si="89"/>
        <v/>
      </c>
      <c r="AS558" t="str">
        <f t="shared" si="90"/>
        <v/>
      </c>
    </row>
    <row r="559" spans="1:45">
      <c r="A559" s="291"/>
      <c r="B559" s="292"/>
      <c r="C559" s="293"/>
      <c r="D559" s="293"/>
      <c r="E559" s="293"/>
      <c r="F559" s="293"/>
      <c r="G559" s="294"/>
      <c r="H559" s="300"/>
      <c r="I559" s="295"/>
      <c r="J559" s="295"/>
      <c r="K559" s="296"/>
      <c r="L559" s="301"/>
      <c r="M559" s="297"/>
      <c r="N559" s="298"/>
      <c r="P559" s="190" t="str">
        <f>IF(R559 = "", "", COUNT(R$4:$R559))</f>
        <v/>
      </c>
      <c r="Q559" s="190" t="str">
        <f t="shared" si="81"/>
        <v/>
      </c>
      <c r="R559" s="191" t="str">
        <f t="shared" si="82"/>
        <v/>
      </c>
      <c r="S559" s="192" t="str">
        <f t="shared" si="84"/>
        <v/>
      </c>
      <c r="T559" s="193" t="str">
        <f t="shared" si="85"/>
        <v/>
      </c>
      <c r="U559" s="194" t="str">
        <f t="shared" si="86"/>
        <v/>
      </c>
      <c r="V559" s="195" t="str">
        <f t="shared" si="83"/>
        <v/>
      </c>
      <c r="W559" s="336" t="str">
        <f t="shared" si="87"/>
        <v/>
      </c>
      <c r="X559" s="338" t="str">
        <f t="shared" si="88"/>
        <v/>
      </c>
      <c r="Y559" s="274"/>
      <c r="AR559" t="str">
        <f t="shared" si="89"/>
        <v/>
      </c>
      <c r="AS559" t="str">
        <f t="shared" si="90"/>
        <v/>
      </c>
    </row>
    <row r="560" spans="1:45">
      <c r="A560" s="291"/>
      <c r="B560" s="292"/>
      <c r="C560" s="293"/>
      <c r="D560" s="293"/>
      <c r="E560" s="293"/>
      <c r="F560" s="293"/>
      <c r="G560" s="294"/>
      <c r="H560" s="300"/>
      <c r="I560" s="295"/>
      <c r="J560" s="295"/>
      <c r="K560" s="296"/>
      <c r="L560" s="301"/>
      <c r="M560" s="297"/>
      <c r="N560" s="298"/>
      <c r="P560" s="190" t="str">
        <f>IF(R560 = "", "", COUNT(R$4:$R560))</f>
        <v/>
      </c>
      <c r="Q560" s="190" t="str">
        <f t="shared" si="81"/>
        <v/>
      </c>
      <c r="R560" s="191" t="str">
        <f t="shared" si="82"/>
        <v/>
      </c>
      <c r="S560" s="192" t="str">
        <f t="shared" si="84"/>
        <v/>
      </c>
      <c r="T560" s="193" t="str">
        <f t="shared" si="85"/>
        <v/>
      </c>
      <c r="U560" s="194" t="str">
        <f t="shared" si="86"/>
        <v/>
      </c>
      <c r="V560" s="195" t="str">
        <f t="shared" si="83"/>
        <v/>
      </c>
      <c r="W560" s="336" t="str">
        <f t="shared" si="87"/>
        <v/>
      </c>
      <c r="X560" s="338" t="str">
        <f t="shared" si="88"/>
        <v/>
      </c>
      <c r="Y560" s="274"/>
      <c r="AR560" t="str">
        <f t="shared" si="89"/>
        <v/>
      </c>
      <c r="AS560" t="str">
        <f t="shared" si="90"/>
        <v/>
      </c>
    </row>
    <row r="561" spans="1:45">
      <c r="A561" s="291"/>
      <c r="B561" s="292"/>
      <c r="C561" s="293"/>
      <c r="D561" s="293"/>
      <c r="E561" s="293"/>
      <c r="F561" s="293"/>
      <c r="G561" s="294"/>
      <c r="H561" s="300"/>
      <c r="I561" s="295"/>
      <c r="J561" s="295"/>
      <c r="K561" s="296"/>
      <c r="L561" s="301"/>
      <c r="M561" s="297"/>
      <c r="N561" s="298"/>
      <c r="P561" s="190" t="str">
        <f>IF(R561 = "", "", COUNT(R$4:$R561))</f>
        <v/>
      </c>
      <c r="Q561" s="190" t="str">
        <f t="shared" si="81"/>
        <v/>
      </c>
      <c r="R561" s="191" t="str">
        <f t="shared" si="82"/>
        <v/>
      </c>
      <c r="S561" s="192" t="str">
        <f t="shared" si="84"/>
        <v/>
      </c>
      <c r="T561" s="193" t="str">
        <f t="shared" si="85"/>
        <v/>
      </c>
      <c r="U561" s="194" t="str">
        <f t="shared" si="86"/>
        <v/>
      </c>
      <c r="V561" s="195" t="str">
        <f t="shared" si="83"/>
        <v/>
      </c>
      <c r="W561" s="336" t="str">
        <f t="shared" si="87"/>
        <v/>
      </c>
      <c r="X561" s="338" t="str">
        <f t="shared" si="88"/>
        <v/>
      </c>
      <c r="Y561" s="274"/>
      <c r="AR561" t="str">
        <f t="shared" si="89"/>
        <v/>
      </c>
      <c r="AS561" t="str">
        <f t="shared" si="90"/>
        <v/>
      </c>
    </row>
    <row r="562" spans="1:45">
      <c r="A562" s="291"/>
      <c r="B562" s="292"/>
      <c r="C562" s="293"/>
      <c r="D562" s="293"/>
      <c r="E562" s="293"/>
      <c r="F562" s="293"/>
      <c r="G562" s="294"/>
      <c r="H562" s="300"/>
      <c r="I562" s="295"/>
      <c r="J562" s="295"/>
      <c r="K562" s="296"/>
      <c r="L562" s="301"/>
      <c r="M562" s="297"/>
      <c r="N562" s="298"/>
      <c r="P562" s="190" t="str">
        <f>IF(R562 = "", "", COUNT(R$4:$R562))</f>
        <v/>
      </c>
      <c r="Q562" s="190" t="str">
        <f t="shared" si="81"/>
        <v/>
      </c>
      <c r="R562" s="191" t="str">
        <f t="shared" si="82"/>
        <v/>
      </c>
      <c r="S562" s="192" t="str">
        <f t="shared" si="84"/>
        <v/>
      </c>
      <c r="T562" s="193" t="str">
        <f t="shared" si="85"/>
        <v/>
      </c>
      <c r="U562" s="194" t="str">
        <f t="shared" si="86"/>
        <v/>
      </c>
      <c r="V562" s="195" t="str">
        <f t="shared" si="83"/>
        <v/>
      </c>
      <c r="W562" s="336" t="str">
        <f t="shared" si="87"/>
        <v/>
      </c>
      <c r="X562" s="338" t="str">
        <f t="shared" si="88"/>
        <v/>
      </c>
      <c r="Y562" s="274"/>
      <c r="AR562" t="str">
        <f t="shared" si="89"/>
        <v/>
      </c>
      <c r="AS562" t="str">
        <f t="shared" si="90"/>
        <v/>
      </c>
    </row>
    <row r="563" spans="1:45">
      <c r="A563" s="291"/>
      <c r="B563" s="292"/>
      <c r="C563" s="293"/>
      <c r="D563" s="293"/>
      <c r="E563" s="293"/>
      <c r="F563" s="293"/>
      <c r="G563" s="294"/>
      <c r="H563" s="300"/>
      <c r="I563" s="295"/>
      <c r="J563" s="295"/>
      <c r="K563" s="296"/>
      <c r="L563" s="301"/>
      <c r="M563" s="297"/>
      <c r="N563" s="298"/>
      <c r="P563" s="190" t="str">
        <f>IF(R563 = "", "", COUNT(R$4:$R563))</f>
        <v/>
      </c>
      <c r="Q563" s="190" t="str">
        <f t="shared" si="81"/>
        <v/>
      </c>
      <c r="R563" s="191" t="str">
        <f t="shared" si="82"/>
        <v/>
      </c>
      <c r="S563" s="192" t="str">
        <f t="shared" si="84"/>
        <v/>
      </c>
      <c r="T563" s="193" t="str">
        <f t="shared" si="85"/>
        <v/>
      </c>
      <c r="U563" s="194" t="str">
        <f t="shared" si="86"/>
        <v/>
      </c>
      <c r="V563" s="195" t="str">
        <f t="shared" si="83"/>
        <v/>
      </c>
      <c r="W563" s="336" t="str">
        <f t="shared" si="87"/>
        <v/>
      </c>
      <c r="X563" s="338" t="str">
        <f t="shared" si="88"/>
        <v/>
      </c>
      <c r="Y563" s="274"/>
      <c r="AR563" t="str">
        <f t="shared" si="89"/>
        <v/>
      </c>
      <c r="AS563" t="str">
        <f t="shared" si="90"/>
        <v/>
      </c>
    </row>
    <row r="564" spans="1:45">
      <c r="A564" s="291"/>
      <c r="B564" s="292"/>
      <c r="C564" s="293"/>
      <c r="D564" s="293"/>
      <c r="E564" s="293"/>
      <c r="F564" s="293"/>
      <c r="G564" s="294"/>
      <c r="H564" s="300"/>
      <c r="I564" s="295"/>
      <c r="J564" s="295"/>
      <c r="K564" s="296"/>
      <c r="L564" s="301"/>
      <c r="M564" s="297"/>
      <c r="N564" s="298"/>
      <c r="P564" s="190" t="str">
        <f>IF(R564 = "", "", COUNT(R$4:$R564))</f>
        <v/>
      </c>
      <c r="Q564" s="190" t="str">
        <f t="shared" si="81"/>
        <v/>
      </c>
      <c r="R564" s="191" t="str">
        <f t="shared" si="82"/>
        <v/>
      </c>
      <c r="S564" s="192" t="str">
        <f t="shared" si="84"/>
        <v/>
      </c>
      <c r="T564" s="193" t="str">
        <f t="shared" si="85"/>
        <v/>
      </c>
      <c r="U564" s="194" t="str">
        <f t="shared" si="86"/>
        <v/>
      </c>
      <c r="V564" s="195" t="str">
        <f t="shared" si="83"/>
        <v/>
      </c>
      <c r="W564" s="336" t="str">
        <f t="shared" si="87"/>
        <v/>
      </c>
      <c r="X564" s="338" t="str">
        <f t="shared" si="88"/>
        <v/>
      </c>
      <c r="Y564" s="274"/>
      <c r="AR564" t="str">
        <f t="shared" si="89"/>
        <v/>
      </c>
      <c r="AS564" t="str">
        <f t="shared" si="90"/>
        <v/>
      </c>
    </row>
    <row r="565" spans="1:45">
      <c r="A565" s="291"/>
      <c r="B565" s="292"/>
      <c r="C565" s="293"/>
      <c r="D565" s="293"/>
      <c r="E565" s="293"/>
      <c r="F565" s="293"/>
      <c r="G565" s="294"/>
      <c r="H565" s="300"/>
      <c r="I565" s="295"/>
      <c r="J565" s="295"/>
      <c r="K565" s="296"/>
      <c r="L565" s="301"/>
      <c r="M565" s="297"/>
      <c r="N565" s="298"/>
      <c r="P565" s="190" t="str">
        <f>IF(R565 = "", "", COUNT(R$4:$R565))</f>
        <v/>
      </c>
      <c r="Q565" s="190" t="str">
        <f t="shared" si="81"/>
        <v/>
      </c>
      <c r="R565" s="191" t="str">
        <f t="shared" si="82"/>
        <v/>
      </c>
      <c r="S565" s="192" t="str">
        <f t="shared" si="84"/>
        <v/>
      </c>
      <c r="T565" s="193" t="str">
        <f t="shared" si="85"/>
        <v/>
      </c>
      <c r="U565" s="194" t="str">
        <f t="shared" si="86"/>
        <v/>
      </c>
      <c r="V565" s="195" t="str">
        <f t="shared" si="83"/>
        <v/>
      </c>
      <c r="W565" s="336" t="str">
        <f t="shared" si="87"/>
        <v/>
      </c>
      <c r="X565" s="338" t="str">
        <f t="shared" si="88"/>
        <v/>
      </c>
      <c r="Y565" s="274"/>
      <c r="AR565" t="str">
        <f t="shared" si="89"/>
        <v/>
      </c>
      <c r="AS565" t="str">
        <f t="shared" si="90"/>
        <v/>
      </c>
    </row>
    <row r="566" spans="1:45">
      <c r="A566" s="291"/>
      <c r="B566" s="292"/>
      <c r="C566" s="293"/>
      <c r="D566" s="293"/>
      <c r="E566" s="293"/>
      <c r="F566" s="293"/>
      <c r="G566" s="294"/>
      <c r="H566" s="300"/>
      <c r="I566" s="295"/>
      <c r="J566" s="295"/>
      <c r="K566" s="296"/>
      <c r="L566" s="301"/>
      <c r="M566" s="297"/>
      <c r="N566" s="298"/>
      <c r="P566" s="190" t="str">
        <f>IF(R566 = "", "", COUNT(R$4:$R566))</f>
        <v/>
      </c>
      <c r="Q566" s="190" t="str">
        <f t="shared" si="81"/>
        <v/>
      </c>
      <c r="R566" s="191" t="str">
        <f t="shared" si="82"/>
        <v/>
      </c>
      <c r="S566" s="192" t="str">
        <f t="shared" si="84"/>
        <v/>
      </c>
      <c r="T566" s="193" t="str">
        <f t="shared" si="85"/>
        <v/>
      </c>
      <c r="U566" s="194" t="str">
        <f t="shared" si="86"/>
        <v/>
      </c>
      <c r="V566" s="195" t="str">
        <f t="shared" si="83"/>
        <v/>
      </c>
      <c r="W566" s="336" t="str">
        <f t="shared" si="87"/>
        <v/>
      </c>
      <c r="X566" s="338" t="str">
        <f t="shared" si="88"/>
        <v/>
      </c>
      <c r="Y566" s="274"/>
      <c r="AR566" t="str">
        <f t="shared" si="89"/>
        <v/>
      </c>
      <c r="AS566" t="str">
        <f t="shared" si="90"/>
        <v/>
      </c>
    </row>
    <row r="567" spans="1:45">
      <c r="A567" s="291"/>
      <c r="B567" s="292"/>
      <c r="C567" s="293"/>
      <c r="D567" s="293"/>
      <c r="E567" s="293"/>
      <c r="F567" s="293"/>
      <c r="G567" s="294"/>
      <c r="H567" s="300"/>
      <c r="I567" s="295"/>
      <c r="J567" s="295"/>
      <c r="K567" s="296"/>
      <c r="L567" s="301"/>
      <c r="M567" s="297"/>
      <c r="N567" s="298"/>
      <c r="P567" s="190" t="str">
        <f>IF(R567 = "", "", COUNT(R$4:$R567))</f>
        <v/>
      </c>
      <c r="Q567" s="190" t="str">
        <f t="shared" si="81"/>
        <v/>
      </c>
      <c r="R567" s="191" t="str">
        <f t="shared" si="82"/>
        <v/>
      </c>
      <c r="S567" s="192" t="str">
        <f t="shared" si="84"/>
        <v/>
      </c>
      <c r="T567" s="193" t="str">
        <f t="shared" si="85"/>
        <v/>
      </c>
      <c r="U567" s="194" t="str">
        <f t="shared" si="86"/>
        <v/>
      </c>
      <c r="V567" s="195" t="str">
        <f t="shared" si="83"/>
        <v/>
      </c>
      <c r="W567" s="336" t="str">
        <f t="shared" si="87"/>
        <v/>
      </c>
      <c r="X567" s="338" t="str">
        <f t="shared" si="88"/>
        <v/>
      </c>
      <c r="Y567" s="274"/>
      <c r="AR567" t="str">
        <f t="shared" si="89"/>
        <v/>
      </c>
      <c r="AS567" t="str">
        <f t="shared" si="90"/>
        <v/>
      </c>
    </row>
    <row r="568" spans="1:45">
      <c r="A568" s="291"/>
      <c r="B568" s="292"/>
      <c r="C568" s="293"/>
      <c r="D568" s="293"/>
      <c r="E568" s="293"/>
      <c r="F568" s="293"/>
      <c r="G568" s="294"/>
      <c r="H568" s="300"/>
      <c r="I568" s="295"/>
      <c r="J568" s="295"/>
      <c r="K568" s="296"/>
      <c r="L568" s="301"/>
      <c r="M568" s="297"/>
      <c r="N568" s="298"/>
      <c r="P568" s="190" t="str">
        <f>IF(R568 = "", "", COUNT(R$4:$R568))</f>
        <v/>
      </c>
      <c r="Q568" s="190" t="str">
        <f t="shared" si="81"/>
        <v/>
      </c>
      <c r="R568" s="191" t="str">
        <f t="shared" si="82"/>
        <v/>
      </c>
      <c r="S568" s="192" t="str">
        <f t="shared" si="84"/>
        <v/>
      </c>
      <c r="T568" s="193" t="str">
        <f t="shared" si="85"/>
        <v/>
      </c>
      <c r="U568" s="194" t="str">
        <f t="shared" si="86"/>
        <v/>
      </c>
      <c r="V568" s="195" t="str">
        <f t="shared" si="83"/>
        <v/>
      </c>
      <c r="W568" s="336" t="str">
        <f t="shared" si="87"/>
        <v/>
      </c>
      <c r="X568" s="338" t="str">
        <f t="shared" si="88"/>
        <v/>
      </c>
      <c r="Y568" s="274"/>
      <c r="AR568" t="str">
        <f t="shared" si="89"/>
        <v/>
      </c>
      <c r="AS568" t="str">
        <f t="shared" si="90"/>
        <v/>
      </c>
    </row>
    <row r="569" spans="1:45">
      <c r="A569" s="291"/>
      <c r="B569" s="292"/>
      <c r="C569" s="293"/>
      <c r="D569" s="293"/>
      <c r="E569" s="293"/>
      <c r="F569" s="293"/>
      <c r="G569" s="294"/>
      <c r="H569" s="300"/>
      <c r="I569" s="295"/>
      <c r="J569" s="295"/>
      <c r="K569" s="296"/>
      <c r="L569" s="301"/>
      <c r="M569" s="297"/>
      <c r="N569" s="298"/>
      <c r="P569" s="190" t="str">
        <f>IF(R569 = "", "", COUNT(R$4:$R569))</f>
        <v/>
      </c>
      <c r="Q569" s="190" t="str">
        <f t="shared" si="81"/>
        <v/>
      </c>
      <c r="R569" s="191" t="str">
        <f t="shared" si="82"/>
        <v/>
      </c>
      <c r="S569" s="192" t="str">
        <f t="shared" si="84"/>
        <v/>
      </c>
      <c r="T569" s="193" t="str">
        <f t="shared" si="85"/>
        <v/>
      </c>
      <c r="U569" s="194" t="str">
        <f t="shared" si="86"/>
        <v/>
      </c>
      <c r="V569" s="195" t="str">
        <f t="shared" si="83"/>
        <v/>
      </c>
      <c r="W569" s="336" t="str">
        <f t="shared" si="87"/>
        <v/>
      </c>
      <c r="X569" s="338" t="str">
        <f t="shared" si="88"/>
        <v/>
      </c>
      <c r="Y569" s="274"/>
      <c r="AR569" t="str">
        <f t="shared" si="89"/>
        <v/>
      </c>
      <c r="AS569" t="str">
        <f t="shared" si="90"/>
        <v/>
      </c>
    </row>
    <row r="570" spans="1:45">
      <c r="A570" s="291"/>
      <c r="B570" s="292"/>
      <c r="C570" s="293"/>
      <c r="D570" s="293"/>
      <c r="E570" s="293"/>
      <c r="F570" s="293"/>
      <c r="G570" s="294"/>
      <c r="H570" s="300"/>
      <c r="I570" s="295"/>
      <c r="J570" s="295"/>
      <c r="K570" s="296"/>
      <c r="L570" s="301"/>
      <c r="M570" s="297"/>
      <c r="N570" s="298"/>
      <c r="P570" s="190" t="str">
        <f>IF(R570 = "", "", COUNT(R$4:$R570))</f>
        <v/>
      </c>
      <c r="Q570" s="190" t="str">
        <f t="shared" si="81"/>
        <v/>
      </c>
      <c r="R570" s="191" t="str">
        <f t="shared" si="82"/>
        <v/>
      </c>
      <c r="S570" s="192" t="str">
        <f t="shared" si="84"/>
        <v/>
      </c>
      <c r="T570" s="193" t="str">
        <f t="shared" si="85"/>
        <v/>
      </c>
      <c r="U570" s="194" t="str">
        <f t="shared" si="86"/>
        <v/>
      </c>
      <c r="V570" s="195" t="str">
        <f t="shared" si="83"/>
        <v/>
      </c>
      <c r="W570" s="336" t="str">
        <f t="shared" si="87"/>
        <v/>
      </c>
      <c r="X570" s="338" t="str">
        <f t="shared" si="88"/>
        <v/>
      </c>
      <c r="Y570" s="274"/>
      <c r="AR570" t="str">
        <f t="shared" si="89"/>
        <v/>
      </c>
      <c r="AS570" t="str">
        <f t="shared" si="90"/>
        <v/>
      </c>
    </row>
    <row r="571" spans="1:45">
      <c r="A571" s="291"/>
      <c r="B571" s="292"/>
      <c r="C571" s="293"/>
      <c r="D571" s="293"/>
      <c r="E571" s="293"/>
      <c r="F571" s="293"/>
      <c r="G571" s="294"/>
      <c r="H571" s="300"/>
      <c r="I571" s="295"/>
      <c r="J571" s="295"/>
      <c r="K571" s="296"/>
      <c r="L571" s="301"/>
      <c r="M571" s="297"/>
      <c r="N571" s="298"/>
      <c r="P571" s="190" t="str">
        <f>IF(R571 = "", "", COUNT(R$4:$R571))</f>
        <v/>
      </c>
      <c r="Q571" s="190" t="str">
        <f t="shared" si="81"/>
        <v/>
      </c>
      <c r="R571" s="191" t="str">
        <f t="shared" si="82"/>
        <v/>
      </c>
      <c r="S571" s="192" t="str">
        <f t="shared" si="84"/>
        <v/>
      </c>
      <c r="T571" s="193" t="str">
        <f t="shared" si="85"/>
        <v/>
      </c>
      <c r="U571" s="194" t="str">
        <f t="shared" si="86"/>
        <v/>
      </c>
      <c r="V571" s="195" t="str">
        <f t="shared" si="83"/>
        <v/>
      </c>
      <c r="W571" s="336" t="str">
        <f t="shared" si="87"/>
        <v/>
      </c>
      <c r="X571" s="338" t="str">
        <f t="shared" si="88"/>
        <v/>
      </c>
      <c r="Y571" s="274"/>
      <c r="AR571" t="str">
        <f t="shared" si="89"/>
        <v/>
      </c>
      <c r="AS571" t="str">
        <f t="shared" si="90"/>
        <v/>
      </c>
    </row>
    <row r="572" spans="1:45">
      <c r="A572" s="291"/>
      <c r="B572" s="292"/>
      <c r="C572" s="293"/>
      <c r="D572" s="293"/>
      <c r="E572" s="293"/>
      <c r="F572" s="293"/>
      <c r="G572" s="294"/>
      <c r="H572" s="300"/>
      <c r="I572" s="295"/>
      <c r="J572" s="295"/>
      <c r="K572" s="296"/>
      <c r="L572" s="301"/>
      <c r="M572" s="297"/>
      <c r="N572" s="298"/>
      <c r="P572" s="190" t="str">
        <f>IF(R572 = "", "", COUNT(R$4:$R572))</f>
        <v/>
      </c>
      <c r="Q572" s="190" t="str">
        <f t="shared" si="81"/>
        <v/>
      </c>
      <c r="R572" s="191" t="str">
        <f t="shared" si="82"/>
        <v/>
      </c>
      <c r="S572" s="192" t="str">
        <f t="shared" si="84"/>
        <v/>
      </c>
      <c r="T572" s="193" t="str">
        <f t="shared" si="85"/>
        <v/>
      </c>
      <c r="U572" s="194" t="str">
        <f t="shared" si="86"/>
        <v/>
      </c>
      <c r="V572" s="195" t="str">
        <f t="shared" si="83"/>
        <v/>
      </c>
      <c r="W572" s="336" t="str">
        <f t="shared" si="87"/>
        <v/>
      </c>
      <c r="X572" s="338" t="str">
        <f t="shared" si="88"/>
        <v/>
      </c>
      <c r="Y572" s="274"/>
      <c r="AR572" t="str">
        <f t="shared" si="89"/>
        <v/>
      </c>
      <c r="AS572" t="str">
        <f t="shared" si="90"/>
        <v/>
      </c>
    </row>
    <row r="573" spans="1:45">
      <c r="A573" s="291"/>
      <c r="B573" s="292"/>
      <c r="C573" s="293"/>
      <c r="D573" s="293"/>
      <c r="E573" s="293"/>
      <c r="F573" s="293"/>
      <c r="G573" s="294"/>
      <c r="H573" s="300"/>
      <c r="I573" s="295"/>
      <c r="J573" s="295"/>
      <c r="K573" s="296"/>
      <c r="L573" s="301"/>
      <c r="M573" s="297"/>
      <c r="N573" s="298"/>
      <c r="P573" s="190" t="str">
        <f>IF(R573 = "", "", COUNT(R$4:$R573))</f>
        <v/>
      </c>
      <c r="Q573" s="190" t="str">
        <f t="shared" si="81"/>
        <v/>
      </c>
      <c r="R573" s="191" t="str">
        <f t="shared" si="82"/>
        <v/>
      </c>
      <c r="S573" s="192" t="str">
        <f t="shared" si="84"/>
        <v/>
      </c>
      <c r="T573" s="193" t="str">
        <f t="shared" si="85"/>
        <v/>
      </c>
      <c r="U573" s="194" t="str">
        <f t="shared" si="86"/>
        <v/>
      </c>
      <c r="V573" s="195" t="str">
        <f t="shared" si="83"/>
        <v/>
      </c>
      <c r="W573" s="336" t="str">
        <f t="shared" si="87"/>
        <v/>
      </c>
      <c r="X573" s="338" t="str">
        <f t="shared" si="88"/>
        <v/>
      </c>
      <c r="Y573" s="274"/>
      <c r="AR573" t="str">
        <f t="shared" si="89"/>
        <v/>
      </c>
      <c r="AS573" t="str">
        <f t="shared" si="90"/>
        <v/>
      </c>
    </row>
    <row r="574" spans="1:45">
      <c r="A574" s="291"/>
      <c r="B574" s="292"/>
      <c r="C574" s="293"/>
      <c r="D574" s="293"/>
      <c r="E574" s="293"/>
      <c r="F574" s="293"/>
      <c r="G574" s="294"/>
      <c r="H574" s="300"/>
      <c r="I574" s="295"/>
      <c r="J574" s="295"/>
      <c r="K574" s="296"/>
      <c r="L574" s="301"/>
      <c r="M574" s="297"/>
      <c r="N574" s="298"/>
      <c r="P574" s="190" t="str">
        <f>IF(R574 = "", "", COUNT(R$4:$R574))</f>
        <v/>
      </c>
      <c r="Q574" s="190" t="str">
        <f t="shared" si="81"/>
        <v/>
      </c>
      <c r="R574" s="191" t="str">
        <f t="shared" si="82"/>
        <v/>
      </c>
      <c r="S574" s="192" t="str">
        <f t="shared" si="84"/>
        <v/>
      </c>
      <c r="T574" s="193" t="str">
        <f t="shared" si="85"/>
        <v/>
      </c>
      <c r="U574" s="194" t="str">
        <f t="shared" si="86"/>
        <v/>
      </c>
      <c r="V574" s="195" t="str">
        <f t="shared" si="83"/>
        <v/>
      </c>
      <c r="W574" s="336" t="str">
        <f t="shared" si="87"/>
        <v/>
      </c>
      <c r="X574" s="338" t="str">
        <f t="shared" si="88"/>
        <v/>
      </c>
      <c r="Y574" s="274"/>
      <c r="AR574" t="str">
        <f t="shared" si="89"/>
        <v/>
      </c>
      <c r="AS574" t="str">
        <f t="shared" si="90"/>
        <v/>
      </c>
    </row>
    <row r="575" spans="1:45">
      <c r="A575" s="291"/>
      <c r="B575" s="292"/>
      <c r="C575" s="293"/>
      <c r="D575" s="293"/>
      <c r="E575" s="293"/>
      <c r="F575" s="293"/>
      <c r="G575" s="294"/>
      <c r="H575" s="300"/>
      <c r="I575" s="295"/>
      <c r="J575" s="295"/>
      <c r="K575" s="296"/>
      <c r="L575" s="301"/>
      <c r="M575" s="297"/>
      <c r="N575" s="298"/>
      <c r="P575" s="190" t="str">
        <f>IF(R575 = "", "", COUNT(R$4:$R575))</f>
        <v/>
      </c>
      <c r="Q575" s="190" t="str">
        <f t="shared" si="81"/>
        <v/>
      </c>
      <c r="R575" s="191" t="str">
        <f t="shared" si="82"/>
        <v/>
      </c>
      <c r="S575" s="192" t="str">
        <f t="shared" si="84"/>
        <v/>
      </c>
      <c r="T575" s="193" t="str">
        <f t="shared" si="85"/>
        <v/>
      </c>
      <c r="U575" s="194" t="str">
        <f t="shared" si="86"/>
        <v/>
      </c>
      <c r="V575" s="195" t="str">
        <f t="shared" si="83"/>
        <v/>
      </c>
      <c r="W575" s="336" t="str">
        <f t="shared" si="87"/>
        <v/>
      </c>
      <c r="X575" s="338" t="str">
        <f t="shared" si="88"/>
        <v/>
      </c>
      <c r="Y575" s="274"/>
      <c r="AR575" t="str">
        <f t="shared" si="89"/>
        <v/>
      </c>
      <c r="AS575" t="str">
        <f t="shared" si="90"/>
        <v/>
      </c>
    </row>
    <row r="576" spans="1:45">
      <c r="A576" s="291"/>
      <c r="B576" s="292"/>
      <c r="C576" s="293"/>
      <c r="D576" s="293"/>
      <c r="E576" s="293"/>
      <c r="F576" s="293"/>
      <c r="G576" s="294"/>
      <c r="H576" s="300"/>
      <c r="I576" s="295"/>
      <c r="J576" s="295"/>
      <c r="K576" s="296"/>
      <c r="L576" s="301"/>
      <c r="M576" s="297"/>
      <c r="N576" s="298"/>
      <c r="P576" s="190" t="str">
        <f>IF(R576 = "", "", COUNT(R$4:$R576))</f>
        <v/>
      </c>
      <c r="Q576" s="190" t="str">
        <f t="shared" si="81"/>
        <v/>
      </c>
      <c r="R576" s="191" t="str">
        <f t="shared" si="82"/>
        <v/>
      </c>
      <c r="S576" s="192" t="str">
        <f t="shared" si="84"/>
        <v/>
      </c>
      <c r="T576" s="193" t="str">
        <f t="shared" si="85"/>
        <v/>
      </c>
      <c r="U576" s="194" t="str">
        <f t="shared" si="86"/>
        <v/>
      </c>
      <c r="V576" s="195" t="str">
        <f t="shared" si="83"/>
        <v/>
      </c>
      <c r="W576" s="336" t="str">
        <f t="shared" si="87"/>
        <v/>
      </c>
      <c r="X576" s="338" t="str">
        <f t="shared" si="88"/>
        <v/>
      </c>
      <c r="Y576" s="274"/>
      <c r="AR576" t="str">
        <f t="shared" si="89"/>
        <v/>
      </c>
      <c r="AS576" t="str">
        <f t="shared" si="90"/>
        <v/>
      </c>
    </row>
    <row r="577" spans="1:45">
      <c r="A577" s="291"/>
      <c r="B577" s="292"/>
      <c r="C577" s="293"/>
      <c r="D577" s="293"/>
      <c r="E577" s="293"/>
      <c r="F577" s="293"/>
      <c r="G577" s="294"/>
      <c r="H577" s="300"/>
      <c r="I577" s="295"/>
      <c r="J577" s="295"/>
      <c r="K577" s="296"/>
      <c r="L577" s="301"/>
      <c r="M577" s="297"/>
      <c r="N577" s="298"/>
      <c r="P577" s="190" t="str">
        <f>IF(R577 = "", "", COUNT(R$4:$R577))</f>
        <v/>
      </c>
      <c r="Q577" s="190" t="str">
        <f t="shared" si="81"/>
        <v/>
      </c>
      <c r="R577" s="191" t="str">
        <f t="shared" si="82"/>
        <v/>
      </c>
      <c r="S577" s="192" t="str">
        <f t="shared" si="84"/>
        <v/>
      </c>
      <c r="T577" s="193" t="str">
        <f t="shared" si="85"/>
        <v/>
      </c>
      <c r="U577" s="194" t="str">
        <f t="shared" si="86"/>
        <v/>
      </c>
      <c r="V577" s="195" t="str">
        <f t="shared" si="83"/>
        <v/>
      </c>
      <c r="W577" s="336" t="str">
        <f t="shared" si="87"/>
        <v/>
      </c>
      <c r="X577" s="338" t="str">
        <f t="shared" si="88"/>
        <v/>
      </c>
      <c r="Y577" s="274"/>
      <c r="AR577" t="str">
        <f t="shared" si="89"/>
        <v/>
      </c>
      <c r="AS577" t="str">
        <f t="shared" si="90"/>
        <v/>
      </c>
    </row>
    <row r="578" spans="1:45">
      <c r="A578" s="291"/>
      <c r="B578" s="292"/>
      <c r="C578" s="293"/>
      <c r="D578" s="293"/>
      <c r="E578" s="293"/>
      <c r="F578" s="293"/>
      <c r="G578" s="294"/>
      <c r="H578" s="300"/>
      <c r="I578" s="295"/>
      <c r="J578" s="295"/>
      <c r="K578" s="296"/>
      <c r="L578" s="301"/>
      <c r="M578" s="297"/>
      <c r="N578" s="298"/>
      <c r="P578" s="190" t="str">
        <f>IF(R578 = "", "", COUNT(R$4:$R578))</f>
        <v/>
      </c>
      <c r="Q578" s="190" t="str">
        <f t="shared" si="81"/>
        <v/>
      </c>
      <c r="R578" s="191" t="str">
        <f t="shared" si="82"/>
        <v/>
      </c>
      <c r="S578" s="192" t="str">
        <f t="shared" si="84"/>
        <v/>
      </c>
      <c r="T578" s="193" t="str">
        <f t="shared" si="85"/>
        <v/>
      </c>
      <c r="U578" s="194" t="str">
        <f t="shared" si="86"/>
        <v/>
      </c>
      <c r="V578" s="195" t="str">
        <f t="shared" si="83"/>
        <v/>
      </c>
      <c r="W578" s="336" t="str">
        <f t="shared" si="87"/>
        <v/>
      </c>
      <c r="X578" s="338" t="str">
        <f t="shared" si="88"/>
        <v/>
      </c>
      <c r="Y578" s="274"/>
      <c r="AR578" t="str">
        <f t="shared" si="89"/>
        <v/>
      </c>
      <c r="AS578" t="str">
        <f t="shared" si="90"/>
        <v/>
      </c>
    </row>
    <row r="579" spans="1:45">
      <c r="A579" s="291"/>
      <c r="B579" s="292"/>
      <c r="C579" s="293"/>
      <c r="D579" s="293"/>
      <c r="E579" s="293"/>
      <c r="F579" s="293"/>
      <c r="G579" s="294"/>
      <c r="H579" s="300"/>
      <c r="I579" s="295"/>
      <c r="J579" s="295"/>
      <c r="K579" s="296"/>
      <c r="L579" s="301"/>
      <c r="M579" s="297"/>
      <c r="N579" s="298"/>
      <c r="P579" s="190" t="str">
        <f>IF(R579 = "", "", COUNT(R$4:$R579))</f>
        <v/>
      </c>
      <c r="Q579" s="190" t="str">
        <f t="shared" si="81"/>
        <v/>
      </c>
      <c r="R579" s="191" t="str">
        <f t="shared" si="82"/>
        <v/>
      </c>
      <c r="S579" s="192" t="str">
        <f t="shared" si="84"/>
        <v/>
      </c>
      <c r="T579" s="193" t="str">
        <f t="shared" si="85"/>
        <v/>
      </c>
      <c r="U579" s="194" t="str">
        <f t="shared" si="86"/>
        <v/>
      </c>
      <c r="V579" s="195" t="str">
        <f t="shared" si="83"/>
        <v/>
      </c>
      <c r="W579" s="336" t="str">
        <f t="shared" si="87"/>
        <v/>
      </c>
      <c r="X579" s="338" t="str">
        <f t="shared" si="88"/>
        <v/>
      </c>
      <c r="Y579" s="274"/>
      <c r="AR579" t="str">
        <f t="shared" si="89"/>
        <v/>
      </c>
      <c r="AS579" t="str">
        <f t="shared" si="90"/>
        <v/>
      </c>
    </row>
    <row r="580" spans="1:45">
      <c r="A580" s="291"/>
      <c r="B580" s="292"/>
      <c r="C580" s="293"/>
      <c r="D580" s="293"/>
      <c r="E580" s="293"/>
      <c r="F580" s="293"/>
      <c r="G580" s="294"/>
      <c r="H580" s="300"/>
      <c r="I580" s="295"/>
      <c r="J580" s="295"/>
      <c r="K580" s="296"/>
      <c r="L580" s="301"/>
      <c r="M580" s="297"/>
      <c r="N580" s="298"/>
      <c r="P580" s="190" t="str">
        <f>IF(R580 = "", "", COUNT(R$4:$R580))</f>
        <v/>
      </c>
      <c r="Q580" s="190" t="str">
        <f t="shared" ref="Q580:Q643" si="91">IF(C580 &gt; 0, YEAR(B580), "")</f>
        <v/>
      </c>
      <c r="R580" s="191" t="str">
        <f t="shared" ref="R580:R643" si="92">IF(A580="", "", IF(G580="",1,IF(G580="O",1,IF(G580="C",8.4,IF(G580="B",8.4,IF(G580="A",76.8,IF(G580="K",76.8,"ERR")))))))</f>
        <v/>
      </c>
      <c r="S580" s="192" t="str">
        <f t="shared" si="84"/>
        <v/>
      </c>
      <c r="T580" s="193" t="str">
        <f t="shared" si="85"/>
        <v/>
      </c>
      <c r="U580" s="194" t="str">
        <f t="shared" si="86"/>
        <v/>
      </c>
      <c r="V580" s="195" t="str">
        <f t="shared" ref="V580:V643" si="93">IF(IF(M580&lt;&gt;"",G580,"")=0, "O", IF(M580&lt;&gt;"",G580,""))</f>
        <v/>
      </c>
      <c r="W580" s="336" t="str">
        <f t="shared" si="87"/>
        <v/>
      </c>
      <c r="X580" s="338" t="str">
        <f t="shared" si="88"/>
        <v/>
      </c>
      <c r="Y580" s="274"/>
      <c r="AR580" t="str">
        <f t="shared" si="89"/>
        <v/>
      </c>
      <c r="AS580" t="str">
        <f t="shared" si="90"/>
        <v/>
      </c>
    </row>
    <row r="581" spans="1:45">
      <c r="A581" s="291"/>
      <c r="B581" s="292"/>
      <c r="C581" s="293"/>
      <c r="D581" s="293"/>
      <c r="E581" s="293"/>
      <c r="F581" s="293"/>
      <c r="G581" s="294"/>
      <c r="H581" s="300"/>
      <c r="I581" s="295"/>
      <c r="J581" s="295"/>
      <c r="K581" s="296"/>
      <c r="L581" s="301"/>
      <c r="M581" s="297"/>
      <c r="N581" s="298"/>
      <c r="P581" s="190" t="str">
        <f>IF(R581 = "", "", COUNT(R$4:$R581))</f>
        <v/>
      </c>
      <c r="Q581" s="190" t="str">
        <f t="shared" si="91"/>
        <v/>
      </c>
      <c r="R581" s="191" t="str">
        <f t="shared" si="92"/>
        <v/>
      </c>
      <c r="S581" s="192" t="str">
        <f t="shared" ref="S581:S644" si="94">IF(L581&lt;&gt;"",R581,"")</f>
        <v/>
      </c>
      <c r="T581" s="193" t="str">
        <f t="shared" ref="T581:T644" si="95">IF(IF(L581&lt;&gt;"",G581,"")=0, "O", IF(L581&lt;&gt;"",G581,""))</f>
        <v/>
      </c>
      <c r="U581" s="194" t="str">
        <f t="shared" ref="U581:U644" si="96">IF(M581&lt;&gt;"",R581,"")</f>
        <v/>
      </c>
      <c r="V581" s="195" t="str">
        <f t="shared" si="93"/>
        <v/>
      </c>
      <c r="W581" s="336" t="str">
        <f t="shared" ref="W581:W644" si="97">IF(N581&lt;&gt;"",R581,"")</f>
        <v/>
      </c>
      <c r="X581" s="338" t="str">
        <f t="shared" ref="X581:X644" si="98">IF(IF(N581&lt;&gt;"",G581,"")=0, "O", IF(N581&lt;&gt;"",G581,""))</f>
        <v/>
      </c>
      <c r="Y581" s="274"/>
      <c r="AR581" t="str">
        <f t="shared" ref="AR581:AR644" si="99">IF(P581&gt;0, P581, "")</f>
        <v/>
      </c>
      <c r="AS581" t="str">
        <f t="shared" ref="AS581:AS644" si="100">IF(OR(L581="Y",M581="Y",N581="Y"),"Y","")</f>
        <v/>
      </c>
    </row>
    <row r="582" spans="1:45">
      <c r="A582" s="291"/>
      <c r="B582" s="292"/>
      <c r="C582" s="293"/>
      <c r="D582" s="293"/>
      <c r="E582" s="293"/>
      <c r="F582" s="293"/>
      <c r="G582" s="294"/>
      <c r="H582" s="300"/>
      <c r="I582" s="295"/>
      <c r="J582" s="295"/>
      <c r="K582" s="296"/>
      <c r="L582" s="301"/>
      <c r="M582" s="297"/>
      <c r="N582" s="298"/>
      <c r="P582" s="190" t="str">
        <f>IF(R582 = "", "", COUNT(R$4:$R582))</f>
        <v/>
      </c>
      <c r="Q582" s="190" t="str">
        <f t="shared" si="91"/>
        <v/>
      </c>
      <c r="R582" s="191" t="str">
        <f t="shared" si="92"/>
        <v/>
      </c>
      <c r="S582" s="192" t="str">
        <f t="shared" si="94"/>
        <v/>
      </c>
      <c r="T582" s="193" t="str">
        <f t="shared" si="95"/>
        <v/>
      </c>
      <c r="U582" s="194" t="str">
        <f t="shared" si="96"/>
        <v/>
      </c>
      <c r="V582" s="195" t="str">
        <f t="shared" si="93"/>
        <v/>
      </c>
      <c r="W582" s="336" t="str">
        <f t="shared" si="97"/>
        <v/>
      </c>
      <c r="X582" s="338" t="str">
        <f t="shared" si="98"/>
        <v/>
      </c>
      <c r="Y582" s="274"/>
      <c r="AR582" t="str">
        <f t="shared" si="99"/>
        <v/>
      </c>
      <c r="AS582" t="str">
        <f t="shared" si="100"/>
        <v/>
      </c>
    </row>
    <row r="583" spans="1:45">
      <c r="A583" s="291"/>
      <c r="B583" s="292"/>
      <c r="C583" s="293"/>
      <c r="D583" s="293"/>
      <c r="E583" s="293"/>
      <c r="F583" s="293"/>
      <c r="G583" s="294"/>
      <c r="H583" s="300"/>
      <c r="I583" s="295"/>
      <c r="J583" s="295"/>
      <c r="K583" s="296"/>
      <c r="L583" s="301"/>
      <c r="M583" s="297"/>
      <c r="N583" s="298"/>
      <c r="P583" s="190" t="str">
        <f>IF(R583 = "", "", COUNT(R$4:$R583))</f>
        <v/>
      </c>
      <c r="Q583" s="190" t="str">
        <f t="shared" si="91"/>
        <v/>
      </c>
      <c r="R583" s="191" t="str">
        <f t="shared" si="92"/>
        <v/>
      </c>
      <c r="S583" s="192" t="str">
        <f t="shared" si="94"/>
        <v/>
      </c>
      <c r="T583" s="193" t="str">
        <f t="shared" si="95"/>
        <v/>
      </c>
      <c r="U583" s="194" t="str">
        <f t="shared" si="96"/>
        <v/>
      </c>
      <c r="V583" s="195" t="str">
        <f t="shared" si="93"/>
        <v/>
      </c>
      <c r="W583" s="336" t="str">
        <f t="shared" si="97"/>
        <v/>
      </c>
      <c r="X583" s="338" t="str">
        <f t="shared" si="98"/>
        <v/>
      </c>
      <c r="Y583" s="274"/>
      <c r="AR583" t="str">
        <f t="shared" si="99"/>
        <v/>
      </c>
      <c r="AS583" t="str">
        <f t="shared" si="100"/>
        <v/>
      </c>
    </row>
    <row r="584" spans="1:45">
      <c r="A584" s="291"/>
      <c r="B584" s="292"/>
      <c r="C584" s="293"/>
      <c r="D584" s="293"/>
      <c r="E584" s="293"/>
      <c r="F584" s="293"/>
      <c r="G584" s="294"/>
      <c r="H584" s="300"/>
      <c r="I584" s="295"/>
      <c r="J584" s="295"/>
      <c r="K584" s="296"/>
      <c r="L584" s="301"/>
      <c r="M584" s="297"/>
      <c r="N584" s="298"/>
      <c r="P584" s="190" t="str">
        <f>IF(R584 = "", "", COUNT(R$4:$R584))</f>
        <v/>
      </c>
      <c r="Q584" s="190" t="str">
        <f t="shared" si="91"/>
        <v/>
      </c>
      <c r="R584" s="191" t="str">
        <f t="shared" si="92"/>
        <v/>
      </c>
      <c r="S584" s="192" t="str">
        <f t="shared" si="94"/>
        <v/>
      </c>
      <c r="T584" s="193" t="str">
        <f t="shared" si="95"/>
        <v/>
      </c>
      <c r="U584" s="194" t="str">
        <f t="shared" si="96"/>
        <v/>
      </c>
      <c r="V584" s="195" t="str">
        <f t="shared" si="93"/>
        <v/>
      </c>
      <c r="W584" s="336" t="str">
        <f t="shared" si="97"/>
        <v/>
      </c>
      <c r="X584" s="338" t="str">
        <f t="shared" si="98"/>
        <v/>
      </c>
      <c r="Y584" s="274"/>
      <c r="AR584" t="str">
        <f t="shared" si="99"/>
        <v/>
      </c>
      <c r="AS584" t="str">
        <f t="shared" si="100"/>
        <v/>
      </c>
    </row>
    <row r="585" spans="1:45">
      <c r="A585" s="291"/>
      <c r="B585" s="292"/>
      <c r="C585" s="293"/>
      <c r="D585" s="293"/>
      <c r="E585" s="293"/>
      <c r="F585" s="293"/>
      <c r="G585" s="294"/>
      <c r="H585" s="300"/>
      <c r="I585" s="295"/>
      <c r="J585" s="295"/>
      <c r="K585" s="296"/>
      <c r="L585" s="301"/>
      <c r="M585" s="297"/>
      <c r="N585" s="298"/>
      <c r="P585" s="190" t="str">
        <f>IF(R585 = "", "", COUNT(R$4:$R585))</f>
        <v/>
      </c>
      <c r="Q585" s="190" t="str">
        <f t="shared" si="91"/>
        <v/>
      </c>
      <c r="R585" s="191" t="str">
        <f t="shared" si="92"/>
        <v/>
      </c>
      <c r="S585" s="192" t="str">
        <f t="shared" si="94"/>
        <v/>
      </c>
      <c r="T585" s="193" t="str">
        <f t="shared" si="95"/>
        <v/>
      </c>
      <c r="U585" s="194" t="str">
        <f t="shared" si="96"/>
        <v/>
      </c>
      <c r="V585" s="195" t="str">
        <f t="shared" si="93"/>
        <v/>
      </c>
      <c r="W585" s="336" t="str">
        <f t="shared" si="97"/>
        <v/>
      </c>
      <c r="X585" s="338" t="str">
        <f t="shared" si="98"/>
        <v/>
      </c>
      <c r="Y585" s="274"/>
      <c r="AR585" t="str">
        <f t="shared" si="99"/>
        <v/>
      </c>
      <c r="AS585" t="str">
        <f t="shared" si="100"/>
        <v/>
      </c>
    </row>
    <row r="586" spans="1:45">
      <c r="A586" s="291"/>
      <c r="B586" s="292"/>
      <c r="C586" s="293"/>
      <c r="D586" s="293"/>
      <c r="E586" s="293"/>
      <c r="F586" s="293"/>
      <c r="G586" s="294"/>
      <c r="H586" s="300"/>
      <c r="I586" s="295"/>
      <c r="J586" s="295"/>
      <c r="K586" s="296"/>
      <c r="L586" s="301"/>
      <c r="M586" s="297"/>
      <c r="N586" s="298"/>
      <c r="P586" s="190" t="str">
        <f>IF(R586 = "", "", COUNT(R$4:$R586))</f>
        <v/>
      </c>
      <c r="Q586" s="190" t="str">
        <f t="shared" si="91"/>
        <v/>
      </c>
      <c r="R586" s="191" t="str">
        <f t="shared" si="92"/>
        <v/>
      </c>
      <c r="S586" s="192" t="str">
        <f t="shared" si="94"/>
        <v/>
      </c>
      <c r="T586" s="193" t="str">
        <f t="shared" si="95"/>
        <v/>
      </c>
      <c r="U586" s="194" t="str">
        <f t="shared" si="96"/>
        <v/>
      </c>
      <c r="V586" s="195" t="str">
        <f t="shared" si="93"/>
        <v/>
      </c>
      <c r="W586" s="336" t="str">
        <f t="shared" si="97"/>
        <v/>
      </c>
      <c r="X586" s="338" t="str">
        <f t="shared" si="98"/>
        <v/>
      </c>
      <c r="Y586" s="274"/>
      <c r="AR586" t="str">
        <f t="shared" si="99"/>
        <v/>
      </c>
      <c r="AS586" t="str">
        <f t="shared" si="100"/>
        <v/>
      </c>
    </row>
    <row r="587" spans="1:45">
      <c r="A587" s="291"/>
      <c r="B587" s="292"/>
      <c r="C587" s="293"/>
      <c r="D587" s="293"/>
      <c r="E587" s="293"/>
      <c r="F587" s="293"/>
      <c r="G587" s="294"/>
      <c r="H587" s="300"/>
      <c r="I587" s="295"/>
      <c r="J587" s="295"/>
      <c r="K587" s="296"/>
      <c r="L587" s="301"/>
      <c r="M587" s="297"/>
      <c r="N587" s="298"/>
      <c r="P587" s="190" t="str">
        <f>IF(R587 = "", "", COUNT(R$4:$R587))</f>
        <v/>
      </c>
      <c r="Q587" s="190" t="str">
        <f t="shared" si="91"/>
        <v/>
      </c>
      <c r="R587" s="191" t="str">
        <f t="shared" si="92"/>
        <v/>
      </c>
      <c r="S587" s="192" t="str">
        <f t="shared" si="94"/>
        <v/>
      </c>
      <c r="T587" s="193" t="str">
        <f t="shared" si="95"/>
        <v/>
      </c>
      <c r="U587" s="194" t="str">
        <f t="shared" si="96"/>
        <v/>
      </c>
      <c r="V587" s="195" t="str">
        <f t="shared" si="93"/>
        <v/>
      </c>
      <c r="W587" s="336" t="str">
        <f t="shared" si="97"/>
        <v/>
      </c>
      <c r="X587" s="338" t="str">
        <f t="shared" si="98"/>
        <v/>
      </c>
      <c r="Y587" s="274"/>
      <c r="AR587" t="str">
        <f t="shared" si="99"/>
        <v/>
      </c>
      <c r="AS587" t="str">
        <f t="shared" si="100"/>
        <v/>
      </c>
    </row>
    <row r="588" spans="1:45">
      <c r="A588" s="291"/>
      <c r="B588" s="292"/>
      <c r="C588" s="293"/>
      <c r="D588" s="293"/>
      <c r="E588" s="293"/>
      <c r="F588" s="293"/>
      <c r="G588" s="294"/>
      <c r="H588" s="300"/>
      <c r="I588" s="295"/>
      <c r="J588" s="295"/>
      <c r="K588" s="296"/>
      <c r="L588" s="301"/>
      <c r="M588" s="297"/>
      <c r="N588" s="298"/>
      <c r="P588" s="190" t="str">
        <f>IF(R588 = "", "", COUNT(R$4:$R588))</f>
        <v/>
      </c>
      <c r="Q588" s="190" t="str">
        <f t="shared" si="91"/>
        <v/>
      </c>
      <c r="R588" s="191" t="str">
        <f t="shared" si="92"/>
        <v/>
      </c>
      <c r="S588" s="192" t="str">
        <f t="shared" si="94"/>
        <v/>
      </c>
      <c r="T588" s="193" t="str">
        <f t="shared" si="95"/>
        <v/>
      </c>
      <c r="U588" s="194" t="str">
        <f t="shared" si="96"/>
        <v/>
      </c>
      <c r="V588" s="195" t="str">
        <f t="shared" si="93"/>
        <v/>
      </c>
      <c r="W588" s="336" t="str">
        <f t="shared" si="97"/>
        <v/>
      </c>
      <c r="X588" s="338" t="str">
        <f t="shared" si="98"/>
        <v/>
      </c>
      <c r="Y588" s="274"/>
      <c r="AR588" t="str">
        <f t="shared" si="99"/>
        <v/>
      </c>
      <c r="AS588" t="str">
        <f t="shared" si="100"/>
        <v/>
      </c>
    </row>
    <row r="589" spans="1:45">
      <c r="A589" s="291"/>
      <c r="B589" s="292"/>
      <c r="C589" s="293"/>
      <c r="D589" s="293"/>
      <c r="E589" s="293"/>
      <c r="F589" s="293"/>
      <c r="G589" s="294"/>
      <c r="H589" s="300"/>
      <c r="I589" s="295"/>
      <c r="J589" s="295"/>
      <c r="K589" s="296"/>
      <c r="L589" s="301"/>
      <c r="M589" s="297"/>
      <c r="N589" s="298"/>
      <c r="P589" s="190" t="str">
        <f>IF(R589 = "", "", COUNT(R$4:$R589))</f>
        <v/>
      </c>
      <c r="Q589" s="190" t="str">
        <f t="shared" si="91"/>
        <v/>
      </c>
      <c r="R589" s="191" t="str">
        <f t="shared" si="92"/>
        <v/>
      </c>
      <c r="S589" s="192" t="str">
        <f t="shared" si="94"/>
        <v/>
      </c>
      <c r="T589" s="193" t="str">
        <f t="shared" si="95"/>
        <v/>
      </c>
      <c r="U589" s="194" t="str">
        <f t="shared" si="96"/>
        <v/>
      </c>
      <c r="V589" s="195" t="str">
        <f t="shared" si="93"/>
        <v/>
      </c>
      <c r="W589" s="336" t="str">
        <f t="shared" si="97"/>
        <v/>
      </c>
      <c r="X589" s="338" t="str">
        <f t="shared" si="98"/>
        <v/>
      </c>
      <c r="Y589" s="274"/>
      <c r="AR589" t="str">
        <f t="shared" si="99"/>
        <v/>
      </c>
      <c r="AS589" t="str">
        <f t="shared" si="100"/>
        <v/>
      </c>
    </row>
    <row r="590" spans="1:45">
      <c r="A590" s="291"/>
      <c r="B590" s="292"/>
      <c r="C590" s="293"/>
      <c r="D590" s="293"/>
      <c r="E590" s="293"/>
      <c r="F590" s="293"/>
      <c r="G590" s="294"/>
      <c r="H590" s="300"/>
      <c r="I590" s="295"/>
      <c r="J590" s="295"/>
      <c r="K590" s="296"/>
      <c r="L590" s="301"/>
      <c r="M590" s="297"/>
      <c r="N590" s="298"/>
      <c r="P590" s="190" t="str">
        <f>IF(R590 = "", "", COUNT(R$4:$R590))</f>
        <v/>
      </c>
      <c r="Q590" s="190" t="str">
        <f t="shared" si="91"/>
        <v/>
      </c>
      <c r="R590" s="191" t="str">
        <f t="shared" si="92"/>
        <v/>
      </c>
      <c r="S590" s="192" t="str">
        <f t="shared" si="94"/>
        <v/>
      </c>
      <c r="T590" s="193" t="str">
        <f t="shared" si="95"/>
        <v/>
      </c>
      <c r="U590" s="194" t="str">
        <f t="shared" si="96"/>
        <v/>
      </c>
      <c r="V590" s="195" t="str">
        <f t="shared" si="93"/>
        <v/>
      </c>
      <c r="W590" s="336" t="str">
        <f t="shared" si="97"/>
        <v/>
      </c>
      <c r="X590" s="338" t="str">
        <f t="shared" si="98"/>
        <v/>
      </c>
      <c r="Y590" s="274"/>
      <c r="AR590" t="str">
        <f t="shared" si="99"/>
        <v/>
      </c>
      <c r="AS590" t="str">
        <f t="shared" si="100"/>
        <v/>
      </c>
    </row>
    <row r="591" spans="1:45">
      <c r="A591" s="291"/>
      <c r="B591" s="292"/>
      <c r="C591" s="293"/>
      <c r="D591" s="293"/>
      <c r="E591" s="293"/>
      <c r="F591" s="293"/>
      <c r="G591" s="294"/>
      <c r="H591" s="300"/>
      <c r="I591" s="295"/>
      <c r="J591" s="295"/>
      <c r="K591" s="296"/>
      <c r="L591" s="301"/>
      <c r="M591" s="297"/>
      <c r="N591" s="298"/>
      <c r="P591" s="190" t="str">
        <f>IF(R591 = "", "", COUNT(R$4:$R591))</f>
        <v/>
      </c>
      <c r="Q591" s="190" t="str">
        <f t="shared" si="91"/>
        <v/>
      </c>
      <c r="R591" s="191" t="str">
        <f t="shared" si="92"/>
        <v/>
      </c>
      <c r="S591" s="192" t="str">
        <f t="shared" si="94"/>
        <v/>
      </c>
      <c r="T591" s="193" t="str">
        <f t="shared" si="95"/>
        <v/>
      </c>
      <c r="U591" s="194" t="str">
        <f t="shared" si="96"/>
        <v/>
      </c>
      <c r="V591" s="195" t="str">
        <f t="shared" si="93"/>
        <v/>
      </c>
      <c r="W591" s="336" t="str">
        <f t="shared" si="97"/>
        <v/>
      </c>
      <c r="X591" s="338" t="str">
        <f t="shared" si="98"/>
        <v/>
      </c>
      <c r="Y591" s="274"/>
      <c r="AR591" t="str">
        <f t="shared" si="99"/>
        <v/>
      </c>
      <c r="AS591" t="str">
        <f t="shared" si="100"/>
        <v/>
      </c>
    </row>
    <row r="592" spans="1:45">
      <c r="A592" s="291"/>
      <c r="B592" s="292"/>
      <c r="C592" s="293"/>
      <c r="D592" s="293"/>
      <c r="E592" s="293"/>
      <c r="F592" s="293"/>
      <c r="G592" s="294"/>
      <c r="H592" s="300"/>
      <c r="I592" s="295"/>
      <c r="J592" s="295"/>
      <c r="K592" s="296"/>
      <c r="L592" s="301"/>
      <c r="M592" s="297"/>
      <c r="N592" s="298"/>
      <c r="P592" s="190" t="str">
        <f>IF(R592 = "", "", COUNT(R$4:$R592))</f>
        <v/>
      </c>
      <c r="Q592" s="190" t="str">
        <f t="shared" si="91"/>
        <v/>
      </c>
      <c r="R592" s="191" t="str">
        <f t="shared" si="92"/>
        <v/>
      </c>
      <c r="S592" s="192" t="str">
        <f t="shared" si="94"/>
        <v/>
      </c>
      <c r="T592" s="193" t="str">
        <f t="shared" si="95"/>
        <v/>
      </c>
      <c r="U592" s="194" t="str">
        <f t="shared" si="96"/>
        <v/>
      </c>
      <c r="V592" s="195" t="str">
        <f t="shared" si="93"/>
        <v/>
      </c>
      <c r="W592" s="336" t="str">
        <f t="shared" si="97"/>
        <v/>
      </c>
      <c r="X592" s="338" t="str">
        <f t="shared" si="98"/>
        <v/>
      </c>
      <c r="Y592" s="274"/>
      <c r="AR592" t="str">
        <f t="shared" si="99"/>
        <v/>
      </c>
      <c r="AS592" t="str">
        <f t="shared" si="100"/>
        <v/>
      </c>
    </row>
    <row r="593" spans="1:45">
      <c r="A593" s="291"/>
      <c r="B593" s="292"/>
      <c r="C593" s="293"/>
      <c r="D593" s="293"/>
      <c r="E593" s="293"/>
      <c r="F593" s="293"/>
      <c r="G593" s="294"/>
      <c r="H593" s="300"/>
      <c r="I593" s="295"/>
      <c r="J593" s="295"/>
      <c r="K593" s="296"/>
      <c r="L593" s="301"/>
      <c r="M593" s="297"/>
      <c r="N593" s="298"/>
      <c r="P593" s="190" t="str">
        <f>IF(R593 = "", "", COUNT(R$4:$R593))</f>
        <v/>
      </c>
      <c r="Q593" s="190" t="str">
        <f t="shared" si="91"/>
        <v/>
      </c>
      <c r="R593" s="191" t="str">
        <f t="shared" si="92"/>
        <v/>
      </c>
      <c r="S593" s="192" t="str">
        <f t="shared" si="94"/>
        <v/>
      </c>
      <c r="T593" s="193" t="str">
        <f t="shared" si="95"/>
        <v/>
      </c>
      <c r="U593" s="194" t="str">
        <f t="shared" si="96"/>
        <v/>
      </c>
      <c r="V593" s="195" t="str">
        <f t="shared" si="93"/>
        <v/>
      </c>
      <c r="W593" s="336" t="str">
        <f t="shared" si="97"/>
        <v/>
      </c>
      <c r="X593" s="338" t="str">
        <f t="shared" si="98"/>
        <v/>
      </c>
      <c r="Y593" s="274"/>
      <c r="AR593" t="str">
        <f t="shared" si="99"/>
        <v/>
      </c>
      <c r="AS593" t="str">
        <f t="shared" si="100"/>
        <v/>
      </c>
    </row>
    <row r="594" spans="1:45">
      <c r="A594" s="291"/>
      <c r="B594" s="292"/>
      <c r="C594" s="293"/>
      <c r="D594" s="293"/>
      <c r="E594" s="293"/>
      <c r="F594" s="293"/>
      <c r="G594" s="294"/>
      <c r="H594" s="300"/>
      <c r="I594" s="295"/>
      <c r="J594" s="295"/>
      <c r="K594" s="296"/>
      <c r="L594" s="301"/>
      <c r="M594" s="297"/>
      <c r="N594" s="298"/>
      <c r="P594" s="190" t="str">
        <f>IF(R594 = "", "", COUNT(R$4:$R594))</f>
        <v/>
      </c>
      <c r="Q594" s="190" t="str">
        <f t="shared" si="91"/>
        <v/>
      </c>
      <c r="R594" s="191" t="str">
        <f t="shared" si="92"/>
        <v/>
      </c>
      <c r="S594" s="192" t="str">
        <f t="shared" si="94"/>
        <v/>
      </c>
      <c r="T594" s="193" t="str">
        <f t="shared" si="95"/>
        <v/>
      </c>
      <c r="U594" s="194" t="str">
        <f t="shared" si="96"/>
        <v/>
      </c>
      <c r="V594" s="195" t="str">
        <f t="shared" si="93"/>
        <v/>
      </c>
      <c r="W594" s="336" t="str">
        <f t="shared" si="97"/>
        <v/>
      </c>
      <c r="X594" s="338" t="str">
        <f t="shared" si="98"/>
        <v/>
      </c>
      <c r="Y594" s="274"/>
      <c r="AR594" t="str">
        <f t="shared" si="99"/>
        <v/>
      </c>
      <c r="AS594" t="str">
        <f t="shared" si="100"/>
        <v/>
      </c>
    </row>
    <row r="595" spans="1:45">
      <c r="A595" s="291"/>
      <c r="B595" s="292"/>
      <c r="C595" s="293"/>
      <c r="D595" s="293"/>
      <c r="E595" s="293"/>
      <c r="F595" s="293"/>
      <c r="G595" s="294"/>
      <c r="H595" s="300"/>
      <c r="I595" s="295"/>
      <c r="J595" s="295"/>
      <c r="K595" s="296"/>
      <c r="L595" s="301"/>
      <c r="M595" s="297"/>
      <c r="N595" s="298"/>
      <c r="P595" s="190" t="str">
        <f>IF(R595 = "", "", COUNT(R$4:$R595))</f>
        <v/>
      </c>
      <c r="Q595" s="190" t="str">
        <f t="shared" si="91"/>
        <v/>
      </c>
      <c r="R595" s="191" t="str">
        <f t="shared" si="92"/>
        <v/>
      </c>
      <c r="S595" s="192" t="str">
        <f t="shared" si="94"/>
        <v/>
      </c>
      <c r="T595" s="193" t="str">
        <f t="shared" si="95"/>
        <v/>
      </c>
      <c r="U595" s="194" t="str">
        <f t="shared" si="96"/>
        <v/>
      </c>
      <c r="V595" s="195" t="str">
        <f t="shared" si="93"/>
        <v/>
      </c>
      <c r="W595" s="336" t="str">
        <f t="shared" si="97"/>
        <v/>
      </c>
      <c r="X595" s="338" t="str">
        <f t="shared" si="98"/>
        <v/>
      </c>
      <c r="Y595" s="274"/>
      <c r="AR595" t="str">
        <f t="shared" si="99"/>
        <v/>
      </c>
      <c r="AS595" t="str">
        <f t="shared" si="100"/>
        <v/>
      </c>
    </row>
    <row r="596" spans="1:45">
      <c r="A596" s="291"/>
      <c r="B596" s="292"/>
      <c r="C596" s="293"/>
      <c r="D596" s="293"/>
      <c r="E596" s="293"/>
      <c r="F596" s="293"/>
      <c r="G596" s="294"/>
      <c r="H596" s="300"/>
      <c r="I596" s="295"/>
      <c r="J596" s="295"/>
      <c r="K596" s="296"/>
      <c r="L596" s="301"/>
      <c r="M596" s="297"/>
      <c r="N596" s="298"/>
      <c r="P596" s="190" t="str">
        <f>IF(R596 = "", "", COUNT(R$4:$R596))</f>
        <v/>
      </c>
      <c r="Q596" s="190" t="str">
        <f t="shared" si="91"/>
        <v/>
      </c>
      <c r="R596" s="191" t="str">
        <f t="shared" si="92"/>
        <v/>
      </c>
      <c r="S596" s="192" t="str">
        <f t="shared" si="94"/>
        <v/>
      </c>
      <c r="T596" s="193" t="str">
        <f t="shared" si="95"/>
        <v/>
      </c>
      <c r="U596" s="194" t="str">
        <f t="shared" si="96"/>
        <v/>
      </c>
      <c r="V596" s="195" t="str">
        <f t="shared" si="93"/>
        <v/>
      </c>
      <c r="W596" s="336" t="str">
        <f t="shared" si="97"/>
        <v/>
      </c>
      <c r="X596" s="338" t="str">
        <f t="shared" si="98"/>
        <v/>
      </c>
      <c r="Y596" s="274"/>
      <c r="AR596" t="str">
        <f t="shared" si="99"/>
        <v/>
      </c>
      <c r="AS596" t="str">
        <f t="shared" si="100"/>
        <v/>
      </c>
    </row>
    <row r="597" spans="1:45">
      <c r="A597" s="291"/>
      <c r="B597" s="292"/>
      <c r="C597" s="293"/>
      <c r="D597" s="293"/>
      <c r="E597" s="293"/>
      <c r="F597" s="293"/>
      <c r="G597" s="294"/>
      <c r="H597" s="300"/>
      <c r="I597" s="295"/>
      <c r="J597" s="295"/>
      <c r="K597" s="296"/>
      <c r="L597" s="301"/>
      <c r="M597" s="297"/>
      <c r="N597" s="298"/>
      <c r="P597" s="190" t="str">
        <f>IF(R597 = "", "", COUNT(R$4:$R597))</f>
        <v/>
      </c>
      <c r="Q597" s="190" t="str">
        <f t="shared" si="91"/>
        <v/>
      </c>
      <c r="R597" s="191" t="str">
        <f t="shared" si="92"/>
        <v/>
      </c>
      <c r="S597" s="192" t="str">
        <f t="shared" si="94"/>
        <v/>
      </c>
      <c r="T597" s="193" t="str">
        <f t="shared" si="95"/>
        <v/>
      </c>
      <c r="U597" s="194" t="str">
        <f t="shared" si="96"/>
        <v/>
      </c>
      <c r="V597" s="195" t="str">
        <f t="shared" si="93"/>
        <v/>
      </c>
      <c r="W597" s="336" t="str">
        <f t="shared" si="97"/>
        <v/>
      </c>
      <c r="X597" s="338" t="str">
        <f t="shared" si="98"/>
        <v/>
      </c>
      <c r="Y597" s="274"/>
      <c r="AR597" t="str">
        <f t="shared" si="99"/>
        <v/>
      </c>
      <c r="AS597" t="str">
        <f t="shared" si="100"/>
        <v/>
      </c>
    </row>
    <row r="598" spans="1:45">
      <c r="A598" s="291"/>
      <c r="B598" s="292"/>
      <c r="C598" s="293"/>
      <c r="D598" s="293"/>
      <c r="E598" s="293"/>
      <c r="F598" s="293"/>
      <c r="G598" s="294"/>
      <c r="H598" s="300"/>
      <c r="I598" s="295"/>
      <c r="J598" s="295"/>
      <c r="K598" s="296"/>
      <c r="L598" s="301"/>
      <c r="M598" s="297"/>
      <c r="N598" s="298"/>
      <c r="P598" s="190" t="str">
        <f>IF(R598 = "", "", COUNT(R$4:$R598))</f>
        <v/>
      </c>
      <c r="Q598" s="190" t="str">
        <f t="shared" si="91"/>
        <v/>
      </c>
      <c r="R598" s="191" t="str">
        <f t="shared" si="92"/>
        <v/>
      </c>
      <c r="S598" s="192" t="str">
        <f t="shared" si="94"/>
        <v/>
      </c>
      <c r="T598" s="193" t="str">
        <f t="shared" si="95"/>
        <v/>
      </c>
      <c r="U598" s="194" t="str">
        <f t="shared" si="96"/>
        <v/>
      </c>
      <c r="V598" s="195" t="str">
        <f t="shared" si="93"/>
        <v/>
      </c>
      <c r="W598" s="336" t="str">
        <f t="shared" si="97"/>
        <v/>
      </c>
      <c r="X598" s="338" t="str">
        <f t="shared" si="98"/>
        <v/>
      </c>
      <c r="Y598" s="274"/>
      <c r="AR598" t="str">
        <f t="shared" si="99"/>
        <v/>
      </c>
      <c r="AS598" t="str">
        <f t="shared" si="100"/>
        <v/>
      </c>
    </row>
    <row r="599" spans="1:45">
      <c r="A599" s="291"/>
      <c r="B599" s="292"/>
      <c r="C599" s="293"/>
      <c r="D599" s="293"/>
      <c r="E599" s="293"/>
      <c r="F599" s="293"/>
      <c r="G599" s="294"/>
      <c r="H599" s="300"/>
      <c r="I599" s="295"/>
      <c r="J599" s="295"/>
      <c r="K599" s="296"/>
      <c r="L599" s="301"/>
      <c r="M599" s="297"/>
      <c r="N599" s="298"/>
      <c r="P599" s="190" t="str">
        <f>IF(R599 = "", "", COUNT(R$4:$R599))</f>
        <v/>
      </c>
      <c r="Q599" s="190" t="str">
        <f t="shared" si="91"/>
        <v/>
      </c>
      <c r="R599" s="191" t="str">
        <f t="shared" si="92"/>
        <v/>
      </c>
      <c r="S599" s="192" t="str">
        <f t="shared" si="94"/>
        <v/>
      </c>
      <c r="T599" s="193" t="str">
        <f t="shared" si="95"/>
        <v/>
      </c>
      <c r="U599" s="194" t="str">
        <f t="shared" si="96"/>
        <v/>
      </c>
      <c r="V599" s="195" t="str">
        <f t="shared" si="93"/>
        <v/>
      </c>
      <c r="W599" s="336" t="str">
        <f t="shared" si="97"/>
        <v/>
      </c>
      <c r="X599" s="338" t="str">
        <f t="shared" si="98"/>
        <v/>
      </c>
      <c r="Y599" s="274"/>
      <c r="AR599" t="str">
        <f t="shared" si="99"/>
        <v/>
      </c>
      <c r="AS599" t="str">
        <f t="shared" si="100"/>
        <v/>
      </c>
    </row>
    <row r="600" spans="1:45">
      <c r="A600" s="291"/>
      <c r="B600" s="292"/>
      <c r="C600" s="293"/>
      <c r="D600" s="293"/>
      <c r="E600" s="293"/>
      <c r="F600" s="293"/>
      <c r="G600" s="294"/>
      <c r="H600" s="300"/>
      <c r="I600" s="295"/>
      <c r="J600" s="295"/>
      <c r="K600" s="296"/>
      <c r="L600" s="301"/>
      <c r="M600" s="297"/>
      <c r="N600" s="298"/>
      <c r="P600" s="190" t="str">
        <f>IF(R600 = "", "", COUNT(R$4:$R600))</f>
        <v/>
      </c>
      <c r="Q600" s="190" t="str">
        <f t="shared" si="91"/>
        <v/>
      </c>
      <c r="R600" s="191" t="str">
        <f t="shared" si="92"/>
        <v/>
      </c>
      <c r="S600" s="192" t="str">
        <f t="shared" si="94"/>
        <v/>
      </c>
      <c r="T600" s="193" t="str">
        <f t="shared" si="95"/>
        <v/>
      </c>
      <c r="U600" s="194" t="str">
        <f t="shared" si="96"/>
        <v/>
      </c>
      <c r="V600" s="195" t="str">
        <f t="shared" si="93"/>
        <v/>
      </c>
      <c r="W600" s="336" t="str">
        <f t="shared" si="97"/>
        <v/>
      </c>
      <c r="X600" s="338" t="str">
        <f t="shared" si="98"/>
        <v/>
      </c>
      <c r="Y600" s="274"/>
      <c r="AR600" t="str">
        <f t="shared" si="99"/>
        <v/>
      </c>
      <c r="AS600" t="str">
        <f t="shared" si="100"/>
        <v/>
      </c>
    </row>
    <row r="601" spans="1:45">
      <c r="A601" s="291"/>
      <c r="B601" s="292"/>
      <c r="C601" s="293"/>
      <c r="D601" s="293"/>
      <c r="E601" s="293"/>
      <c r="F601" s="293"/>
      <c r="G601" s="294"/>
      <c r="H601" s="300"/>
      <c r="I601" s="295"/>
      <c r="J601" s="295"/>
      <c r="K601" s="296"/>
      <c r="L601" s="301"/>
      <c r="M601" s="297"/>
      <c r="N601" s="298"/>
      <c r="P601" s="190" t="str">
        <f>IF(R601 = "", "", COUNT(R$4:$R601))</f>
        <v/>
      </c>
      <c r="Q601" s="190" t="str">
        <f t="shared" si="91"/>
        <v/>
      </c>
      <c r="R601" s="191" t="str">
        <f t="shared" si="92"/>
        <v/>
      </c>
      <c r="S601" s="192" t="str">
        <f t="shared" si="94"/>
        <v/>
      </c>
      <c r="T601" s="193" t="str">
        <f t="shared" si="95"/>
        <v/>
      </c>
      <c r="U601" s="194" t="str">
        <f t="shared" si="96"/>
        <v/>
      </c>
      <c r="V601" s="195" t="str">
        <f t="shared" si="93"/>
        <v/>
      </c>
      <c r="W601" s="336" t="str">
        <f t="shared" si="97"/>
        <v/>
      </c>
      <c r="X601" s="338" t="str">
        <f t="shared" si="98"/>
        <v/>
      </c>
      <c r="Y601" s="274"/>
      <c r="AR601" t="str">
        <f t="shared" si="99"/>
        <v/>
      </c>
      <c r="AS601" t="str">
        <f t="shared" si="100"/>
        <v/>
      </c>
    </row>
    <row r="602" spans="1:45">
      <c r="A602" s="291"/>
      <c r="B602" s="292"/>
      <c r="C602" s="293"/>
      <c r="D602" s="293"/>
      <c r="E602" s="293"/>
      <c r="F602" s="293"/>
      <c r="G602" s="294"/>
      <c r="H602" s="300"/>
      <c r="I602" s="295"/>
      <c r="J602" s="295"/>
      <c r="K602" s="296"/>
      <c r="L602" s="301"/>
      <c r="M602" s="297"/>
      <c r="N602" s="298"/>
      <c r="P602" s="190" t="str">
        <f>IF(R602 = "", "", COUNT(R$4:$R602))</f>
        <v/>
      </c>
      <c r="Q602" s="190" t="str">
        <f t="shared" si="91"/>
        <v/>
      </c>
      <c r="R602" s="191" t="str">
        <f t="shared" si="92"/>
        <v/>
      </c>
      <c r="S602" s="192" t="str">
        <f t="shared" si="94"/>
        <v/>
      </c>
      <c r="T602" s="193" t="str">
        <f t="shared" si="95"/>
        <v/>
      </c>
      <c r="U602" s="194" t="str">
        <f t="shared" si="96"/>
        <v/>
      </c>
      <c r="V602" s="195" t="str">
        <f t="shared" si="93"/>
        <v/>
      </c>
      <c r="W602" s="336" t="str">
        <f t="shared" si="97"/>
        <v/>
      </c>
      <c r="X602" s="338" t="str">
        <f t="shared" si="98"/>
        <v/>
      </c>
      <c r="Y602" s="274"/>
      <c r="AR602" t="str">
        <f t="shared" si="99"/>
        <v/>
      </c>
      <c r="AS602" t="str">
        <f t="shared" si="100"/>
        <v/>
      </c>
    </row>
    <row r="603" spans="1:45">
      <c r="A603" s="291"/>
      <c r="B603" s="292"/>
      <c r="C603" s="293"/>
      <c r="D603" s="293"/>
      <c r="E603" s="293"/>
      <c r="F603" s="293"/>
      <c r="G603" s="294"/>
      <c r="H603" s="300"/>
      <c r="I603" s="295"/>
      <c r="J603" s="295"/>
      <c r="K603" s="296"/>
      <c r="L603" s="301"/>
      <c r="M603" s="297"/>
      <c r="N603" s="298"/>
      <c r="P603" s="190" t="str">
        <f>IF(R603 = "", "", COUNT(R$4:$R603))</f>
        <v/>
      </c>
      <c r="Q603" s="190" t="str">
        <f t="shared" si="91"/>
        <v/>
      </c>
      <c r="R603" s="191" t="str">
        <f t="shared" si="92"/>
        <v/>
      </c>
      <c r="S603" s="192" t="str">
        <f t="shared" si="94"/>
        <v/>
      </c>
      <c r="T603" s="193" t="str">
        <f t="shared" si="95"/>
        <v/>
      </c>
      <c r="U603" s="194" t="str">
        <f t="shared" si="96"/>
        <v/>
      </c>
      <c r="V603" s="195" t="str">
        <f t="shared" si="93"/>
        <v/>
      </c>
      <c r="W603" s="336" t="str">
        <f t="shared" si="97"/>
        <v/>
      </c>
      <c r="X603" s="338" t="str">
        <f t="shared" si="98"/>
        <v/>
      </c>
      <c r="Y603" s="274"/>
      <c r="AR603" t="str">
        <f t="shared" si="99"/>
        <v/>
      </c>
      <c r="AS603" t="str">
        <f t="shared" si="100"/>
        <v/>
      </c>
    </row>
    <row r="604" spans="1:45">
      <c r="A604" s="291"/>
      <c r="B604" s="292"/>
      <c r="C604" s="293"/>
      <c r="D604" s="293"/>
      <c r="E604" s="293"/>
      <c r="F604" s="293"/>
      <c r="G604" s="294"/>
      <c r="H604" s="300"/>
      <c r="I604" s="295"/>
      <c r="J604" s="295"/>
      <c r="K604" s="296"/>
      <c r="L604" s="301"/>
      <c r="M604" s="297"/>
      <c r="N604" s="298"/>
      <c r="P604" s="190" t="str">
        <f>IF(R604 = "", "", COUNT(R$4:$R604))</f>
        <v/>
      </c>
      <c r="Q604" s="190" t="str">
        <f t="shared" si="91"/>
        <v/>
      </c>
      <c r="R604" s="191" t="str">
        <f t="shared" si="92"/>
        <v/>
      </c>
      <c r="S604" s="192" t="str">
        <f t="shared" si="94"/>
        <v/>
      </c>
      <c r="T604" s="193" t="str">
        <f t="shared" si="95"/>
        <v/>
      </c>
      <c r="U604" s="194" t="str">
        <f t="shared" si="96"/>
        <v/>
      </c>
      <c r="V604" s="195" t="str">
        <f t="shared" si="93"/>
        <v/>
      </c>
      <c r="W604" s="336" t="str">
        <f t="shared" si="97"/>
        <v/>
      </c>
      <c r="X604" s="338" t="str">
        <f t="shared" si="98"/>
        <v/>
      </c>
      <c r="Y604" s="274"/>
      <c r="AR604" t="str">
        <f t="shared" si="99"/>
        <v/>
      </c>
      <c r="AS604" t="str">
        <f t="shared" si="100"/>
        <v/>
      </c>
    </row>
    <row r="605" spans="1:45">
      <c r="A605" s="291"/>
      <c r="B605" s="292"/>
      <c r="C605" s="293"/>
      <c r="D605" s="293"/>
      <c r="E605" s="293"/>
      <c r="F605" s="293"/>
      <c r="G605" s="294"/>
      <c r="H605" s="300"/>
      <c r="I605" s="295"/>
      <c r="J605" s="295"/>
      <c r="K605" s="296"/>
      <c r="L605" s="301"/>
      <c r="M605" s="297"/>
      <c r="N605" s="298"/>
      <c r="P605" s="190" t="str">
        <f>IF(R605 = "", "", COUNT(R$4:$R605))</f>
        <v/>
      </c>
      <c r="Q605" s="190" t="str">
        <f t="shared" si="91"/>
        <v/>
      </c>
      <c r="R605" s="191" t="str">
        <f t="shared" si="92"/>
        <v/>
      </c>
      <c r="S605" s="192" t="str">
        <f t="shared" si="94"/>
        <v/>
      </c>
      <c r="T605" s="193" t="str">
        <f t="shared" si="95"/>
        <v/>
      </c>
      <c r="U605" s="194" t="str">
        <f t="shared" si="96"/>
        <v/>
      </c>
      <c r="V605" s="195" t="str">
        <f t="shared" si="93"/>
        <v/>
      </c>
      <c r="W605" s="336" t="str">
        <f t="shared" si="97"/>
        <v/>
      </c>
      <c r="X605" s="338" t="str">
        <f t="shared" si="98"/>
        <v/>
      </c>
      <c r="Y605" s="274"/>
      <c r="AR605" t="str">
        <f t="shared" si="99"/>
        <v/>
      </c>
      <c r="AS605" t="str">
        <f t="shared" si="100"/>
        <v/>
      </c>
    </row>
    <row r="606" spans="1:45">
      <c r="A606" s="291"/>
      <c r="B606" s="292"/>
      <c r="C606" s="293"/>
      <c r="D606" s="293"/>
      <c r="E606" s="293"/>
      <c r="F606" s="293"/>
      <c r="G606" s="294"/>
      <c r="H606" s="300"/>
      <c r="I606" s="295"/>
      <c r="J606" s="295"/>
      <c r="K606" s="296"/>
      <c r="L606" s="301"/>
      <c r="M606" s="297"/>
      <c r="N606" s="298"/>
      <c r="P606" s="190" t="str">
        <f>IF(R606 = "", "", COUNT(R$4:$R606))</f>
        <v/>
      </c>
      <c r="Q606" s="190" t="str">
        <f t="shared" si="91"/>
        <v/>
      </c>
      <c r="R606" s="191" t="str">
        <f t="shared" si="92"/>
        <v/>
      </c>
      <c r="S606" s="192" t="str">
        <f t="shared" si="94"/>
        <v/>
      </c>
      <c r="T606" s="193" t="str">
        <f t="shared" si="95"/>
        <v/>
      </c>
      <c r="U606" s="194" t="str">
        <f t="shared" si="96"/>
        <v/>
      </c>
      <c r="V606" s="195" t="str">
        <f t="shared" si="93"/>
        <v/>
      </c>
      <c r="W606" s="336" t="str">
        <f t="shared" si="97"/>
        <v/>
      </c>
      <c r="X606" s="338" t="str">
        <f t="shared" si="98"/>
        <v/>
      </c>
      <c r="Y606" s="274"/>
      <c r="AR606" t="str">
        <f t="shared" si="99"/>
        <v/>
      </c>
      <c r="AS606" t="str">
        <f t="shared" si="100"/>
        <v/>
      </c>
    </row>
    <row r="607" spans="1:45">
      <c r="A607" s="291"/>
      <c r="B607" s="292"/>
      <c r="C607" s="293"/>
      <c r="D607" s="293"/>
      <c r="E607" s="293"/>
      <c r="F607" s="293"/>
      <c r="G607" s="294"/>
      <c r="H607" s="300"/>
      <c r="I607" s="295"/>
      <c r="J607" s="295"/>
      <c r="K607" s="296"/>
      <c r="L607" s="301"/>
      <c r="M607" s="297"/>
      <c r="N607" s="298"/>
      <c r="P607" s="190" t="str">
        <f>IF(R607 = "", "", COUNT(R$4:$R607))</f>
        <v/>
      </c>
      <c r="Q607" s="190" t="str">
        <f t="shared" si="91"/>
        <v/>
      </c>
      <c r="R607" s="191" t="str">
        <f t="shared" si="92"/>
        <v/>
      </c>
      <c r="S607" s="192" t="str">
        <f t="shared" si="94"/>
        <v/>
      </c>
      <c r="T607" s="193" t="str">
        <f t="shared" si="95"/>
        <v/>
      </c>
      <c r="U607" s="194" t="str">
        <f t="shared" si="96"/>
        <v/>
      </c>
      <c r="V607" s="195" t="str">
        <f t="shared" si="93"/>
        <v/>
      </c>
      <c r="W607" s="336" t="str">
        <f t="shared" si="97"/>
        <v/>
      </c>
      <c r="X607" s="338" t="str">
        <f t="shared" si="98"/>
        <v/>
      </c>
      <c r="Y607" s="274"/>
      <c r="AR607" t="str">
        <f t="shared" si="99"/>
        <v/>
      </c>
      <c r="AS607" t="str">
        <f t="shared" si="100"/>
        <v/>
      </c>
    </row>
    <row r="608" spans="1:45">
      <c r="A608" s="291"/>
      <c r="B608" s="292"/>
      <c r="C608" s="293"/>
      <c r="D608" s="293"/>
      <c r="E608" s="293"/>
      <c r="F608" s="293"/>
      <c r="G608" s="294"/>
      <c r="H608" s="300"/>
      <c r="I608" s="295"/>
      <c r="J608" s="295"/>
      <c r="K608" s="296"/>
      <c r="L608" s="301"/>
      <c r="M608" s="297"/>
      <c r="N608" s="298"/>
      <c r="P608" s="190" t="str">
        <f>IF(R608 = "", "", COUNT(R$4:$R608))</f>
        <v/>
      </c>
      <c r="Q608" s="190" t="str">
        <f t="shared" si="91"/>
        <v/>
      </c>
      <c r="R608" s="191" t="str">
        <f t="shared" si="92"/>
        <v/>
      </c>
      <c r="S608" s="192" t="str">
        <f t="shared" si="94"/>
        <v/>
      </c>
      <c r="T608" s="193" t="str">
        <f t="shared" si="95"/>
        <v/>
      </c>
      <c r="U608" s="194" t="str">
        <f t="shared" si="96"/>
        <v/>
      </c>
      <c r="V608" s="195" t="str">
        <f t="shared" si="93"/>
        <v/>
      </c>
      <c r="W608" s="336" t="str">
        <f t="shared" si="97"/>
        <v/>
      </c>
      <c r="X608" s="338" t="str">
        <f t="shared" si="98"/>
        <v/>
      </c>
      <c r="Y608" s="274"/>
      <c r="AR608" t="str">
        <f t="shared" si="99"/>
        <v/>
      </c>
      <c r="AS608" t="str">
        <f t="shared" si="100"/>
        <v/>
      </c>
    </row>
    <row r="609" spans="1:45">
      <c r="A609" s="291"/>
      <c r="B609" s="292"/>
      <c r="C609" s="293"/>
      <c r="D609" s="293"/>
      <c r="E609" s="293"/>
      <c r="F609" s="293"/>
      <c r="G609" s="294"/>
      <c r="H609" s="300"/>
      <c r="I609" s="295"/>
      <c r="J609" s="295"/>
      <c r="K609" s="296"/>
      <c r="L609" s="301"/>
      <c r="M609" s="297"/>
      <c r="N609" s="298"/>
      <c r="P609" s="190" t="str">
        <f>IF(R609 = "", "", COUNT(R$4:$R609))</f>
        <v/>
      </c>
      <c r="Q609" s="190" t="str">
        <f t="shared" si="91"/>
        <v/>
      </c>
      <c r="R609" s="191" t="str">
        <f t="shared" si="92"/>
        <v/>
      </c>
      <c r="S609" s="192" t="str">
        <f t="shared" si="94"/>
        <v/>
      </c>
      <c r="T609" s="193" t="str">
        <f t="shared" si="95"/>
        <v/>
      </c>
      <c r="U609" s="194" t="str">
        <f t="shared" si="96"/>
        <v/>
      </c>
      <c r="V609" s="195" t="str">
        <f t="shared" si="93"/>
        <v/>
      </c>
      <c r="W609" s="336" t="str">
        <f t="shared" si="97"/>
        <v/>
      </c>
      <c r="X609" s="338" t="str">
        <f t="shared" si="98"/>
        <v/>
      </c>
      <c r="Y609" s="274"/>
      <c r="AR609" t="str">
        <f t="shared" si="99"/>
        <v/>
      </c>
      <c r="AS609" t="str">
        <f t="shared" si="100"/>
        <v/>
      </c>
    </row>
    <row r="610" spans="1:45">
      <c r="A610" s="291"/>
      <c r="B610" s="292"/>
      <c r="C610" s="293"/>
      <c r="D610" s="293"/>
      <c r="E610" s="293"/>
      <c r="F610" s="293"/>
      <c r="G610" s="294"/>
      <c r="H610" s="300"/>
      <c r="I610" s="295"/>
      <c r="J610" s="295"/>
      <c r="K610" s="296"/>
      <c r="L610" s="301"/>
      <c r="M610" s="297"/>
      <c r="N610" s="298"/>
      <c r="P610" s="190" t="str">
        <f>IF(R610 = "", "", COUNT(R$4:$R610))</f>
        <v/>
      </c>
      <c r="Q610" s="190" t="str">
        <f t="shared" si="91"/>
        <v/>
      </c>
      <c r="R610" s="191" t="str">
        <f t="shared" si="92"/>
        <v/>
      </c>
      <c r="S610" s="192" t="str">
        <f t="shared" si="94"/>
        <v/>
      </c>
      <c r="T610" s="193" t="str">
        <f t="shared" si="95"/>
        <v/>
      </c>
      <c r="U610" s="194" t="str">
        <f t="shared" si="96"/>
        <v/>
      </c>
      <c r="V610" s="195" t="str">
        <f t="shared" si="93"/>
        <v/>
      </c>
      <c r="W610" s="336" t="str">
        <f t="shared" si="97"/>
        <v/>
      </c>
      <c r="X610" s="338" t="str">
        <f t="shared" si="98"/>
        <v/>
      </c>
      <c r="Y610" s="274"/>
      <c r="AR610" t="str">
        <f t="shared" si="99"/>
        <v/>
      </c>
      <c r="AS610" t="str">
        <f t="shared" si="100"/>
        <v/>
      </c>
    </row>
    <row r="611" spans="1:45">
      <c r="A611" s="291"/>
      <c r="B611" s="292"/>
      <c r="C611" s="293"/>
      <c r="D611" s="293"/>
      <c r="E611" s="293"/>
      <c r="F611" s="293"/>
      <c r="G611" s="294"/>
      <c r="H611" s="300"/>
      <c r="I611" s="295"/>
      <c r="J611" s="295"/>
      <c r="K611" s="296"/>
      <c r="L611" s="301"/>
      <c r="M611" s="297"/>
      <c r="N611" s="298"/>
      <c r="P611" s="190" t="str">
        <f>IF(R611 = "", "", COUNT(R$4:$R611))</f>
        <v/>
      </c>
      <c r="Q611" s="190" t="str">
        <f t="shared" si="91"/>
        <v/>
      </c>
      <c r="R611" s="191" t="str">
        <f t="shared" si="92"/>
        <v/>
      </c>
      <c r="S611" s="192" t="str">
        <f t="shared" si="94"/>
        <v/>
      </c>
      <c r="T611" s="193" t="str">
        <f t="shared" si="95"/>
        <v/>
      </c>
      <c r="U611" s="194" t="str">
        <f t="shared" si="96"/>
        <v/>
      </c>
      <c r="V611" s="195" t="str">
        <f t="shared" si="93"/>
        <v/>
      </c>
      <c r="W611" s="336" t="str">
        <f t="shared" si="97"/>
        <v/>
      </c>
      <c r="X611" s="338" t="str">
        <f t="shared" si="98"/>
        <v/>
      </c>
      <c r="Y611" s="274"/>
      <c r="AR611" t="str">
        <f t="shared" si="99"/>
        <v/>
      </c>
      <c r="AS611" t="str">
        <f t="shared" si="100"/>
        <v/>
      </c>
    </row>
    <row r="612" spans="1:45">
      <c r="A612" s="291"/>
      <c r="B612" s="292"/>
      <c r="C612" s="293"/>
      <c r="D612" s="293"/>
      <c r="E612" s="293"/>
      <c r="F612" s="293"/>
      <c r="G612" s="294"/>
      <c r="H612" s="300"/>
      <c r="I612" s="295"/>
      <c r="J612" s="295"/>
      <c r="K612" s="296"/>
      <c r="L612" s="301"/>
      <c r="M612" s="297"/>
      <c r="N612" s="298"/>
      <c r="P612" s="190" t="str">
        <f>IF(R612 = "", "", COUNT(R$4:$R612))</f>
        <v/>
      </c>
      <c r="Q612" s="190" t="str">
        <f t="shared" si="91"/>
        <v/>
      </c>
      <c r="R612" s="191" t="str">
        <f t="shared" si="92"/>
        <v/>
      </c>
      <c r="S612" s="192" t="str">
        <f t="shared" si="94"/>
        <v/>
      </c>
      <c r="T612" s="193" t="str">
        <f t="shared" si="95"/>
        <v/>
      </c>
      <c r="U612" s="194" t="str">
        <f t="shared" si="96"/>
        <v/>
      </c>
      <c r="V612" s="195" t="str">
        <f t="shared" si="93"/>
        <v/>
      </c>
      <c r="W612" s="336" t="str">
        <f t="shared" si="97"/>
        <v/>
      </c>
      <c r="X612" s="338" t="str">
        <f t="shared" si="98"/>
        <v/>
      </c>
      <c r="Y612" s="274"/>
      <c r="AR612" t="str">
        <f t="shared" si="99"/>
        <v/>
      </c>
      <c r="AS612" t="str">
        <f t="shared" si="100"/>
        <v/>
      </c>
    </row>
    <row r="613" spans="1:45">
      <c r="A613" s="291"/>
      <c r="B613" s="292"/>
      <c r="C613" s="293"/>
      <c r="D613" s="293"/>
      <c r="E613" s="293"/>
      <c r="F613" s="293"/>
      <c r="G613" s="294"/>
      <c r="H613" s="300"/>
      <c r="I613" s="295"/>
      <c r="J613" s="295"/>
      <c r="K613" s="296"/>
      <c r="L613" s="301"/>
      <c r="M613" s="297"/>
      <c r="N613" s="298"/>
      <c r="P613" s="190" t="str">
        <f>IF(R613 = "", "", COUNT(R$4:$R613))</f>
        <v/>
      </c>
      <c r="Q613" s="190" t="str">
        <f t="shared" si="91"/>
        <v/>
      </c>
      <c r="R613" s="191" t="str">
        <f t="shared" si="92"/>
        <v/>
      </c>
      <c r="S613" s="192" t="str">
        <f t="shared" si="94"/>
        <v/>
      </c>
      <c r="T613" s="193" t="str">
        <f t="shared" si="95"/>
        <v/>
      </c>
      <c r="U613" s="194" t="str">
        <f t="shared" si="96"/>
        <v/>
      </c>
      <c r="V613" s="195" t="str">
        <f t="shared" si="93"/>
        <v/>
      </c>
      <c r="W613" s="336" t="str">
        <f t="shared" si="97"/>
        <v/>
      </c>
      <c r="X613" s="338" t="str">
        <f t="shared" si="98"/>
        <v/>
      </c>
      <c r="Y613" s="274"/>
      <c r="AR613" t="str">
        <f t="shared" si="99"/>
        <v/>
      </c>
      <c r="AS613" t="str">
        <f t="shared" si="100"/>
        <v/>
      </c>
    </row>
    <row r="614" spans="1:45">
      <c r="A614" s="291"/>
      <c r="B614" s="292"/>
      <c r="C614" s="293"/>
      <c r="D614" s="293"/>
      <c r="E614" s="293"/>
      <c r="F614" s="293"/>
      <c r="G614" s="294"/>
      <c r="H614" s="300"/>
      <c r="I614" s="295"/>
      <c r="J614" s="295"/>
      <c r="K614" s="296"/>
      <c r="L614" s="301"/>
      <c r="M614" s="297"/>
      <c r="N614" s="298"/>
      <c r="P614" s="190" t="str">
        <f>IF(R614 = "", "", COUNT(R$4:$R614))</f>
        <v/>
      </c>
      <c r="Q614" s="190" t="str">
        <f t="shared" si="91"/>
        <v/>
      </c>
      <c r="R614" s="191" t="str">
        <f t="shared" si="92"/>
        <v/>
      </c>
      <c r="S614" s="192" t="str">
        <f t="shared" si="94"/>
        <v/>
      </c>
      <c r="T614" s="193" t="str">
        <f t="shared" si="95"/>
        <v/>
      </c>
      <c r="U614" s="194" t="str">
        <f t="shared" si="96"/>
        <v/>
      </c>
      <c r="V614" s="195" t="str">
        <f t="shared" si="93"/>
        <v/>
      </c>
      <c r="W614" s="336" t="str">
        <f t="shared" si="97"/>
        <v/>
      </c>
      <c r="X614" s="338" t="str">
        <f t="shared" si="98"/>
        <v/>
      </c>
      <c r="Y614" s="274"/>
      <c r="AR614" t="str">
        <f t="shared" si="99"/>
        <v/>
      </c>
      <c r="AS614" t="str">
        <f t="shared" si="100"/>
        <v/>
      </c>
    </row>
    <row r="615" spans="1:45">
      <c r="A615" s="291"/>
      <c r="B615" s="292"/>
      <c r="C615" s="293"/>
      <c r="D615" s="293"/>
      <c r="E615" s="293"/>
      <c r="F615" s="293"/>
      <c r="G615" s="294"/>
      <c r="H615" s="300"/>
      <c r="I615" s="295"/>
      <c r="J615" s="295"/>
      <c r="K615" s="296"/>
      <c r="L615" s="301"/>
      <c r="M615" s="297"/>
      <c r="N615" s="298"/>
      <c r="P615" s="190" t="str">
        <f>IF(R615 = "", "", COUNT(R$4:$R615))</f>
        <v/>
      </c>
      <c r="Q615" s="190" t="str">
        <f t="shared" si="91"/>
        <v/>
      </c>
      <c r="R615" s="191" t="str">
        <f t="shared" si="92"/>
        <v/>
      </c>
      <c r="S615" s="192" t="str">
        <f t="shared" si="94"/>
        <v/>
      </c>
      <c r="T615" s="193" t="str">
        <f t="shared" si="95"/>
        <v/>
      </c>
      <c r="U615" s="194" t="str">
        <f t="shared" si="96"/>
        <v/>
      </c>
      <c r="V615" s="195" t="str">
        <f t="shared" si="93"/>
        <v/>
      </c>
      <c r="W615" s="336" t="str">
        <f t="shared" si="97"/>
        <v/>
      </c>
      <c r="X615" s="338" t="str">
        <f t="shared" si="98"/>
        <v/>
      </c>
      <c r="Y615" s="274"/>
      <c r="AR615" t="str">
        <f t="shared" si="99"/>
        <v/>
      </c>
      <c r="AS615" t="str">
        <f t="shared" si="100"/>
        <v/>
      </c>
    </row>
    <row r="616" spans="1:45">
      <c r="A616" s="291"/>
      <c r="B616" s="292"/>
      <c r="C616" s="293"/>
      <c r="D616" s="293"/>
      <c r="E616" s="293"/>
      <c r="F616" s="293"/>
      <c r="G616" s="294"/>
      <c r="H616" s="300"/>
      <c r="I616" s="295"/>
      <c r="J616" s="295"/>
      <c r="K616" s="296"/>
      <c r="L616" s="301"/>
      <c r="M616" s="297"/>
      <c r="N616" s="298"/>
      <c r="P616" s="190" t="str">
        <f>IF(R616 = "", "", COUNT(R$4:$R616))</f>
        <v/>
      </c>
      <c r="Q616" s="190" t="str">
        <f t="shared" si="91"/>
        <v/>
      </c>
      <c r="R616" s="191" t="str">
        <f t="shared" si="92"/>
        <v/>
      </c>
      <c r="S616" s="192" t="str">
        <f t="shared" si="94"/>
        <v/>
      </c>
      <c r="T616" s="193" t="str">
        <f t="shared" si="95"/>
        <v/>
      </c>
      <c r="U616" s="194" t="str">
        <f t="shared" si="96"/>
        <v/>
      </c>
      <c r="V616" s="195" t="str">
        <f t="shared" si="93"/>
        <v/>
      </c>
      <c r="W616" s="336" t="str">
        <f t="shared" si="97"/>
        <v/>
      </c>
      <c r="X616" s="338" t="str">
        <f t="shared" si="98"/>
        <v/>
      </c>
      <c r="Y616" s="274"/>
      <c r="AR616" t="str">
        <f t="shared" si="99"/>
        <v/>
      </c>
      <c r="AS616" t="str">
        <f t="shared" si="100"/>
        <v/>
      </c>
    </row>
    <row r="617" spans="1:45">
      <c r="A617" s="291"/>
      <c r="B617" s="292"/>
      <c r="C617" s="293"/>
      <c r="D617" s="293"/>
      <c r="E617" s="293"/>
      <c r="F617" s="293"/>
      <c r="G617" s="294"/>
      <c r="H617" s="300"/>
      <c r="I617" s="295"/>
      <c r="J617" s="295"/>
      <c r="K617" s="296"/>
      <c r="L617" s="301"/>
      <c r="M617" s="297"/>
      <c r="N617" s="298"/>
      <c r="P617" s="190" t="str">
        <f>IF(R617 = "", "", COUNT(R$4:$R617))</f>
        <v/>
      </c>
      <c r="Q617" s="190" t="str">
        <f t="shared" si="91"/>
        <v/>
      </c>
      <c r="R617" s="191" t="str">
        <f t="shared" si="92"/>
        <v/>
      </c>
      <c r="S617" s="192" t="str">
        <f t="shared" si="94"/>
        <v/>
      </c>
      <c r="T617" s="193" t="str">
        <f t="shared" si="95"/>
        <v/>
      </c>
      <c r="U617" s="194" t="str">
        <f t="shared" si="96"/>
        <v/>
      </c>
      <c r="V617" s="195" t="str">
        <f t="shared" si="93"/>
        <v/>
      </c>
      <c r="W617" s="336" t="str">
        <f t="shared" si="97"/>
        <v/>
      </c>
      <c r="X617" s="338" t="str">
        <f t="shared" si="98"/>
        <v/>
      </c>
      <c r="Y617" s="274"/>
      <c r="AR617" t="str">
        <f t="shared" si="99"/>
        <v/>
      </c>
      <c r="AS617" t="str">
        <f t="shared" si="100"/>
        <v/>
      </c>
    </row>
    <row r="618" spans="1:45">
      <c r="A618" s="291"/>
      <c r="B618" s="292"/>
      <c r="C618" s="293"/>
      <c r="D618" s="293"/>
      <c r="E618" s="293"/>
      <c r="F618" s="293"/>
      <c r="G618" s="294"/>
      <c r="H618" s="300"/>
      <c r="I618" s="295"/>
      <c r="J618" s="295"/>
      <c r="K618" s="296"/>
      <c r="L618" s="301"/>
      <c r="M618" s="297"/>
      <c r="N618" s="298"/>
      <c r="P618" s="190" t="str">
        <f>IF(R618 = "", "", COUNT(R$4:$R618))</f>
        <v/>
      </c>
      <c r="Q618" s="190" t="str">
        <f t="shared" si="91"/>
        <v/>
      </c>
      <c r="R618" s="191" t="str">
        <f t="shared" si="92"/>
        <v/>
      </c>
      <c r="S618" s="192" t="str">
        <f t="shared" si="94"/>
        <v/>
      </c>
      <c r="T618" s="193" t="str">
        <f t="shared" si="95"/>
        <v/>
      </c>
      <c r="U618" s="194" t="str">
        <f t="shared" si="96"/>
        <v/>
      </c>
      <c r="V618" s="195" t="str">
        <f t="shared" si="93"/>
        <v/>
      </c>
      <c r="W618" s="336" t="str">
        <f t="shared" si="97"/>
        <v/>
      </c>
      <c r="X618" s="338" t="str">
        <f t="shared" si="98"/>
        <v/>
      </c>
      <c r="Y618" s="274"/>
      <c r="AR618" t="str">
        <f t="shared" si="99"/>
        <v/>
      </c>
      <c r="AS618" t="str">
        <f t="shared" si="100"/>
        <v/>
      </c>
    </row>
    <row r="619" spans="1:45">
      <c r="A619" s="291"/>
      <c r="B619" s="292"/>
      <c r="C619" s="293"/>
      <c r="D619" s="293"/>
      <c r="E619" s="293"/>
      <c r="F619" s="293"/>
      <c r="G619" s="294"/>
      <c r="H619" s="300"/>
      <c r="I619" s="295"/>
      <c r="J619" s="295"/>
      <c r="K619" s="296"/>
      <c r="L619" s="301"/>
      <c r="M619" s="297"/>
      <c r="N619" s="298"/>
      <c r="P619" s="190" t="str">
        <f>IF(R619 = "", "", COUNT(R$4:$R619))</f>
        <v/>
      </c>
      <c r="Q619" s="190" t="str">
        <f t="shared" si="91"/>
        <v/>
      </c>
      <c r="R619" s="191" t="str">
        <f t="shared" si="92"/>
        <v/>
      </c>
      <c r="S619" s="192" t="str">
        <f t="shared" si="94"/>
        <v/>
      </c>
      <c r="T619" s="193" t="str">
        <f t="shared" si="95"/>
        <v/>
      </c>
      <c r="U619" s="194" t="str">
        <f t="shared" si="96"/>
        <v/>
      </c>
      <c r="V619" s="195" t="str">
        <f t="shared" si="93"/>
        <v/>
      </c>
      <c r="W619" s="336" t="str">
        <f t="shared" si="97"/>
        <v/>
      </c>
      <c r="X619" s="338" t="str">
        <f t="shared" si="98"/>
        <v/>
      </c>
      <c r="Y619" s="274"/>
      <c r="AR619" t="str">
        <f t="shared" si="99"/>
        <v/>
      </c>
      <c r="AS619" t="str">
        <f t="shared" si="100"/>
        <v/>
      </c>
    </row>
    <row r="620" spans="1:45">
      <c r="A620" s="291"/>
      <c r="B620" s="292"/>
      <c r="C620" s="293"/>
      <c r="D620" s="293"/>
      <c r="E620" s="293"/>
      <c r="F620" s="293"/>
      <c r="G620" s="294"/>
      <c r="H620" s="300"/>
      <c r="I620" s="295"/>
      <c r="J620" s="295"/>
      <c r="K620" s="296"/>
      <c r="L620" s="301"/>
      <c r="M620" s="297"/>
      <c r="N620" s="298"/>
      <c r="P620" s="190" t="str">
        <f>IF(R620 = "", "", COUNT(R$4:$R620))</f>
        <v/>
      </c>
      <c r="Q620" s="190" t="str">
        <f t="shared" si="91"/>
        <v/>
      </c>
      <c r="R620" s="191" t="str">
        <f t="shared" si="92"/>
        <v/>
      </c>
      <c r="S620" s="192" t="str">
        <f t="shared" si="94"/>
        <v/>
      </c>
      <c r="T620" s="193" t="str">
        <f t="shared" si="95"/>
        <v/>
      </c>
      <c r="U620" s="194" t="str">
        <f t="shared" si="96"/>
        <v/>
      </c>
      <c r="V620" s="195" t="str">
        <f t="shared" si="93"/>
        <v/>
      </c>
      <c r="W620" s="336" t="str">
        <f t="shared" si="97"/>
        <v/>
      </c>
      <c r="X620" s="338" t="str">
        <f t="shared" si="98"/>
        <v/>
      </c>
      <c r="Y620" s="274"/>
      <c r="AR620" t="str">
        <f t="shared" si="99"/>
        <v/>
      </c>
      <c r="AS620" t="str">
        <f t="shared" si="100"/>
        <v/>
      </c>
    </row>
    <row r="621" spans="1:45">
      <c r="A621" s="291"/>
      <c r="B621" s="292"/>
      <c r="C621" s="293"/>
      <c r="D621" s="293"/>
      <c r="E621" s="293"/>
      <c r="F621" s="293"/>
      <c r="G621" s="294"/>
      <c r="H621" s="300"/>
      <c r="I621" s="295"/>
      <c r="J621" s="295"/>
      <c r="K621" s="296"/>
      <c r="L621" s="301"/>
      <c r="M621" s="297"/>
      <c r="N621" s="298"/>
      <c r="P621" s="190" t="str">
        <f>IF(R621 = "", "", COUNT(R$4:$R621))</f>
        <v/>
      </c>
      <c r="Q621" s="190" t="str">
        <f t="shared" si="91"/>
        <v/>
      </c>
      <c r="R621" s="191" t="str">
        <f t="shared" si="92"/>
        <v/>
      </c>
      <c r="S621" s="192" t="str">
        <f t="shared" si="94"/>
        <v/>
      </c>
      <c r="T621" s="193" t="str">
        <f t="shared" si="95"/>
        <v/>
      </c>
      <c r="U621" s="194" t="str">
        <f t="shared" si="96"/>
        <v/>
      </c>
      <c r="V621" s="195" t="str">
        <f t="shared" si="93"/>
        <v/>
      </c>
      <c r="W621" s="336" t="str">
        <f t="shared" si="97"/>
        <v/>
      </c>
      <c r="X621" s="338" t="str">
        <f t="shared" si="98"/>
        <v/>
      </c>
      <c r="Y621" s="274"/>
      <c r="AR621" t="str">
        <f t="shared" si="99"/>
        <v/>
      </c>
      <c r="AS621" t="str">
        <f t="shared" si="100"/>
        <v/>
      </c>
    </row>
    <row r="622" spans="1:45">
      <c r="A622" s="291"/>
      <c r="B622" s="292"/>
      <c r="C622" s="293"/>
      <c r="D622" s="293"/>
      <c r="E622" s="293"/>
      <c r="F622" s="293"/>
      <c r="G622" s="294"/>
      <c r="H622" s="300"/>
      <c r="I622" s="295"/>
      <c r="J622" s="295"/>
      <c r="K622" s="296"/>
      <c r="L622" s="301"/>
      <c r="M622" s="297"/>
      <c r="N622" s="298"/>
      <c r="P622" s="190" t="str">
        <f>IF(R622 = "", "", COUNT(R$4:$R622))</f>
        <v/>
      </c>
      <c r="Q622" s="190" t="str">
        <f t="shared" si="91"/>
        <v/>
      </c>
      <c r="R622" s="191" t="str">
        <f t="shared" si="92"/>
        <v/>
      </c>
      <c r="S622" s="192" t="str">
        <f t="shared" si="94"/>
        <v/>
      </c>
      <c r="T622" s="193" t="str">
        <f t="shared" si="95"/>
        <v/>
      </c>
      <c r="U622" s="194" t="str">
        <f t="shared" si="96"/>
        <v/>
      </c>
      <c r="V622" s="195" t="str">
        <f t="shared" si="93"/>
        <v/>
      </c>
      <c r="W622" s="336" t="str">
        <f t="shared" si="97"/>
        <v/>
      </c>
      <c r="X622" s="338" t="str">
        <f t="shared" si="98"/>
        <v/>
      </c>
      <c r="Y622" s="274"/>
      <c r="AR622" t="str">
        <f t="shared" si="99"/>
        <v/>
      </c>
      <c r="AS622" t="str">
        <f t="shared" si="100"/>
        <v/>
      </c>
    </row>
    <row r="623" spans="1:45">
      <c r="A623" s="291"/>
      <c r="B623" s="292"/>
      <c r="C623" s="293"/>
      <c r="D623" s="293"/>
      <c r="E623" s="293"/>
      <c r="F623" s="293"/>
      <c r="G623" s="294"/>
      <c r="H623" s="300"/>
      <c r="I623" s="295"/>
      <c r="J623" s="295"/>
      <c r="K623" s="296"/>
      <c r="L623" s="301"/>
      <c r="M623" s="297"/>
      <c r="N623" s="298"/>
      <c r="P623" s="190" t="str">
        <f>IF(R623 = "", "", COUNT(R$4:$R623))</f>
        <v/>
      </c>
      <c r="Q623" s="190" t="str">
        <f t="shared" si="91"/>
        <v/>
      </c>
      <c r="R623" s="191" t="str">
        <f t="shared" si="92"/>
        <v/>
      </c>
      <c r="S623" s="192" t="str">
        <f t="shared" si="94"/>
        <v/>
      </c>
      <c r="T623" s="193" t="str">
        <f t="shared" si="95"/>
        <v/>
      </c>
      <c r="U623" s="194" t="str">
        <f t="shared" si="96"/>
        <v/>
      </c>
      <c r="V623" s="195" t="str">
        <f t="shared" si="93"/>
        <v/>
      </c>
      <c r="W623" s="336" t="str">
        <f t="shared" si="97"/>
        <v/>
      </c>
      <c r="X623" s="338" t="str">
        <f t="shared" si="98"/>
        <v/>
      </c>
      <c r="Y623" s="274"/>
      <c r="AR623" t="str">
        <f t="shared" si="99"/>
        <v/>
      </c>
      <c r="AS623" t="str">
        <f t="shared" si="100"/>
        <v/>
      </c>
    </row>
    <row r="624" spans="1:45">
      <c r="A624" s="291"/>
      <c r="B624" s="292"/>
      <c r="C624" s="293"/>
      <c r="D624" s="293"/>
      <c r="E624" s="293"/>
      <c r="F624" s="293"/>
      <c r="G624" s="294"/>
      <c r="H624" s="300"/>
      <c r="I624" s="295"/>
      <c r="J624" s="295"/>
      <c r="K624" s="296"/>
      <c r="L624" s="301"/>
      <c r="M624" s="297"/>
      <c r="N624" s="298"/>
      <c r="P624" s="190" t="str">
        <f>IF(R624 = "", "", COUNT(R$4:$R624))</f>
        <v/>
      </c>
      <c r="Q624" s="190" t="str">
        <f t="shared" si="91"/>
        <v/>
      </c>
      <c r="R624" s="191" t="str">
        <f t="shared" si="92"/>
        <v/>
      </c>
      <c r="S624" s="192" t="str">
        <f t="shared" si="94"/>
        <v/>
      </c>
      <c r="T624" s="193" t="str">
        <f t="shared" si="95"/>
        <v/>
      </c>
      <c r="U624" s="194" t="str">
        <f t="shared" si="96"/>
        <v/>
      </c>
      <c r="V624" s="195" t="str">
        <f t="shared" si="93"/>
        <v/>
      </c>
      <c r="W624" s="336" t="str">
        <f t="shared" si="97"/>
        <v/>
      </c>
      <c r="X624" s="338" t="str">
        <f t="shared" si="98"/>
        <v/>
      </c>
      <c r="Y624" s="274"/>
      <c r="AR624" t="str">
        <f t="shared" si="99"/>
        <v/>
      </c>
      <c r="AS624" t="str">
        <f t="shared" si="100"/>
        <v/>
      </c>
    </row>
    <row r="625" spans="1:45">
      <c r="A625" s="291"/>
      <c r="B625" s="292"/>
      <c r="C625" s="293"/>
      <c r="D625" s="293"/>
      <c r="E625" s="293"/>
      <c r="F625" s="293"/>
      <c r="G625" s="294"/>
      <c r="H625" s="300"/>
      <c r="I625" s="295"/>
      <c r="J625" s="295"/>
      <c r="K625" s="296"/>
      <c r="L625" s="301"/>
      <c r="M625" s="297"/>
      <c r="N625" s="298"/>
      <c r="P625" s="190" t="str">
        <f>IF(R625 = "", "", COUNT(R$4:$R625))</f>
        <v/>
      </c>
      <c r="Q625" s="190" t="str">
        <f t="shared" si="91"/>
        <v/>
      </c>
      <c r="R625" s="191" t="str">
        <f t="shared" si="92"/>
        <v/>
      </c>
      <c r="S625" s="192" t="str">
        <f t="shared" si="94"/>
        <v/>
      </c>
      <c r="T625" s="193" t="str">
        <f t="shared" si="95"/>
        <v/>
      </c>
      <c r="U625" s="194" t="str">
        <f t="shared" si="96"/>
        <v/>
      </c>
      <c r="V625" s="195" t="str">
        <f t="shared" si="93"/>
        <v/>
      </c>
      <c r="W625" s="336" t="str">
        <f t="shared" si="97"/>
        <v/>
      </c>
      <c r="X625" s="338" t="str">
        <f t="shared" si="98"/>
        <v/>
      </c>
      <c r="Y625" s="274"/>
      <c r="AR625" t="str">
        <f t="shared" si="99"/>
        <v/>
      </c>
      <c r="AS625" t="str">
        <f t="shared" si="100"/>
        <v/>
      </c>
    </row>
    <row r="626" spans="1:45">
      <c r="A626" s="291"/>
      <c r="B626" s="292"/>
      <c r="C626" s="293"/>
      <c r="D626" s="293"/>
      <c r="E626" s="293"/>
      <c r="F626" s="293"/>
      <c r="G626" s="294"/>
      <c r="H626" s="300"/>
      <c r="I626" s="295"/>
      <c r="J626" s="295"/>
      <c r="K626" s="296"/>
      <c r="L626" s="301"/>
      <c r="M626" s="297"/>
      <c r="N626" s="298"/>
      <c r="P626" s="190" t="str">
        <f>IF(R626 = "", "", COUNT(R$4:$R626))</f>
        <v/>
      </c>
      <c r="Q626" s="190" t="str">
        <f t="shared" si="91"/>
        <v/>
      </c>
      <c r="R626" s="191" t="str">
        <f t="shared" si="92"/>
        <v/>
      </c>
      <c r="S626" s="192" t="str">
        <f t="shared" si="94"/>
        <v/>
      </c>
      <c r="T626" s="193" t="str">
        <f t="shared" si="95"/>
        <v/>
      </c>
      <c r="U626" s="194" t="str">
        <f t="shared" si="96"/>
        <v/>
      </c>
      <c r="V626" s="195" t="str">
        <f t="shared" si="93"/>
        <v/>
      </c>
      <c r="W626" s="336" t="str">
        <f t="shared" si="97"/>
        <v/>
      </c>
      <c r="X626" s="338" t="str">
        <f t="shared" si="98"/>
        <v/>
      </c>
      <c r="Y626" s="274"/>
      <c r="AR626" t="str">
        <f t="shared" si="99"/>
        <v/>
      </c>
      <c r="AS626" t="str">
        <f t="shared" si="100"/>
        <v/>
      </c>
    </row>
    <row r="627" spans="1:45">
      <c r="A627" s="291"/>
      <c r="B627" s="292"/>
      <c r="C627" s="293"/>
      <c r="D627" s="293"/>
      <c r="E627" s="293"/>
      <c r="F627" s="293"/>
      <c r="G627" s="294"/>
      <c r="H627" s="300"/>
      <c r="I627" s="295"/>
      <c r="J627" s="295"/>
      <c r="K627" s="296"/>
      <c r="L627" s="301"/>
      <c r="M627" s="297"/>
      <c r="N627" s="298"/>
      <c r="P627" s="190" t="str">
        <f>IF(R627 = "", "", COUNT(R$4:$R627))</f>
        <v/>
      </c>
      <c r="Q627" s="190" t="str">
        <f t="shared" si="91"/>
        <v/>
      </c>
      <c r="R627" s="191" t="str">
        <f t="shared" si="92"/>
        <v/>
      </c>
      <c r="S627" s="192" t="str">
        <f t="shared" si="94"/>
        <v/>
      </c>
      <c r="T627" s="193" t="str">
        <f t="shared" si="95"/>
        <v/>
      </c>
      <c r="U627" s="194" t="str">
        <f t="shared" si="96"/>
        <v/>
      </c>
      <c r="V627" s="195" t="str">
        <f t="shared" si="93"/>
        <v/>
      </c>
      <c r="W627" s="336" t="str">
        <f t="shared" si="97"/>
        <v/>
      </c>
      <c r="X627" s="338" t="str">
        <f t="shared" si="98"/>
        <v/>
      </c>
      <c r="Y627" s="274"/>
      <c r="AR627" t="str">
        <f t="shared" si="99"/>
        <v/>
      </c>
      <c r="AS627" t="str">
        <f t="shared" si="100"/>
        <v/>
      </c>
    </row>
    <row r="628" spans="1:45">
      <c r="A628" s="291"/>
      <c r="B628" s="292"/>
      <c r="C628" s="293"/>
      <c r="D628" s="293"/>
      <c r="E628" s="293"/>
      <c r="F628" s="293"/>
      <c r="G628" s="294"/>
      <c r="H628" s="300"/>
      <c r="I628" s="295"/>
      <c r="J628" s="295"/>
      <c r="K628" s="296"/>
      <c r="L628" s="301"/>
      <c r="M628" s="297"/>
      <c r="N628" s="298"/>
      <c r="P628" s="190" t="str">
        <f>IF(R628 = "", "", COUNT(R$4:$R628))</f>
        <v/>
      </c>
      <c r="Q628" s="190" t="str">
        <f t="shared" si="91"/>
        <v/>
      </c>
      <c r="R628" s="191" t="str">
        <f t="shared" si="92"/>
        <v/>
      </c>
      <c r="S628" s="192" t="str">
        <f t="shared" si="94"/>
        <v/>
      </c>
      <c r="T628" s="193" t="str">
        <f t="shared" si="95"/>
        <v/>
      </c>
      <c r="U628" s="194" t="str">
        <f t="shared" si="96"/>
        <v/>
      </c>
      <c r="V628" s="195" t="str">
        <f t="shared" si="93"/>
        <v/>
      </c>
      <c r="W628" s="336" t="str">
        <f t="shared" si="97"/>
        <v/>
      </c>
      <c r="X628" s="338" t="str">
        <f t="shared" si="98"/>
        <v/>
      </c>
      <c r="Y628" s="274"/>
      <c r="AR628" t="str">
        <f t="shared" si="99"/>
        <v/>
      </c>
      <c r="AS628" t="str">
        <f t="shared" si="100"/>
        <v/>
      </c>
    </row>
    <row r="629" spans="1:45">
      <c r="A629" s="291"/>
      <c r="B629" s="292"/>
      <c r="C629" s="293"/>
      <c r="D629" s="293"/>
      <c r="E629" s="293"/>
      <c r="F629" s="293"/>
      <c r="G629" s="294"/>
      <c r="H629" s="300"/>
      <c r="I629" s="295"/>
      <c r="J629" s="295"/>
      <c r="K629" s="296"/>
      <c r="L629" s="301"/>
      <c r="M629" s="297"/>
      <c r="N629" s="298"/>
      <c r="P629" s="190" t="str">
        <f>IF(R629 = "", "", COUNT(R$4:$R629))</f>
        <v/>
      </c>
      <c r="Q629" s="190" t="str">
        <f t="shared" si="91"/>
        <v/>
      </c>
      <c r="R629" s="191" t="str">
        <f t="shared" si="92"/>
        <v/>
      </c>
      <c r="S629" s="192" t="str">
        <f t="shared" si="94"/>
        <v/>
      </c>
      <c r="T629" s="193" t="str">
        <f t="shared" si="95"/>
        <v/>
      </c>
      <c r="U629" s="194" t="str">
        <f t="shared" si="96"/>
        <v/>
      </c>
      <c r="V629" s="195" t="str">
        <f t="shared" si="93"/>
        <v/>
      </c>
      <c r="W629" s="336" t="str">
        <f t="shared" si="97"/>
        <v/>
      </c>
      <c r="X629" s="338" t="str">
        <f t="shared" si="98"/>
        <v/>
      </c>
      <c r="Y629" s="274"/>
      <c r="AR629" t="str">
        <f t="shared" si="99"/>
        <v/>
      </c>
      <c r="AS629" t="str">
        <f t="shared" si="100"/>
        <v/>
      </c>
    </row>
    <row r="630" spans="1:45">
      <c r="A630" s="291"/>
      <c r="B630" s="292"/>
      <c r="C630" s="293"/>
      <c r="D630" s="293"/>
      <c r="E630" s="293"/>
      <c r="F630" s="293"/>
      <c r="G630" s="294"/>
      <c r="H630" s="300"/>
      <c r="I630" s="295"/>
      <c r="J630" s="295"/>
      <c r="K630" s="296"/>
      <c r="L630" s="301"/>
      <c r="M630" s="297"/>
      <c r="N630" s="298"/>
      <c r="P630" s="190" t="str">
        <f>IF(R630 = "", "", COUNT(R$4:$R630))</f>
        <v/>
      </c>
      <c r="Q630" s="190" t="str">
        <f t="shared" si="91"/>
        <v/>
      </c>
      <c r="R630" s="191" t="str">
        <f t="shared" si="92"/>
        <v/>
      </c>
      <c r="S630" s="192" t="str">
        <f t="shared" si="94"/>
        <v/>
      </c>
      <c r="T630" s="193" t="str">
        <f t="shared" si="95"/>
        <v/>
      </c>
      <c r="U630" s="194" t="str">
        <f t="shared" si="96"/>
        <v/>
      </c>
      <c r="V630" s="195" t="str">
        <f t="shared" si="93"/>
        <v/>
      </c>
      <c r="W630" s="336" t="str">
        <f t="shared" si="97"/>
        <v/>
      </c>
      <c r="X630" s="338" t="str">
        <f t="shared" si="98"/>
        <v/>
      </c>
      <c r="Y630" s="274"/>
      <c r="AR630" t="str">
        <f t="shared" si="99"/>
        <v/>
      </c>
      <c r="AS630" t="str">
        <f t="shared" si="100"/>
        <v/>
      </c>
    </row>
    <row r="631" spans="1:45">
      <c r="A631" s="291"/>
      <c r="B631" s="292"/>
      <c r="C631" s="293"/>
      <c r="D631" s="293"/>
      <c r="E631" s="293"/>
      <c r="F631" s="293"/>
      <c r="G631" s="294"/>
      <c r="H631" s="300"/>
      <c r="I631" s="295"/>
      <c r="J631" s="295"/>
      <c r="K631" s="296"/>
      <c r="L631" s="301"/>
      <c r="M631" s="297"/>
      <c r="N631" s="298"/>
      <c r="P631" s="190" t="str">
        <f>IF(R631 = "", "", COUNT(R$4:$R631))</f>
        <v/>
      </c>
      <c r="Q631" s="190" t="str">
        <f t="shared" si="91"/>
        <v/>
      </c>
      <c r="R631" s="191" t="str">
        <f t="shared" si="92"/>
        <v/>
      </c>
      <c r="S631" s="192" t="str">
        <f t="shared" si="94"/>
        <v/>
      </c>
      <c r="T631" s="193" t="str">
        <f t="shared" si="95"/>
        <v/>
      </c>
      <c r="U631" s="194" t="str">
        <f t="shared" si="96"/>
        <v/>
      </c>
      <c r="V631" s="195" t="str">
        <f t="shared" si="93"/>
        <v/>
      </c>
      <c r="W631" s="336" t="str">
        <f t="shared" si="97"/>
        <v/>
      </c>
      <c r="X631" s="338" t="str">
        <f t="shared" si="98"/>
        <v/>
      </c>
      <c r="Y631" s="274"/>
      <c r="AR631" t="str">
        <f t="shared" si="99"/>
        <v/>
      </c>
      <c r="AS631" t="str">
        <f t="shared" si="100"/>
        <v/>
      </c>
    </row>
    <row r="632" spans="1:45">
      <c r="A632" s="291"/>
      <c r="B632" s="292"/>
      <c r="C632" s="293"/>
      <c r="D632" s="293"/>
      <c r="E632" s="293"/>
      <c r="F632" s="293"/>
      <c r="G632" s="294"/>
      <c r="H632" s="300"/>
      <c r="I632" s="295"/>
      <c r="J632" s="295"/>
      <c r="K632" s="296"/>
      <c r="L632" s="301"/>
      <c r="M632" s="297"/>
      <c r="N632" s="298"/>
      <c r="P632" s="190" t="str">
        <f>IF(R632 = "", "", COUNT(R$4:$R632))</f>
        <v/>
      </c>
      <c r="Q632" s="190" t="str">
        <f t="shared" si="91"/>
        <v/>
      </c>
      <c r="R632" s="191" t="str">
        <f t="shared" si="92"/>
        <v/>
      </c>
      <c r="S632" s="192" t="str">
        <f t="shared" si="94"/>
        <v/>
      </c>
      <c r="T632" s="193" t="str">
        <f t="shared" si="95"/>
        <v/>
      </c>
      <c r="U632" s="194" t="str">
        <f t="shared" si="96"/>
        <v/>
      </c>
      <c r="V632" s="195" t="str">
        <f t="shared" si="93"/>
        <v/>
      </c>
      <c r="W632" s="336" t="str">
        <f t="shared" si="97"/>
        <v/>
      </c>
      <c r="X632" s="338" t="str">
        <f t="shared" si="98"/>
        <v/>
      </c>
      <c r="Y632" s="274"/>
      <c r="AR632" t="str">
        <f t="shared" si="99"/>
        <v/>
      </c>
      <c r="AS632" t="str">
        <f t="shared" si="100"/>
        <v/>
      </c>
    </row>
    <row r="633" spans="1:45">
      <c r="A633" s="291"/>
      <c r="B633" s="292"/>
      <c r="C633" s="293"/>
      <c r="D633" s="293"/>
      <c r="E633" s="293"/>
      <c r="F633" s="293"/>
      <c r="G633" s="294"/>
      <c r="H633" s="300"/>
      <c r="I633" s="295"/>
      <c r="J633" s="295"/>
      <c r="K633" s="296"/>
      <c r="L633" s="301"/>
      <c r="M633" s="297"/>
      <c r="N633" s="298"/>
      <c r="P633" s="190" t="str">
        <f>IF(R633 = "", "", COUNT(R$4:$R633))</f>
        <v/>
      </c>
      <c r="Q633" s="190" t="str">
        <f t="shared" si="91"/>
        <v/>
      </c>
      <c r="R633" s="191" t="str">
        <f t="shared" si="92"/>
        <v/>
      </c>
      <c r="S633" s="192" t="str">
        <f t="shared" si="94"/>
        <v/>
      </c>
      <c r="T633" s="193" t="str">
        <f t="shared" si="95"/>
        <v/>
      </c>
      <c r="U633" s="194" t="str">
        <f t="shared" si="96"/>
        <v/>
      </c>
      <c r="V633" s="195" t="str">
        <f t="shared" si="93"/>
        <v/>
      </c>
      <c r="W633" s="336" t="str">
        <f t="shared" si="97"/>
        <v/>
      </c>
      <c r="X633" s="338" t="str">
        <f t="shared" si="98"/>
        <v/>
      </c>
      <c r="Y633" s="274"/>
      <c r="AR633" t="str">
        <f t="shared" si="99"/>
        <v/>
      </c>
      <c r="AS633" t="str">
        <f t="shared" si="100"/>
        <v/>
      </c>
    </row>
    <row r="634" spans="1:45">
      <c r="A634" s="291"/>
      <c r="B634" s="292"/>
      <c r="C634" s="293"/>
      <c r="D634" s="293"/>
      <c r="E634" s="293"/>
      <c r="F634" s="293"/>
      <c r="G634" s="294"/>
      <c r="H634" s="300"/>
      <c r="I634" s="295"/>
      <c r="J634" s="295"/>
      <c r="K634" s="296"/>
      <c r="L634" s="301"/>
      <c r="M634" s="297"/>
      <c r="N634" s="298"/>
      <c r="P634" s="190" t="str">
        <f>IF(R634 = "", "", COUNT(R$4:$R634))</f>
        <v/>
      </c>
      <c r="Q634" s="190" t="str">
        <f t="shared" si="91"/>
        <v/>
      </c>
      <c r="R634" s="191" t="str">
        <f t="shared" si="92"/>
        <v/>
      </c>
      <c r="S634" s="192" t="str">
        <f t="shared" si="94"/>
        <v/>
      </c>
      <c r="T634" s="193" t="str">
        <f t="shared" si="95"/>
        <v/>
      </c>
      <c r="U634" s="194" t="str">
        <f t="shared" si="96"/>
        <v/>
      </c>
      <c r="V634" s="195" t="str">
        <f t="shared" si="93"/>
        <v/>
      </c>
      <c r="W634" s="336" t="str">
        <f t="shared" si="97"/>
        <v/>
      </c>
      <c r="X634" s="338" t="str">
        <f t="shared" si="98"/>
        <v/>
      </c>
      <c r="Y634" s="274"/>
      <c r="AR634" t="str">
        <f t="shared" si="99"/>
        <v/>
      </c>
      <c r="AS634" t="str">
        <f t="shared" si="100"/>
        <v/>
      </c>
    </row>
    <row r="635" spans="1:45">
      <c r="A635" s="291"/>
      <c r="B635" s="292"/>
      <c r="C635" s="293"/>
      <c r="D635" s="293"/>
      <c r="E635" s="293"/>
      <c r="F635" s="293"/>
      <c r="G635" s="294"/>
      <c r="H635" s="300"/>
      <c r="I635" s="295"/>
      <c r="J635" s="295"/>
      <c r="K635" s="296"/>
      <c r="L635" s="301"/>
      <c r="M635" s="297"/>
      <c r="N635" s="298"/>
      <c r="P635" s="190" t="str">
        <f>IF(R635 = "", "", COUNT(R$4:$R635))</f>
        <v/>
      </c>
      <c r="Q635" s="190" t="str">
        <f t="shared" si="91"/>
        <v/>
      </c>
      <c r="R635" s="191" t="str">
        <f t="shared" si="92"/>
        <v/>
      </c>
      <c r="S635" s="192" t="str">
        <f t="shared" si="94"/>
        <v/>
      </c>
      <c r="T635" s="193" t="str">
        <f t="shared" si="95"/>
        <v/>
      </c>
      <c r="U635" s="194" t="str">
        <f t="shared" si="96"/>
        <v/>
      </c>
      <c r="V635" s="195" t="str">
        <f t="shared" si="93"/>
        <v/>
      </c>
      <c r="W635" s="336" t="str">
        <f t="shared" si="97"/>
        <v/>
      </c>
      <c r="X635" s="338" t="str">
        <f t="shared" si="98"/>
        <v/>
      </c>
      <c r="Y635" s="274"/>
      <c r="AR635" t="str">
        <f t="shared" si="99"/>
        <v/>
      </c>
      <c r="AS635" t="str">
        <f t="shared" si="100"/>
        <v/>
      </c>
    </row>
    <row r="636" spans="1:45">
      <c r="A636" s="291"/>
      <c r="B636" s="292"/>
      <c r="C636" s="293"/>
      <c r="D636" s="293"/>
      <c r="E636" s="293"/>
      <c r="F636" s="293"/>
      <c r="G636" s="294"/>
      <c r="H636" s="300"/>
      <c r="I636" s="295"/>
      <c r="J636" s="295"/>
      <c r="K636" s="296"/>
      <c r="L636" s="301"/>
      <c r="M636" s="297"/>
      <c r="N636" s="298"/>
      <c r="P636" s="190" t="str">
        <f>IF(R636 = "", "", COUNT(R$4:$R636))</f>
        <v/>
      </c>
      <c r="Q636" s="190" t="str">
        <f t="shared" si="91"/>
        <v/>
      </c>
      <c r="R636" s="191" t="str">
        <f t="shared" si="92"/>
        <v/>
      </c>
      <c r="S636" s="192" t="str">
        <f t="shared" si="94"/>
        <v/>
      </c>
      <c r="T636" s="193" t="str">
        <f t="shared" si="95"/>
        <v/>
      </c>
      <c r="U636" s="194" t="str">
        <f t="shared" si="96"/>
        <v/>
      </c>
      <c r="V636" s="195" t="str">
        <f t="shared" si="93"/>
        <v/>
      </c>
      <c r="W636" s="336" t="str">
        <f t="shared" si="97"/>
        <v/>
      </c>
      <c r="X636" s="338" t="str">
        <f t="shared" si="98"/>
        <v/>
      </c>
      <c r="Y636" s="274"/>
      <c r="AR636" t="str">
        <f t="shared" si="99"/>
        <v/>
      </c>
      <c r="AS636" t="str">
        <f t="shared" si="100"/>
        <v/>
      </c>
    </row>
    <row r="637" spans="1:45">
      <c r="A637" s="291"/>
      <c r="B637" s="292"/>
      <c r="C637" s="293"/>
      <c r="D637" s="293"/>
      <c r="E637" s="293"/>
      <c r="F637" s="293"/>
      <c r="G637" s="294"/>
      <c r="H637" s="300"/>
      <c r="I637" s="295"/>
      <c r="J637" s="295"/>
      <c r="K637" s="296"/>
      <c r="L637" s="301"/>
      <c r="M637" s="297"/>
      <c r="N637" s="298"/>
      <c r="P637" s="190" t="str">
        <f>IF(R637 = "", "", COUNT(R$4:$R637))</f>
        <v/>
      </c>
      <c r="Q637" s="190" t="str">
        <f t="shared" si="91"/>
        <v/>
      </c>
      <c r="R637" s="191" t="str">
        <f t="shared" si="92"/>
        <v/>
      </c>
      <c r="S637" s="192" t="str">
        <f t="shared" si="94"/>
        <v/>
      </c>
      <c r="T637" s="193" t="str">
        <f t="shared" si="95"/>
        <v/>
      </c>
      <c r="U637" s="194" t="str">
        <f t="shared" si="96"/>
        <v/>
      </c>
      <c r="V637" s="195" t="str">
        <f t="shared" si="93"/>
        <v/>
      </c>
      <c r="W637" s="336" t="str">
        <f t="shared" si="97"/>
        <v/>
      </c>
      <c r="X637" s="338" t="str">
        <f t="shared" si="98"/>
        <v/>
      </c>
      <c r="Y637" s="274"/>
      <c r="AR637" t="str">
        <f t="shared" si="99"/>
        <v/>
      </c>
      <c r="AS637" t="str">
        <f t="shared" si="100"/>
        <v/>
      </c>
    </row>
    <row r="638" spans="1:45">
      <c r="A638" s="291"/>
      <c r="B638" s="292"/>
      <c r="C638" s="293"/>
      <c r="D638" s="293"/>
      <c r="E638" s="293"/>
      <c r="F638" s="293"/>
      <c r="G638" s="294"/>
      <c r="H638" s="300"/>
      <c r="I638" s="295"/>
      <c r="J638" s="295"/>
      <c r="K638" s="296"/>
      <c r="L638" s="301"/>
      <c r="M638" s="297"/>
      <c r="N638" s="298"/>
      <c r="P638" s="190" t="str">
        <f>IF(R638 = "", "", COUNT(R$4:$R638))</f>
        <v/>
      </c>
      <c r="Q638" s="190" t="str">
        <f t="shared" si="91"/>
        <v/>
      </c>
      <c r="R638" s="191" t="str">
        <f t="shared" si="92"/>
        <v/>
      </c>
      <c r="S638" s="192" t="str">
        <f t="shared" si="94"/>
        <v/>
      </c>
      <c r="T638" s="193" t="str">
        <f t="shared" si="95"/>
        <v/>
      </c>
      <c r="U638" s="194" t="str">
        <f t="shared" si="96"/>
        <v/>
      </c>
      <c r="V638" s="195" t="str">
        <f t="shared" si="93"/>
        <v/>
      </c>
      <c r="W638" s="336" t="str">
        <f t="shared" si="97"/>
        <v/>
      </c>
      <c r="X638" s="338" t="str">
        <f t="shared" si="98"/>
        <v/>
      </c>
      <c r="Y638" s="274"/>
      <c r="AR638" t="str">
        <f t="shared" si="99"/>
        <v/>
      </c>
      <c r="AS638" t="str">
        <f t="shared" si="100"/>
        <v/>
      </c>
    </row>
    <row r="639" spans="1:45">
      <c r="A639" s="291"/>
      <c r="B639" s="292"/>
      <c r="C639" s="293"/>
      <c r="D639" s="293"/>
      <c r="E639" s="293"/>
      <c r="F639" s="293"/>
      <c r="G639" s="294"/>
      <c r="H639" s="300"/>
      <c r="I639" s="295"/>
      <c r="J639" s="295"/>
      <c r="K639" s="296"/>
      <c r="L639" s="301"/>
      <c r="M639" s="297"/>
      <c r="N639" s="298"/>
      <c r="P639" s="190" t="str">
        <f>IF(R639 = "", "", COUNT(R$4:$R639))</f>
        <v/>
      </c>
      <c r="Q639" s="190" t="str">
        <f t="shared" si="91"/>
        <v/>
      </c>
      <c r="R639" s="191" t="str">
        <f t="shared" si="92"/>
        <v/>
      </c>
      <c r="S639" s="192" t="str">
        <f t="shared" si="94"/>
        <v/>
      </c>
      <c r="T639" s="193" t="str">
        <f t="shared" si="95"/>
        <v/>
      </c>
      <c r="U639" s="194" t="str">
        <f t="shared" si="96"/>
        <v/>
      </c>
      <c r="V639" s="195" t="str">
        <f t="shared" si="93"/>
        <v/>
      </c>
      <c r="W639" s="336" t="str">
        <f t="shared" si="97"/>
        <v/>
      </c>
      <c r="X639" s="338" t="str">
        <f t="shared" si="98"/>
        <v/>
      </c>
      <c r="Y639" s="274"/>
      <c r="AR639" t="str">
        <f t="shared" si="99"/>
        <v/>
      </c>
      <c r="AS639" t="str">
        <f t="shared" si="100"/>
        <v/>
      </c>
    </row>
    <row r="640" spans="1:45">
      <c r="A640" s="291"/>
      <c r="B640" s="292"/>
      <c r="C640" s="293"/>
      <c r="D640" s="293"/>
      <c r="E640" s="293"/>
      <c r="F640" s="293"/>
      <c r="G640" s="294"/>
      <c r="H640" s="300"/>
      <c r="I640" s="295"/>
      <c r="J640" s="295"/>
      <c r="K640" s="296"/>
      <c r="L640" s="301"/>
      <c r="M640" s="297"/>
      <c r="N640" s="298"/>
      <c r="P640" s="190" t="str">
        <f>IF(R640 = "", "", COUNT(R$4:$R640))</f>
        <v/>
      </c>
      <c r="Q640" s="190" t="str">
        <f t="shared" si="91"/>
        <v/>
      </c>
      <c r="R640" s="191" t="str">
        <f t="shared" si="92"/>
        <v/>
      </c>
      <c r="S640" s="192" t="str">
        <f t="shared" si="94"/>
        <v/>
      </c>
      <c r="T640" s="193" t="str">
        <f t="shared" si="95"/>
        <v/>
      </c>
      <c r="U640" s="194" t="str">
        <f t="shared" si="96"/>
        <v/>
      </c>
      <c r="V640" s="195" t="str">
        <f t="shared" si="93"/>
        <v/>
      </c>
      <c r="W640" s="336" t="str">
        <f t="shared" si="97"/>
        <v/>
      </c>
      <c r="X640" s="338" t="str">
        <f t="shared" si="98"/>
        <v/>
      </c>
      <c r="Y640" s="274"/>
      <c r="AR640" t="str">
        <f t="shared" si="99"/>
        <v/>
      </c>
      <c r="AS640" t="str">
        <f t="shared" si="100"/>
        <v/>
      </c>
    </row>
    <row r="641" spans="1:45">
      <c r="A641" s="291"/>
      <c r="B641" s="292"/>
      <c r="C641" s="293"/>
      <c r="D641" s="293"/>
      <c r="E641" s="293"/>
      <c r="F641" s="293"/>
      <c r="G641" s="294"/>
      <c r="H641" s="300"/>
      <c r="I641" s="295"/>
      <c r="J641" s="295"/>
      <c r="K641" s="296"/>
      <c r="L641" s="301"/>
      <c r="M641" s="297"/>
      <c r="N641" s="298"/>
      <c r="P641" s="190" t="str">
        <f>IF(R641 = "", "", COUNT(R$4:$R641))</f>
        <v/>
      </c>
      <c r="Q641" s="190" t="str">
        <f t="shared" si="91"/>
        <v/>
      </c>
      <c r="R641" s="191" t="str">
        <f t="shared" si="92"/>
        <v/>
      </c>
      <c r="S641" s="192" t="str">
        <f t="shared" si="94"/>
        <v/>
      </c>
      <c r="T641" s="193" t="str">
        <f t="shared" si="95"/>
        <v/>
      </c>
      <c r="U641" s="194" t="str">
        <f t="shared" si="96"/>
        <v/>
      </c>
      <c r="V641" s="195" t="str">
        <f t="shared" si="93"/>
        <v/>
      </c>
      <c r="W641" s="336" t="str">
        <f t="shared" si="97"/>
        <v/>
      </c>
      <c r="X641" s="338" t="str">
        <f t="shared" si="98"/>
        <v/>
      </c>
      <c r="Y641" s="274"/>
      <c r="AR641" t="str">
        <f t="shared" si="99"/>
        <v/>
      </c>
      <c r="AS641" t="str">
        <f t="shared" si="100"/>
        <v/>
      </c>
    </row>
    <row r="642" spans="1:45">
      <c r="A642" s="291"/>
      <c r="B642" s="292"/>
      <c r="C642" s="293"/>
      <c r="D642" s="293"/>
      <c r="E642" s="293"/>
      <c r="F642" s="293"/>
      <c r="G642" s="294"/>
      <c r="H642" s="300"/>
      <c r="I642" s="295"/>
      <c r="J642" s="295"/>
      <c r="K642" s="296"/>
      <c r="L642" s="301"/>
      <c r="M642" s="297"/>
      <c r="N642" s="298"/>
      <c r="P642" s="190" t="str">
        <f>IF(R642 = "", "", COUNT(R$4:$R642))</f>
        <v/>
      </c>
      <c r="Q642" s="190" t="str">
        <f t="shared" si="91"/>
        <v/>
      </c>
      <c r="R642" s="191" t="str">
        <f t="shared" si="92"/>
        <v/>
      </c>
      <c r="S642" s="192" t="str">
        <f t="shared" si="94"/>
        <v/>
      </c>
      <c r="T642" s="193" t="str">
        <f t="shared" si="95"/>
        <v/>
      </c>
      <c r="U642" s="194" t="str">
        <f t="shared" si="96"/>
        <v/>
      </c>
      <c r="V642" s="195" t="str">
        <f t="shared" si="93"/>
        <v/>
      </c>
      <c r="W642" s="336" t="str">
        <f t="shared" si="97"/>
        <v/>
      </c>
      <c r="X642" s="338" t="str">
        <f t="shared" si="98"/>
        <v/>
      </c>
      <c r="Y642" s="274"/>
      <c r="AR642" t="str">
        <f t="shared" si="99"/>
        <v/>
      </c>
      <c r="AS642" t="str">
        <f t="shared" si="100"/>
        <v/>
      </c>
    </row>
    <row r="643" spans="1:45">
      <c r="A643" s="291"/>
      <c r="B643" s="292"/>
      <c r="C643" s="293"/>
      <c r="D643" s="293"/>
      <c r="E643" s="293"/>
      <c r="F643" s="293"/>
      <c r="G643" s="294"/>
      <c r="H643" s="300"/>
      <c r="I643" s="295"/>
      <c r="J643" s="295"/>
      <c r="K643" s="296"/>
      <c r="L643" s="301"/>
      <c r="M643" s="297"/>
      <c r="N643" s="298"/>
      <c r="P643" s="190" t="str">
        <f>IF(R643 = "", "", COUNT(R$4:$R643))</f>
        <v/>
      </c>
      <c r="Q643" s="190" t="str">
        <f t="shared" si="91"/>
        <v/>
      </c>
      <c r="R643" s="191" t="str">
        <f t="shared" si="92"/>
        <v/>
      </c>
      <c r="S643" s="192" t="str">
        <f t="shared" si="94"/>
        <v/>
      </c>
      <c r="T643" s="193" t="str">
        <f t="shared" si="95"/>
        <v/>
      </c>
      <c r="U643" s="194" t="str">
        <f t="shared" si="96"/>
        <v/>
      </c>
      <c r="V643" s="195" t="str">
        <f t="shared" si="93"/>
        <v/>
      </c>
      <c r="W643" s="336" t="str">
        <f t="shared" si="97"/>
        <v/>
      </c>
      <c r="X643" s="338" t="str">
        <f t="shared" si="98"/>
        <v/>
      </c>
      <c r="Y643" s="274"/>
      <c r="AR643" t="str">
        <f t="shared" si="99"/>
        <v/>
      </c>
      <c r="AS643" t="str">
        <f t="shared" si="100"/>
        <v/>
      </c>
    </row>
    <row r="644" spans="1:45">
      <c r="A644" s="291"/>
      <c r="B644" s="292"/>
      <c r="C644" s="293"/>
      <c r="D644" s="293"/>
      <c r="E644" s="293"/>
      <c r="F644" s="293"/>
      <c r="G644" s="294"/>
      <c r="H644" s="300"/>
      <c r="I644" s="295"/>
      <c r="J644" s="295"/>
      <c r="K644" s="296"/>
      <c r="L644" s="301"/>
      <c r="M644" s="297"/>
      <c r="N644" s="298"/>
      <c r="P644" s="190" t="str">
        <f>IF(R644 = "", "", COUNT(R$4:$R644))</f>
        <v/>
      </c>
      <c r="Q644" s="190" t="str">
        <f t="shared" ref="Q644:Q707" si="101">IF(C644 &gt; 0, YEAR(B644), "")</f>
        <v/>
      </c>
      <c r="R644" s="191" t="str">
        <f t="shared" ref="R644:R707" si="102">IF(A644="", "", IF(G644="",1,IF(G644="O",1,IF(G644="C",8.4,IF(G644="B",8.4,IF(G644="A",76.8,IF(G644="K",76.8,"ERR")))))))</f>
        <v/>
      </c>
      <c r="S644" s="192" t="str">
        <f t="shared" si="94"/>
        <v/>
      </c>
      <c r="T644" s="193" t="str">
        <f t="shared" si="95"/>
        <v/>
      </c>
      <c r="U644" s="194" t="str">
        <f t="shared" si="96"/>
        <v/>
      </c>
      <c r="V644" s="195" t="str">
        <f t="shared" ref="V644:V707" si="103">IF(IF(M644&lt;&gt;"",G644,"")=0, "O", IF(M644&lt;&gt;"",G644,""))</f>
        <v/>
      </c>
      <c r="W644" s="336" t="str">
        <f t="shared" si="97"/>
        <v/>
      </c>
      <c r="X644" s="338" t="str">
        <f t="shared" si="98"/>
        <v/>
      </c>
      <c r="Y644" s="274"/>
      <c r="AR644" t="str">
        <f t="shared" si="99"/>
        <v/>
      </c>
      <c r="AS644" t="str">
        <f t="shared" si="100"/>
        <v/>
      </c>
    </row>
    <row r="645" spans="1:45">
      <c r="A645" s="291"/>
      <c r="B645" s="292"/>
      <c r="C645" s="293"/>
      <c r="D645" s="293"/>
      <c r="E645" s="293"/>
      <c r="F645" s="293"/>
      <c r="G645" s="294"/>
      <c r="H645" s="300"/>
      <c r="I645" s="295"/>
      <c r="J645" s="295"/>
      <c r="K645" s="296"/>
      <c r="L645" s="301"/>
      <c r="M645" s="297"/>
      <c r="N645" s="298"/>
      <c r="P645" s="190" t="str">
        <f>IF(R645 = "", "", COUNT(R$4:$R645))</f>
        <v/>
      </c>
      <c r="Q645" s="190" t="str">
        <f t="shared" si="101"/>
        <v/>
      </c>
      <c r="R645" s="191" t="str">
        <f t="shared" si="102"/>
        <v/>
      </c>
      <c r="S645" s="192" t="str">
        <f t="shared" ref="S645:S708" si="104">IF(L645&lt;&gt;"",R645,"")</f>
        <v/>
      </c>
      <c r="T645" s="193" t="str">
        <f t="shared" ref="T645:T708" si="105">IF(IF(L645&lt;&gt;"",G645,"")=0, "O", IF(L645&lt;&gt;"",G645,""))</f>
        <v/>
      </c>
      <c r="U645" s="194" t="str">
        <f t="shared" ref="U645:U708" si="106">IF(M645&lt;&gt;"",R645,"")</f>
        <v/>
      </c>
      <c r="V645" s="195" t="str">
        <f t="shared" si="103"/>
        <v/>
      </c>
      <c r="W645" s="336" t="str">
        <f t="shared" ref="W645:W708" si="107">IF(N645&lt;&gt;"",R645,"")</f>
        <v/>
      </c>
      <c r="X645" s="338" t="str">
        <f t="shared" ref="X645:X708" si="108">IF(IF(N645&lt;&gt;"",G645,"")=0, "O", IF(N645&lt;&gt;"",G645,""))</f>
        <v/>
      </c>
      <c r="Y645" s="274"/>
      <c r="AR645" t="str">
        <f t="shared" ref="AR645:AR708" si="109">IF(P645&gt;0, P645, "")</f>
        <v/>
      </c>
      <c r="AS645" t="str">
        <f t="shared" ref="AS645:AS708" si="110">IF(OR(L645="Y",M645="Y",N645="Y"),"Y","")</f>
        <v/>
      </c>
    </row>
    <row r="646" spans="1:45">
      <c r="A646" s="291"/>
      <c r="B646" s="292"/>
      <c r="C646" s="293"/>
      <c r="D646" s="293"/>
      <c r="E646" s="293"/>
      <c r="F646" s="293"/>
      <c r="G646" s="294"/>
      <c r="H646" s="300"/>
      <c r="I646" s="295"/>
      <c r="J646" s="295"/>
      <c r="K646" s="296"/>
      <c r="L646" s="301"/>
      <c r="M646" s="297"/>
      <c r="N646" s="298"/>
      <c r="P646" s="190" t="str">
        <f>IF(R646 = "", "", COUNT(R$4:$R646))</f>
        <v/>
      </c>
      <c r="Q646" s="190" t="str">
        <f t="shared" si="101"/>
        <v/>
      </c>
      <c r="R646" s="191" t="str">
        <f t="shared" si="102"/>
        <v/>
      </c>
      <c r="S646" s="192" t="str">
        <f t="shared" si="104"/>
        <v/>
      </c>
      <c r="T646" s="193" t="str">
        <f t="shared" si="105"/>
        <v/>
      </c>
      <c r="U646" s="194" t="str">
        <f t="shared" si="106"/>
        <v/>
      </c>
      <c r="V646" s="195" t="str">
        <f t="shared" si="103"/>
        <v/>
      </c>
      <c r="W646" s="336" t="str">
        <f t="shared" si="107"/>
        <v/>
      </c>
      <c r="X646" s="338" t="str">
        <f t="shared" si="108"/>
        <v/>
      </c>
      <c r="Y646" s="274"/>
      <c r="AR646" t="str">
        <f t="shared" si="109"/>
        <v/>
      </c>
      <c r="AS646" t="str">
        <f t="shared" si="110"/>
        <v/>
      </c>
    </row>
    <row r="647" spans="1:45">
      <c r="A647" s="291"/>
      <c r="B647" s="292"/>
      <c r="C647" s="293"/>
      <c r="D647" s="293"/>
      <c r="E647" s="293"/>
      <c r="F647" s="293"/>
      <c r="G647" s="294"/>
      <c r="H647" s="300"/>
      <c r="I647" s="295"/>
      <c r="J647" s="295"/>
      <c r="K647" s="296"/>
      <c r="L647" s="301"/>
      <c r="M647" s="297"/>
      <c r="N647" s="298"/>
      <c r="P647" s="190" t="str">
        <f>IF(R647 = "", "", COUNT(R$4:$R647))</f>
        <v/>
      </c>
      <c r="Q647" s="190" t="str">
        <f t="shared" si="101"/>
        <v/>
      </c>
      <c r="R647" s="191" t="str">
        <f t="shared" si="102"/>
        <v/>
      </c>
      <c r="S647" s="192" t="str">
        <f t="shared" si="104"/>
        <v/>
      </c>
      <c r="T647" s="193" t="str">
        <f t="shared" si="105"/>
        <v/>
      </c>
      <c r="U647" s="194" t="str">
        <f t="shared" si="106"/>
        <v/>
      </c>
      <c r="V647" s="195" t="str">
        <f t="shared" si="103"/>
        <v/>
      </c>
      <c r="W647" s="336" t="str">
        <f t="shared" si="107"/>
        <v/>
      </c>
      <c r="X647" s="338" t="str">
        <f t="shared" si="108"/>
        <v/>
      </c>
      <c r="Y647" s="274"/>
      <c r="AR647" t="str">
        <f t="shared" si="109"/>
        <v/>
      </c>
      <c r="AS647" t="str">
        <f t="shared" si="110"/>
        <v/>
      </c>
    </row>
    <row r="648" spans="1:45">
      <c r="A648" s="291"/>
      <c r="B648" s="292"/>
      <c r="C648" s="293"/>
      <c r="D648" s="293"/>
      <c r="E648" s="293"/>
      <c r="F648" s="293"/>
      <c r="G648" s="294"/>
      <c r="H648" s="300"/>
      <c r="I648" s="295"/>
      <c r="J648" s="295"/>
      <c r="K648" s="296"/>
      <c r="L648" s="301"/>
      <c r="M648" s="297"/>
      <c r="N648" s="298"/>
      <c r="P648" s="190" t="str">
        <f>IF(R648 = "", "", COUNT(R$4:$R648))</f>
        <v/>
      </c>
      <c r="Q648" s="190" t="str">
        <f t="shared" si="101"/>
        <v/>
      </c>
      <c r="R648" s="191" t="str">
        <f t="shared" si="102"/>
        <v/>
      </c>
      <c r="S648" s="192" t="str">
        <f t="shared" si="104"/>
        <v/>
      </c>
      <c r="T648" s="193" t="str">
        <f t="shared" si="105"/>
        <v/>
      </c>
      <c r="U648" s="194" t="str">
        <f t="shared" si="106"/>
        <v/>
      </c>
      <c r="V648" s="195" t="str">
        <f t="shared" si="103"/>
        <v/>
      </c>
      <c r="W648" s="336" t="str">
        <f t="shared" si="107"/>
        <v/>
      </c>
      <c r="X648" s="338" t="str">
        <f t="shared" si="108"/>
        <v/>
      </c>
      <c r="Y648" s="274"/>
      <c r="AR648" t="str">
        <f t="shared" si="109"/>
        <v/>
      </c>
      <c r="AS648" t="str">
        <f t="shared" si="110"/>
        <v/>
      </c>
    </row>
    <row r="649" spans="1:45">
      <c r="A649" s="291"/>
      <c r="B649" s="292"/>
      <c r="C649" s="293"/>
      <c r="D649" s="293"/>
      <c r="E649" s="293"/>
      <c r="F649" s="293"/>
      <c r="G649" s="294"/>
      <c r="H649" s="300"/>
      <c r="I649" s="295"/>
      <c r="J649" s="295"/>
      <c r="K649" s="296"/>
      <c r="L649" s="301"/>
      <c r="M649" s="297"/>
      <c r="N649" s="298"/>
      <c r="P649" s="190" t="str">
        <f>IF(R649 = "", "", COUNT(R$4:$R649))</f>
        <v/>
      </c>
      <c r="Q649" s="190" t="str">
        <f t="shared" si="101"/>
        <v/>
      </c>
      <c r="R649" s="191" t="str">
        <f t="shared" si="102"/>
        <v/>
      </c>
      <c r="S649" s="192" t="str">
        <f t="shared" si="104"/>
        <v/>
      </c>
      <c r="T649" s="193" t="str">
        <f t="shared" si="105"/>
        <v/>
      </c>
      <c r="U649" s="194" t="str">
        <f t="shared" si="106"/>
        <v/>
      </c>
      <c r="V649" s="195" t="str">
        <f t="shared" si="103"/>
        <v/>
      </c>
      <c r="W649" s="336" t="str">
        <f t="shared" si="107"/>
        <v/>
      </c>
      <c r="X649" s="338" t="str">
        <f t="shared" si="108"/>
        <v/>
      </c>
      <c r="Y649" s="274"/>
      <c r="AR649" t="str">
        <f t="shared" si="109"/>
        <v/>
      </c>
      <c r="AS649" t="str">
        <f t="shared" si="110"/>
        <v/>
      </c>
    </row>
    <row r="650" spans="1:45">
      <c r="A650" s="291"/>
      <c r="B650" s="292"/>
      <c r="C650" s="293"/>
      <c r="D650" s="293"/>
      <c r="E650" s="293"/>
      <c r="F650" s="293"/>
      <c r="G650" s="294"/>
      <c r="H650" s="300"/>
      <c r="I650" s="295"/>
      <c r="J650" s="295"/>
      <c r="K650" s="296"/>
      <c r="L650" s="301"/>
      <c r="M650" s="297"/>
      <c r="N650" s="298"/>
      <c r="P650" s="190" t="str">
        <f>IF(R650 = "", "", COUNT(R$4:$R650))</f>
        <v/>
      </c>
      <c r="Q650" s="190" t="str">
        <f t="shared" si="101"/>
        <v/>
      </c>
      <c r="R650" s="191" t="str">
        <f t="shared" si="102"/>
        <v/>
      </c>
      <c r="S650" s="192" t="str">
        <f t="shared" si="104"/>
        <v/>
      </c>
      <c r="T650" s="193" t="str">
        <f t="shared" si="105"/>
        <v/>
      </c>
      <c r="U650" s="194" t="str">
        <f t="shared" si="106"/>
        <v/>
      </c>
      <c r="V650" s="195" t="str">
        <f t="shared" si="103"/>
        <v/>
      </c>
      <c r="W650" s="336" t="str">
        <f t="shared" si="107"/>
        <v/>
      </c>
      <c r="X650" s="338" t="str">
        <f t="shared" si="108"/>
        <v/>
      </c>
      <c r="Y650" s="274"/>
      <c r="AR650" t="str">
        <f t="shared" si="109"/>
        <v/>
      </c>
      <c r="AS650" t="str">
        <f t="shared" si="110"/>
        <v/>
      </c>
    </row>
    <row r="651" spans="1:45">
      <c r="A651" s="291"/>
      <c r="B651" s="292"/>
      <c r="C651" s="293"/>
      <c r="D651" s="293"/>
      <c r="E651" s="293"/>
      <c r="F651" s="293"/>
      <c r="G651" s="294"/>
      <c r="H651" s="300"/>
      <c r="I651" s="295"/>
      <c r="J651" s="295"/>
      <c r="K651" s="296"/>
      <c r="L651" s="301"/>
      <c r="M651" s="297"/>
      <c r="N651" s="298"/>
      <c r="P651" s="190" t="str">
        <f>IF(R651 = "", "", COUNT(R$4:$R651))</f>
        <v/>
      </c>
      <c r="Q651" s="190" t="str">
        <f t="shared" si="101"/>
        <v/>
      </c>
      <c r="R651" s="191" t="str">
        <f t="shared" si="102"/>
        <v/>
      </c>
      <c r="S651" s="192" t="str">
        <f t="shared" si="104"/>
        <v/>
      </c>
      <c r="T651" s="193" t="str">
        <f t="shared" si="105"/>
        <v/>
      </c>
      <c r="U651" s="194" t="str">
        <f t="shared" si="106"/>
        <v/>
      </c>
      <c r="V651" s="195" t="str">
        <f t="shared" si="103"/>
        <v/>
      </c>
      <c r="W651" s="336" t="str">
        <f t="shared" si="107"/>
        <v/>
      </c>
      <c r="X651" s="338" t="str">
        <f t="shared" si="108"/>
        <v/>
      </c>
      <c r="Y651" s="274"/>
      <c r="AR651" t="str">
        <f t="shared" si="109"/>
        <v/>
      </c>
      <c r="AS651" t="str">
        <f t="shared" si="110"/>
        <v/>
      </c>
    </row>
    <row r="652" spans="1:45">
      <c r="A652" s="291"/>
      <c r="B652" s="292"/>
      <c r="C652" s="293"/>
      <c r="D652" s="293"/>
      <c r="E652" s="293"/>
      <c r="F652" s="293"/>
      <c r="G652" s="294"/>
      <c r="H652" s="300"/>
      <c r="I652" s="295"/>
      <c r="J652" s="295"/>
      <c r="K652" s="296"/>
      <c r="L652" s="301"/>
      <c r="M652" s="297"/>
      <c r="N652" s="298"/>
      <c r="P652" s="190" t="str">
        <f>IF(R652 = "", "", COUNT(R$4:$R652))</f>
        <v/>
      </c>
      <c r="Q652" s="190" t="str">
        <f t="shared" si="101"/>
        <v/>
      </c>
      <c r="R652" s="191" t="str">
        <f t="shared" si="102"/>
        <v/>
      </c>
      <c r="S652" s="192" t="str">
        <f t="shared" si="104"/>
        <v/>
      </c>
      <c r="T652" s="193" t="str">
        <f t="shared" si="105"/>
        <v/>
      </c>
      <c r="U652" s="194" t="str">
        <f t="shared" si="106"/>
        <v/>
      </c>
      <c r="V652" s="195" t="str">
        <f t="shared" si="103"/>
        <v/>
      </c>
      <c r="W652" s="336" t="str">
        <f t="shared" si="107"/>
        <v/>
      </c>
      <c r="X652" s="338" t="str">
        <f t="shared" si="108"/>
        <v/>
      </c>
      <c r="Y652" s="274"/>
      <c r="AR652" t="str">
        <f t="shared" si="109"/>
        <v/>
      </c>
      <c r="AS652" t="str">
        <f t="shared" si="110"/>
        <v/>
      </c>
    </row>
    <row r="653" spans="1:45">
      <c r="A653" s="291"/>
      <c r="B653" s="292"/>
      <c r="C653" s="293"/>
      <c r="D653" s="293"/>
      <c r="E653" s="293"/>
      <c r="F653" s="293"/>
      <c r="G653" s="294"/>
      <c r="H653" s="300"/>
      <c r="I653" s="295"/>
      <c r="J653" s="295"/>
      <c r="K653" s="296"/>
      <c r="L653" s="301"/>
      <c r="M653" s="297"/>
      <c r="N653" s="298"/>
      <c r="P653" s="190" t="str">
        <f>IF(R653 = "", "", COUNT(R$4:$R653))</f>
        <v/>
      </c>
      <c r="Q653" s="190" t="str">
        <f t="shared" si="101"/>
        <v/>
      </c>
      <c r="R653" s="191" t="str">
        <f t="shared" si="102"/>
        <v/>
      </c>
      <c r="S653" s="192" t="str">
        <f t="shared" si="104"/>
        <v/>
      </c>
      <c r="T653" s="193" t="str">
        <f t="shared" si="105"/>
        <v/>
      </c>
      <c r="U653" s="194" t="str">
        <f t="shared" si="106"/>
        <v/>
      </c>
      <c r="V653" s="195" t="str">
        <f t="shared" si="103"/>
        <v/>
      </c>
      <c r="W653" s="336" t="str">
        <f t="shared" si="107"/>
        <v/>
      </c>
      <c r="X653" s="338" t="str">
        <f t="shared" si="108"/>
        <v/>
      </c>
      <c r="Y653" s="274"/>
      <c r="AR653" t="str">
        <f t="shared" si="109"/>
        <v/>
      </c>
      <c r="AS653" t="str">
        <f t="shared" si="110"/>
        <v/>
      </c>
    </row>
    <row r="654" spans="1:45">
      <c r="A654" s="291"/>
      <c r="B654" s="292"/>
      <c r="C654" s="293"/>
      <c r="D654" s="293"/>
      <c r="E654" s="293"/>
      <c r="F654" s="293"/>
      <c r="G654" s="294"/>
      <c r="H654" s="300"/>
      <c r="I654" s="295"/>
      <c r="J654" s="295"/>
      <c r="K654" s="296"/>
      <c r="L654" s="301"/>
      <c r="M654" s="297"/>
      <c r="N654" s="298"/>
      <c r="P654" s="190" t="str">
        <f>IF(R654 = "", "", COUNT(R$4:$R654))</f>
        <v/>
      </c>
      <c r="Q654" s="190" t="str">
        <f t="shared" si="101"/>
        <v/>
      </c>
      <c r="R654" s="191" t="str">
        <f t="shared" si="102"/>
        <v/>
      </c>
      <c r="S654" s="192" t="str">
        <f t="shared" si="104"/>
        <v/>
      </c>
      <c r="T654" s="193" t="str">
        <f t="shared" si="105"/>
        <v/>
      </c>
      <c r="U654" s="194" t="str">
        <f t="shared" si="106"/>
        <v/>
      </c>
      <c r="V654" s="195" t="str">
        <f t="shared" si="103"/>
        <v/>
      </c>
      <c r="W654" s="336" t="str">
        <f t="shared" si="107"/>
        <v/>
      </c>
      <c r="X654" s="338" t="str">
        <f t="shared" si="108"/>
        <v/>
      </c>
      <c r="Y654" s="274"/>
      <c r="AR654" t="str">
        <f t="shared" si="109"/>
        <v/>
      </c>
      <c r="AS654" t="str">
        <f t="shared" si="110"/>
        <v/>
      </c>
    </row>
    <row r="655" spans="1:45">
      <c r="A655" s="291"/>
      <c r="B655" s="292"/>
      <c r="C655" s="293"/>
      <c r="D655" s="293"/>
      <c r="E655" s="293"/>
      <c r="F655" s="293"/>
      <c r="G655" s="294"/>
      <c r="H655" s="300"/>
      <c r="I655" s="295"/>
      <c r="J655" s="295"/>
      <c r="K655" s="296"/>
      <c r="L655" s="301"/>
      <c r="M655" s="297"/>
      <c r="N655" s="298"/>
      <c r="P655" s="190" t="str">
        <f>IF(R655 = "", "", COUNT(R$4:$R655))</f>
        <v/>
      </c>
      <c r="Q655" s="190" t="str">
        <f t="shared" si="101"/>
        <v/>
      </c>
      <c r="R655" s="191" t="str">
        <f t="shared" si="102"/>
        <v/>
      </c>
      <c r="S655" s="192" t="str">
        <f t="shared" si="104"/>
        <v/>
      </c>
      <c r="T655" s="193" t="str">
        <f t="shared" si="105"/>
        <v/>
      </c>
      <c r="U655" s="194" t="str">
        <f t="shared" si="106"/>
        <v/>
      </c>
      <c r="V655" s="195" t="str">
        <f t="shared" si="103"/>
        <v/>
      </c>
      <c r="W655" s="336" t="str">
        <f t="shared" si="107"/>
        <v/>
      </c>
      <c r="X655" s="338" t="str">
        <f t="shared" si="108"/>
        <v/>
      </c>
      <c r="Y655" s="274"/>
      <c r="AR655" t="str">
        <f t="shared" si="109"/>
        <v/>
      </c>
      <c r="AS655" t="str">
        <f t="shared" si="110"/>
        <v/>
      </c>
    </row>
    <row r="656" spans="1:45">
      <c r="A656" s="291"/>
      <c r="B656" s="292"/>
      <c r="C656" s="293"/>
      <c r="D656" s="293"/>
      <c r="E656" s="293"/>
      <c r="F656" s="293"/>
      <c r="G656" s="294"/>
      <c r="H656" s="300"/>
      <c r="I656" s="295"/>
      <c r="J656" s="295"/>
      <c r="K656" s="296"/>
      <c r="L656" s="301"/>
      <c r="M656" s="297"/>
      <c r="N656" s="298"/>
      <c r="P656" s="190" t="str">
        <f>IF(R656 = "", "", COUNT(R$4:$R656))</f>
        <v/>
      </c>
      <c r="Q656" s="190" t="str">
        <f t="shared" si="101"/>
        <v/>
      </c>
      <c r="R656" s="191" t="str">
        <f t="shared" si="102"/>
        <v/>
      </c>
      <c r="S656" s="192" t="str">
        <f t="shared" si="104"/>
        <v/>
      </c>
      <c r="T656" s="193" t="str">
        <f t="shared" si="105"/>
        <v/>
      </c>
      <c r="U656" s="194" t="str">
        <f t="shared" si="106"/>
        <v/>
      </c>
      <c r="V656" s="195" t="str">
        <f t="shared" si="103"/>
        <v/>
      </c>
      <c r="W656" s="336" t="str">
        <f t="shared" si="107"/>
        <v/>
      </c>
      <c r="X656" s="338" t="str">
        <f t="shared" si="108"/>
        <v/>
      </c>
      <c r="Y656" s="274"/>
      <c r="AR656" t="str">
        <f t="shared" si="109"/>
        <v/>
      </c>
      <c r="AS656" t="str">
        <f t="shared" si="110"/>
        <v/>
      </c>
    </row>
    <row r="657" spans="1:45">
      <c r="A657" s="291"/>
      <c r="B657" s="292"/>
      <c r="C657" s="293"/>
      <c r="D657" s="293"/>
      <c r="E657" s="293"/>
      <c r="F657" s="293"/>
      <c r="G657" s="294"/>
      <c r="H657" s="300"/>
      <c r="I657" s="295"/>
      <c r="J657" s="295"/>
      <c r="K657" s="296"/>
      <c r="L657" s="301"/>
      <c r="M657" s="297"/>
      <c r="N657" s="298"/>
      <c r="P657" s="190" t="str">
        <f>IF(R657 = "", "", COUNT(R$4:$R657))</f>
        <v/>
      </c>
      <c r="Q657" s="190" t="str">
        <f t="shared" si="101"/>
        <v/>
      </c>
      <c r="R657" s="191" t="str">
        <f t="shared" si="102"/>
        <v/>
      </c>
      <c r="S657" s="192" t="str">
        <f t="shared" si="104"/>
        <v/>
      </c>
      <c r="T657" s="193" t="str">
        <f t="shared" si="105"/>
        <v/>
      </c>
      <c r="U657" s="194" t="str">
        <f t="shared" si="106"/>
        <v/>
      </c>
      <c r="V657" s="195" t="str">
        <f t="shared" si="103"/>
        <v/>
      </c>
      <c r="W657" s="336" t="str">
        <f t="shared" si="107"/>
        <v/>
      </c>
      <c r="X657" s="338" t="str">
        <f t="shared" si="108"/>
        <v/>
      </c>
      <c r="Y657" s="274"/>
      <c r="AR657" t="str">
        <f t="shared" si="109"/>
        <v/>
      </c>
      <c r="AS657" t="str">
        <f t="shared" si="110"/>
        <v/>
      </c>
    </row>
    <row r="658" spans="1:45">
      <c r="A658" s="291"/>
      <c r="B658" s="292"/>
      <c r="C658" s="293"/>
      <c r="D658" s="293"/>
      <c r="E658" s="293"/>
      <c r="F658" s="293"/>
      <c r="G658" s="294"/>
      <c r="H658" s="300"/>
      <c r="I658" s="295"/>
      <c r="J658" s="295"/>
      <c r="K658" s="296"/>
      <c r="L658" s="301"/>
      <c r="M658" s="297"/>
      <c r="N658" s="298"/>
      <c r="P658" s="190" t="str">
        <f>IF(R658 = "", "", COUNT(R$4:$R658))</f>
        <v/>
      </c>
      <c r="Q658" s="190" t="str">
        <f t="shared" si="101"/>
        <v/>
      </c>
      <c r="R658" s="191" t="str">
        <f t="shared" si="102"/>
        <v/>
      </c>
      <c r="S658" s="192" t="str">
        <f t="shared" si="104"/>
        <v/>
      </c>
      <c r="T658" s="193" t="str">
        <f t="shared" si="105"/>
        <v/>
      </c>
      <c r="U658" s="194" t="str">
        <f t="shared" si="106"/>
        <v/>
      </c>
      <c r="V658" s="195" t="str">
        <f t="shared" si="103"/>
        <v/>
      </c>
      <c r="W658" s="336" t="str">
        <f t="shared" si="107"/>
        <v/>
      </c>
      <c r="X658" s="338" t="str">
        <f t="shared" si="108"/>
        <v/>
      </c>
      <c r="Y658" s="274"/>
      <c r="AR658" t="str">
        <f t="shared" si="109"/>
        <v/>
      </c>
      <c r="AS658" t="str">
        <f t="shared" si="110"/>
        <v/>
      </c>
    </row>
    <row r="659" spans="1:45">
      <c r="A659" s="291"/>
      <c r="B659" s="292"/>
      <c r="C659" s="293"/>
      <c r="D659" s="293"/>
      <c r="E659" s="293"/>
      <c r="F659" s="293"/>
      <c r="G659" s="294"/>
      <c r="H659" s="300"/>
      <c r="I659" s="295"/>
      <c r="J659" s="295"/>
      <c r="K659" s="296"/>
      <c r="L659" s="301"/>
      <c r="M659" s="297"/>
      <c r="N659" s="298"/>
      <c r="P659" s="190" t="str">
        <f>IF(R659 = "", "", COUNT(R$4:$R659))</f>
        <v/>
      </c>
      <c r="Q659" s="190" t="str">
        <f t="shared" si="101"/>
        <v/>
      </c>
      <c r="R659" s="191" t="str">
        <f t="shared" si="102"/>
        <v/>
      </c>
      <c r="S659" s="192" t="str">
        <f t="shared" si="104"/>
        <v/>
      </c>
      <c r="T659" s="193" t="str">
        <f t="shared" si="105"/>
        <v/>
      </c>
      <c r="U659" s="194" t="str">
        <f t="shared" si="106"/>
        <v/>
      </c>
      <c r="V659" s="195" t="str">
        <f t="shared" si="103"/>
        <v/>
      </c>
      <c r="W659" s="336" t="str">
        <f t="shared" si="107"/>
        <v/>
      </c>
      <c r="X659" s="338" t="str">
        <f t="shared" si="108"/>
        <v/>
      </c>
      <c r="Y659" s="274"/>
      <c r="AR659" t="str">
        <f t="shared" si="109"/>
        <v/>
      </c>
      <c r="AS659" t="str">
        <f t="shared" si="110"/>
        <v/>
      </c>
    </row>
    <row r="660" spans="1:45">
      <c r="A660" s="291"/>
      <c r="B660" s="292"/>
      <c r="C660" s="293"/>
      <c r="D660" s="293"/>
      <c r="E660" s="293"/>
      <c r="F660" s="293"/>
      <c r="G660" s="294"/>
      <c r="H660" s="300"/>
      <c r="I660" s="295"/>
      <c r="J660" s="295"/>
      <c r="K660" s="296"/>
      <c r="L660" s="301"/>
      <c r="M660" s="297"/>
      <c r="N660" s="298"/>
      <c r="P660" s="190" t="str">
        <f>IF(R660 = "", "", COUNT(R$4:$R660))</f>
        <v/>
      </c>
      <c r="Q660" s="190" t="str">
        <f t="shared" si="101"/>
        <v/>
      </c>
      <c r="R660" s="191" t="str">
        <f t="shared" si="102"/>
        <v/>
      </c>
      <c r="S660" s="192" t="str">
        <f t="shared" si="104"/>
        <v/>
      </c>
      <c r="T660" s="193" t="str">
        <f t="shared" si="105"/>
        <v/>
      </c>
      <c r="U660" s="194" t="str">
        <f t="shared" si="106"/>
        <v/>
      </c>
      <c r="V660" s="195" t="str">
        <f t="shared" si="103"/>
        <v/>
      </c>
      <c r="W660" s="336" t="str">
        <f t="shared" si="107"/>
        <v/>
      </c>
      <c r="X660" s="338" t="str">
        <f t="shared" si="108"/>
        <v/>
      </c>
      <c r="Y660" s="274"/>
      <c r="AR660" t="str">
        <f t="shared" si="109"/>
        <v/>
      </c>
      <c r="AS660" t="str">
        <f t="shared" si="110"/>
        <v/>
      </c>
    </row>
    <row r="661" spans="1:45">
      <c r="A661" s="291"/>
      <c r="B661" s="292"/>
      <c r="C661" s="293"/>
      <c r="D661" s="293"/>
      <c r="E661" s="293"/>
      <c r="F661" s="293"/>
      <c r="G661" s="294"/>
      <c r="H661" s="300"/>
      <c r="I661" s="295"/>
      <c r="J661" s="295"/>
      <c r="K661" s="296"/>
      <c r="L661" s="301"/>
      <c r="M661" s="297"/>
      <c r="N661" s="298"/>
      <c r="P661" s="190" t="str">
        <f>IF(R661 = "", "", COUNT(R$4:$R661))</f>
        <v/>
      </c>
      <c r="Q661" s="190" t="str">
        <f t="shared" si="101"/>
        <v/>
      </c>
      <c r="R661" s="191" t="str">
        <f t="shared" si="102"/>
        <v/>
      </c>
      <c r="S661" s="192" t="str">
        <f t="shared" si="104"/>
        <v/>
      </c>
      <c r="T661" s="193" t="str">
        <f t="shared" si="105"/>
        <v/>
      </c>
      <c r="U661" s="194" t="str">
        <f t="shared" si="106"/>
        <v/>
      </c>
      <c r="V661" s="195" t="str">
        <f t="shared" si="103"/>
        <v/>
      </c>
      <c r="W661" s="336" t="str">
        <f t="shared" si="107"/>
        <v/>
      </c>
      <c r="X661" s="338" t="str">
        <f t="shared" si="108"/>
        <v/>
      </c>
      <c r="Y661" s="274"/>
      <c r="AR661" t="str">
        <f t="shared" si="109"/>
        <v/>
      </c>
      <c r="AS661" t="str">
        <f t="shared" si="110"/>
        <v/>
      </c>
    </row>
    <row r="662" spans="1:45">
      <c r="A662" s="291"/>
      <c r="B662" s="292"/>
      <c r="C662" s="293"/>
      <c r="D662" s="293"/>
      <c r="E662" s="293"/>
      <c r="F662" s="293"/>
      <c r="G662" s="294"/>
      <c r="H662" s="300"/>
      <c r="I662" s="295"/>
      <c r="J662" s="295"/>
      <c r="K662" s="296"/>
      <c r="L662" s="301"/>
      <c r="M662" s="297"/>
      <c r="N662" s="298"/>
      <c r="P662" s="190" t="str">
        <f>IF(R662 = "", "", COUNT(R$4:$R662))</f>
        <v/>
      </c>
      <c r="Q662" s="190" t="str">
        <f t="shared" si="101"/>
        <v/>
      </c>
      <c r="R662" s="191" t="str">
        <f t="shared" si="102"/>
        <v/>
      </c>
      <c r="S662" s="192" t="str">
        <f t="shared" si="104"/>
        <v/>
      </c>
      <c r="T662" s="193" t="str">
        <f t="shared" si="105"/>
        <v/>
      </c>
      <c r="U662" s="194" t="str">
        <f t="shared" si="106"/>
        <v/>
      </c>
      <c r="V662" s="195" t="str">
        <f t="shared" si="103"/>
        <v/>
      </c>
      <c r="W662" s="336" t="str">
        <f t="shared" si="107"/>
        <v/>
      </c>
      <c r="X662" s="338" t="str">
        <f t="shared" si="108"/>
        <v/>
      </c>
      <c r="Y662" s="274"/>
      <c r="AR662" t="str">
        <f t="shared" si="109"/>
        <v/>
      </c>
      <c r="AS662" t="str">
        <f t="shared" si="110"/>
        <v/>
      </c>
    </row>
    <row r="663" spans="1:45">
      <c r="A663" s="291"/>
      <c r="B663" s="292"/>
      <c r="C663" s="293"/>
      <c r="D663" s="293"/>
      <c r="E663" s="293"/>
      <c r="F663" s="293"/>
      <c r="G663" s="294"/>
      <c r="H663" s="300"/>
      <c r="I663" s="295"/>
      <c r="J663" s="295"/>
      <c r="K663" s="296"/>
      <c r="L663" s="301"/>
      <c r="M663" s="297"/>
      <c r="N663" s="298"/>
      <c r="P663" s="190" t="str">
        <f>IF(R663 = "", "", COUNT(R$4:$R663))</f>
        <v/>
      </c>
      <c r="Q663" s="190" t="str">
        <f t="shared" si="101"/>
        <v/>
      </c>
      <c r="R663" s="191" t="str">
        <f t="shared" si="102"/>
        <v/>
      </c>
      <c r="S663" s="192" t="str">
        <f t="shared" si="104"/>
        <v/>
      </c>
      <c r="T663" s="193" t="str">
        <f t="shared" si="105"/>
        <v/>
      </c>
      <c r="U663" s="194" t="str">
        <f t="shared" si="106"/>
        <v/>
      </c>
      <c r="V663" s="195" t="str">
        <f t="shared" si="103"/>
        <v/>
      </c>
      <c r="W663" s="336" t="str">
        <f t="shared" si="107"/>
        <v/>
      </c>
      <c r="X663" s="338" t="str">
        <f t="shared" si="108"/>
        <v/>
      </c>
      <c r="Y663" s="274"/>
      <c r="AR663" t="str">
        <f t="shared" si="109"/>
        <v/>
      </c>
      <c r="AS663" t="str">
        <f t="shared" si="110"/>
        <v/>
      </c>
    </row>
    <row r="664" spans="1:45">
      <c r="A664" s="291"/>
      <c r="B664" s="292"/>
      <c r="C664" s="293"/>
      <c r="D664" s="293"/>
      <c r="E664" s="293"/>
      <c r="F664" s="293"/>
      <c r="G664" s="294"/>
      <c r="H664" s="300"/>
      <c r="I664" s="295"/>
      <c r="J664" s="295"/>
      <c r="K664" s="296"/>
      <c r="L664" s="301"/>
      <c r="M664" s="297"/>
      <c r="N664" s="298"/>
      <c r="P664" s="190" t="str">
        <f>IF(R664 = "", "", COUNT(R$4:$R664))</f>
        <v/>
      </c>
      <c r="Q664" s="190" t="str">
        <f t="shared" si="101"/>
        <v/>
      </c>
      <c r="R664" s="191" t="str">
        <f t="shared" si="102"/>
        <v/>
      </c>
      <c r="S664" s="192" t="str">
        <f t="shared" si="104"/>
        <v/>
      </c>
      <c r="T664" s="193" t="str">
        <f t="shared" si="105"/>
        <v/>
      </c>
      <c r="U664" s="194" t="str">
        <f t="shared" si="106"/>
        <v/>
      </c>
      <c r="V664" s="195" t="str">
        <f t="shared" si="103"/>
        <v/>
      </c>
      <c r="W664" s="336" t="str">
        <f t="shared" si="107"/>
        <v/>
      </c>
      <c r="X664" s="338" t="str">
        <f t="shared" si="108"/>
        <v/>
      </c>
      <c r="Y664" s="274"/>
      <c r="AR664" t="str">
        <f t="shared" si="109"/>
        <v/>
      </c>
      <c r="AS664" t="str">
        <f t="shared" si="110"/>
        <v/>
      </c>
    </row>
    <row r="665" spans="1:45">
      <c r="A665" s="291"/>
      <c r="B665" s="292"/>
      <c r="C665" s="293"/>
      <c r="D665" s="293"/>
      <c r="E665" s="293"/>
      <c r="F665" s="293"/>
      <c r="G665" s="294"/>
      <c r="H665" s="300"/>
      <c r="I665" s="295"/>
      <c r="J665" s="295"/>
      <c r="K665" s="296"/>
      <c r="L665" s="301"/>
      <c r="M665" s="297"/>
      <c r="N665" s="298"/>
      <c r="P665" s="190" t="str">
        <f>IF(R665 = "", "", COUNT(R$4:$R665))</f>
        <v/>
      </c>
      <c r="Q665" s="190" t="str">
        <f t="shared" si="101"/>
        <v/>
      </c>
      <c r="R665" s="191" t="str">
        <f t="shared" si="102"/>
        <v/>
      </c>
      <c r="S665" s="192" t="str">
        <f t="shared" si="104"/>
        <v/>
      </c>
      <c r="T665" s="193" t="str">
        <f t="shared" si="105"/>
        <v/>
      </c>
      <c r="U665" s="194" t="str">
        <f t="shared" si="106"/>
        <v/>
      </c>
      <c r="V665" s="195" t="str">
        <f t="shared" si="103"/>
        <v/>
      </c>
      <c r="W665" s="336" t="str">
        <f t="shared" si="107"/>
        <v/>
      </c>
      <c r="X665" s="338" t="str">
        <f t="shared" si="108"/>
        <v/>
      </c>
      <c r="Y665" s="274"/>
      <c r="AR665" t="str">
        <f t="shared" si="109"/>
        <v/>
      </c>
      <c r="AS665" t="str">
        <f t="shared" si="110"/>
        <v/>
      </c>
    </row>
    <row r="666" spans="1:45">
      <c r="A666" s="291"/>
      <c r="B666" s="292"/>
      <c r="C666" s="293"/>
      <c r="D666" s="293"/>
      <c r="E666" s="293"/>
      <c r="F666" s="293"/>
      <c r="G666" s="294"/>
      <c r="H666" s="300"/>
      <c r="I666" s="295"/>
      <c r="J666" s="295"/>
      <c r="K666" s="296"/>
      <c r="L666" s="301"/>
      <c r="M666" s="297"/>
      <c r="N666" s="298"/>
      <c r="P666" s="190" t="str">
        <f>IF(R666 = "", "", COUNT(R$4:$R666))</f>
        <v/>
      </c>
      <c r="Q666" s="190" t="str">
        <f t="shared" si="101"/>
        <v/>
      </c>
      <c r="R666" s="191" t="str">
        <f t="shared" si="102"/>
        <v/>
      </c>
      <c r="S666" s="192" t="str">
        <f t="shared" si="104"/>
        <v/>
      </c>
      <c r="T666" s="193" t="str">
        <f t="shared" si="105"/>
        <v/>
      </c>
      <c r="U666" s="194" t="str">
        <f t="shared" si="106"/>
        <v/>
      </c>
      <c r="V666" s="195" t="str">
        <f t="shared" si="103"/>
        <v/>
      </c>
      <c r="W666" s="336" t="str">
        <f t="shared" si="107"/>
        <v/>
      </c>
      <c r="X666" s="338" t="str">
        <f t="shared" si="108"/>
        <v/>
      </c>
      <c r="Y666" s="274"/>
      <c r="AR666" t="str">
        <f t="shared" si="109"/>
        <v/>
      </c>
      <c r="AS666" t="str">
        <f t="shared" si="110"/>
        <v/>
      </c>
    </row>
    <row r="667" spans="1:45">
      <c r="A667" s="291"/>
      <c r="B667" s="292"/>
      <c r="C667" s="293"/>
      <c r="D667" s="293"/>
      <c r="E667" s="293"/>
      <c r="F667" s="293"/>
      <c r="G667" s="294"/>
      <c r="H667" s="300"/>
      <c r="I667" s="295"/>
      <c r="J667" s="295"/>
      <c r="K667" s="296"/>
      <c r="L667" s="301"/>
      <c r="M667" s="297"/>
      <c r="N667" s="298"/>
      <c r="P667" s="190" t="str">
        <f>IF(R667 = "", "", COUNT(R$4:$R667))</f>
        <v/>
      </c>
      <c r="Q667" s="190" t="str">
        <f t="shared" si="101"/>
        <v/>
      </c>
      <c r="R667" s="191" t="str">
        <f t="shared" si="102"/>
        <v/>
      </c>
      <c r="S667" s="192" t="str">
        <f t="shared" si="104"/>
        <v/>
      </c>
      <c r="T667" s="193" t="str">
        <f t="shared" si="105"/>
        <v/>
      </c>
      <c r="U667" s="194" t="str">
        <f t="shared" si="106"/>
        <v/>
      </c>
      <c r="V667" s="195" t="str">
        <f t="shared" si="103"/>
        <v/>
      </c>
      <c r="W667" s="336" t="str">
        <f t="shared" si="107"/>
        <v/>
      </c>
      <c r="X667" s="338" t="str">
        <f t="shared" si="108"/>
        <v/>
      </c>
      <c r="Y667" s="274"/>
      <c r="AR667" t="str">
        <f t="shared" si="109"/>
        <v/>
      </c>
      <c r="AS667" t="str">
        <f t="shared" si="110"/>
        <v/>
      </c>
    </row>
    <row r="668" spans="1:45">
      <c r="A668" s="291"/>
      <c r="B668" s="292"/>
      <c r="C668" s="293"/>
      <c r="D668" s="293"/>
      <c r="E668" s="293"/>
      <c r="F668" s="293"/>
      <c r="G668" s="294"/>
      <c r="H668" s="300"/>
      <c r="I668" s="295"/>
      <c r="J668" s="295"/>
      <c r="K668" s="296"/>
      <c r="L668" s="301"/>
      <c r="M668" s="297"/>
      <c r="N668" s="298"/>
      <c r="P668" s="190" t="str">
        <f>IF(R668 = "", "", COUNT(R$4:$R668))</f>
        <v/>
      </c>
      <c r="Q668" s="190" t="str">
        <f t="shared" si="101"/>
        <v/>
      </c>
      <c r="R668" s="191" t="str">
        <f t="shared" si="102"/>
        <v/>
      </c>
      <c r="S668" s="192" t="str">
        <f t="shared" si="104"/>
        <v/>
      </c>
      <c r="T668" s="193" t="str">
        <f t="shared" si="105"/>
        <v/>
      </c>
      <c r="U668" s="194" t="str">
        <f t="shared" si="106"/>
        <v/>
      </c>
      <c r="V668" s="195" t="str">
        <f t="shared" si="103"/>
        <v/>
      </c>
      <c r="W668" s="336" t="str">
        <f t="shared" si="107"/>
        <v/>
      </c>
      <c r="X668" s="338" t="str">
        <f t="shared" si="108"/>
        <v/>
      </c>
      <c r="Y668" s="274"/>
      <c r="AR668" t="str">
        <f t="shared" si="109"/>
        <v/>
      </c>
      <c r="AS668" t="str">
        <f t="shared" si="110"/>
        <v/>
      </c>
    </row>
    <row r="669" spans="1:45">
      <c r="A669" s="291"/>
      <c r="B669" s="292"/>
      <c r="C669" s="293"/>
      <c r="D669" s="293"/>
      <c r="E669" s="293"/>
      <c r="F669" s="293"/>
      <c r="G669" s="294"/>
      <c r="H669" s="300"/>
      <c r="I669" s="295"/>
      <c r="J669" s="295"/>
      <c r="K669" s="296"/>
      <c r="L669" s="301"/>
      <c r="M669" s="297"/>
      <c r="N669" s="298"/>
      <c r="P669" s="190" t="str">
        <f>IF(R669 = "", "", COUNT(R$4:$R669))</f>
        <v/>
      </c>
      <c r="Q669" s="190" t="str">
        <f t="shared" si="101"/>
        <v/>
      </c>
      <c r="R669" s="191" t="str">
        <f t="shared" si="102"/>
        <v/>
      </c>
      <c r="S669" s="192" t="str">
        <f t="shared" si="104"/>
        <v/>
      </c>
      <c r="T669" s="193" t="str">
        <f t="shared" si="105"/>
        <v/>
      </c>
      <c r="U669" s="194" t="str">
        <f t="shared" si="106"/>
        <v/>
      </c>
      <c r="V669" s="195" t="str">
        <f t="shared" si="103"/>
        <v/>
      </c>
      <c r="W669" s="336" t="str">
        <f t="shared" si="107"/>
        <v/>
      </c>
      <c r="X669" s="338" t="str">
        <f t="shared" si="108"/>
        <v/>
      </c>
      <c r="Y669" s="274"/>
      <c r="AR669" t="str">
        <f t="shared" si="109"/>
        <v/>
      </c>
      <c r="AS669" t="str">
        <f t="shared" si="110"/>
        <v/>
      </c>
    </row>
    <row r="670" spans="1:45">
      <c r="A670" s="291"/>
      <c r="B670" s="292"/>
      <c r="C670" s="293"/>
      <c r="D670" s="293"/>
      <c r="E670" s="293"/>
      <c r="F670" s="293"/>
      <c r="G670" s="294"/>
      <c r="H670" s="300"/>
      <c r="I670" s="295"/>
      <c r="J670" s="295"/>
      <c r="K670" s="296"/>
      <c r="L670" s="301"/>
      <c r="M670" s="297"/>
      <c r="N670" s="298"/>
      <c r="P670" s="190" t="str">
        <f>IF(R670 = "", "", COUNT(R$4:$R670))</f>
        <v/>
      </c>
      <c r="Q670" s="190" t="str">
        <f t="shared" si="101"/>
        <v/>
      </c>
      <c r="R670" s="191" t="str">
        <f t="shared" si="102"/>
        <v/>
      </c>
      <c r="S670" s="192" t="str">
        <f t="shared" si="104"/>
        <v/>
      </c>
      <c r="T670" s="193" t="str">
        <f t="shared" si="105"/>
        <v/>
      </c>
      <c r="U670" s="194" t="str">
        <f t="shared" si="106"/>
        <v/>
      </c>
      <c r="V670" s="195" t="str">
        <f t="shared" si="103"/>
        <v/>
      </c>
      <c r="W670" s="336" t="str">
        <f t="shared" si="107"/>
        <v/>
      </c>
      <c r="X670" s="338" t="str">
        <f t="shared" si="108"/>
        <v/>
      </c>
      <c r="Y670" s="274"/>
      <c r="AR670" t="str">
        <f t="shared" si="109"/>
        <v/>
      </c>
      <c r="AS670" t="str">
        <f t="shared" si="110"/>
        <v/>
      </c>
    </row>
    <row r="671" spans="1:45">
      <c r="A671" s="291"/>
      <c r="B671" s="292"/>
      <c r="C671" s="293"/>
      <c r="D671" s="293"/>
      <c r="E671" s="293"/>
      <c r="F671" s="293"/>
      <c r="G671" s="294"/>
      <c r="H671" s="300"/>
      <c r="I671" s="295"/>
      <c r="J671" s="295"/>
      <c r="K671" s="296"/>
      <c r="L671" s="301"/>
      <c r="M671" s="297"/>
      <c r="N671" s="298"/>
      <c r="P671" s="190" t="str">
        <f>IF(R671 = "", "", COUNT(R$4:$R671))</f>
        <v/>
      </c>
      <c r="Q671" s="190" t="str">
        <f t="shared" si="101"/>
        <v/>
      </c>
      <c r="R671" s="191" t="str">
        <f t="shared" si="102"/>
        <v/>
      </c>
      <c r="S671" s="192" t="str">
        <f t="shared" si="104"/>
        <v/>
      </c>
      <c r="T671" s="193" t="str">
        <f t="shared" si="105"/>
        <v/>
      </c>
      <c r="U671" s="194" t="str">
        <f t="shared" si="106"/>
        <v/>
      </c>
      <c r="V671" s="195" t="str">
        <f t="shared" si="103"/>
        <v/>
      </c>
      <c r="W671" s="336" t="str">
        <f t="shared" si="107"/>
        <v/>
      </c>
      <c r="X671" s="338" t="str">
        <f t="shared" si="108"/>
        <v/>
      </c>
      <c r="Y671" s="274"/>
      <c r="AR671" t="str">
        <f t="shared" si="109"/>
        <v/>
      </c>
      <c r="AS671" t="str">
        <f t="shared" si="110"/>
        <v/>
      </c>
    </row>
    <row r="672" spans="1:45">
      <c r="A672" s="291"/>
      <c r="B672" s="292"/>
      <c r="C672" s="293"/>
      <c r="D672" s="293"/>
      <c r="E672" s="293"/>
      <c r="F672" s="293"/>
      <c r="G672" s="294"/>
      <c r="H672" s="300"/>
      <c r="I672" s="295"/>
      <c r="J672" s="295"/>
      <c r="K672" s="296"/>
      <c r="L672" s="301"/>
      <c r="M672" s="297"/>
      <c r="N672" s="298"/>
      <c r="P672" s="190" t="str">
        <f>IF(R672 = "", "", COUNT(R$4:$R672))</f>
        <v/>
      </c>
      <c r="Q672" s="190" t="str">
        <f t="shared" si="101"/>
        <v/>
      </c>
      <c r="R672" s="191" t="str">
        <f t="shared" si="102"/>
        <v/>
      </c>
      <c r="S672" s="192" t="str">
        <f t="shared" si="104"/>
        <v/>
      </c>
      <c r="T672" s="193" t="str">
        <f t="shared" si="105"/>
        <v/>
      </c>
      <c r="U672" s="194" t="str">
        <f t="shared" si="106"/>
        <v/>
      </c>
      <c r="V672" s="195" t="str">
        <f t="shared" si="103"/>
        <v/>
      </c>
      <c r="W672" s="336" t="str">
        <f t="shared" si="107"/>
        <v/>
      </c>
      <c r="X672" s="338" t="str">
        <f t="shared" si="108"/>
        <v/>
      </c>
      <c r="Y672" s="274"/>
      <c r="AR672" t="str">
        <f t="shared" si="109"/>
        <v/>
      </c>
      <c r="AS672" t="str">
        <f t="shared" si="110"/>
        <v/>
      </c>
    </row>
    <row r="673" spans="1:45">
      <c r="A673" s="291"/>
      <c r="B673" s="292"/>
      <c r="C673" s="293"/>
      <c r="D673" s="293"/>
      <c r="E673" s="293"/>
      <c r="F673" s="293"/>
      <c r="G673" s="294"/>
      <c r="H673" s="300"/>
      <c r="I673" s="295"/>
      <c r="J673" s="295"/>
      <c r="K673" s="296"/>
      <c r="L673" s="301"/>
      <c r="M673" s="297"/>
      <c r="N673" s="298"/>
      <c r="P673" s="190" t="str">
        <f>IF(R673 = "", "", COUNT(R$4:$R673))</f>
        <v/>
      </c>
      <c r="Q673" s="190" t="str">
        <f t="shared" si="101"/>
        <v/>
      </c>
      <c r="R673" s="191" t="str">
        <f t="shared" si="102"/>
        <v/>
      </c>
      <c r="S673" s="192" t="str">
        <f t="shared" si="104"/>
        <v/>
      </c>
      <c r="T673" s="193" t="str">
        <f t="shared" si="105"/>
        <v/>
      </c>
      <c r="U673" s="194" t="str">
        <f t="shared" si="106"/>
        <v/>
      </c>
      <c r="V673" s="195" t="str">
        <f t="shared" si="103"/>
        <v/>
      </c>
      <c r="W673" s="336" t="str">
        <f t="shared" si="107"/>
        <v/>
      </c>
      <c r="X673" s="338" t="str">
        <f t="shared" si="108"/>
        <v/>
      </c>
      <c r="Y673" s="274"/>
      <c r="AR673" t="str">
        <f t="shared" si="109"/>
        <v/>
      </c>
      <c r="AS673" t="str">
        <f t="shared" si="110"/>
        <v/>
      </c>
    </row>
    <row r="674" spans="1:45">
      <c r="A674" s="291"/>
      <c r="B674" s="292"/>
      <c r="C674" s="293"/>
      <c r="D674" s="293"/>
      <c r="E674" s="293"/>
      <c r="F674" s="293"/>
      <c r="G674" s="294"/>
      <c r="H674" s="300"/>
      <c r="I674" s="295"/>
      <c r="J674" s="295"/>
      <c r="K674" s="296"/>
      <c r="L674" s="301"/>
      <c r="M674" s="297"/>
      <c r="N674" s="298"/>
      <c r="P674" s="190" t="str">
        <f>IF(R674 = "", "", COUNT(R$4:$R674))</f>
        <v/>
      </c>
      <c r="Q674" s="190" t="str">
        <f t="shared" si="101"/>
        <v/>
      </c>
      <c r="R674" s="191" t="str">
        <f t="shared" si="102"/>
        <v/>
      </c>
      <c r="S674" s="192" t="str">
        <f t="shared" si="104"/>
        <v/>
      </c>
      <c r="T674" s="193" t="str">
        <f t="shared" si="105"/>
        <v/>
      </c>
      <c r="U674" s="194" t="str">
        <f t="shared" si="106"/>
        <v/>
      </c>
      <c r="V674" s="195" t="str">
        <f t="shared" si="103"/>
        <v/>
      </c>
      <c r="W674" s="336" t="str">
        <f t="shared" si="107"/>
        <v/>
      </c>
      <c r="X674" s="338" t="str">
        <f t="shared" si="108"/>
        <v/>
      </c>
      <c r="Y674" s="274"/>
      <c r="AR674" t="str">
        <f t="shared" si="109"/>
        <v/>
      </c>
      <c r="AS674" t="str">
        <f t="shared" si="110"/>
        <v/>
      </c>
    </row>
    <row r="675" spans="1:45">
      <c r="A675" s="291"/>
      <c r="B675" s="292"/>
      <c r="C675" s="293"/>
      <c r="D675" s="293"/>
      <c r="E675" s="293"/>
      <c r="F675" s="293"/>
      <c r="G675" s="294"/>
      <c r="H675" s="300"/>
      <c r="I675" s="295"/>
      <c r="J675" s="295"/>
      <c r="K675" s="296"/>
      <c r="L675" s="301"/>
      <c r="M675" s="297"/>
      <c r="N675" s="298"/>
      <c r="P675" s="190" t="str">
        <f>IF(R675 = "", "", COUNT(R$4:$R675))</f>
        <v/>
      </c>
      <c r="Q675" s="190" t="str">
        <f t="shared" si="101"/>
        <v/>
      </c>
      <c r="R675" s="191" t="str">
        <f t="shared" si="102"/>
        <v/>
      </c>
      <c r="S675" s="192" t="str">
        <f t="shared" si="104"/>
        <v/>
      </c>
      <c r="T675" s="193" t="str">
        <f t="shared" si="105"/>
        <v/>
      </c>
      <c r="U675" s="194" t="str">
        <f t="shared" si="106"/>
        <v/>
      </c>
      <c r="V675" s="195" t="str">
        <f t="shared" si="103"/>
        <v/>
      </c>
      <c r="W675" s="336" t="str">
        <f t="shared" si="107"/>
        <v/>
      </c>
      <c r="X675" s="338" t="str">
        <f t="shared" si="108"/>
        <v/>
      </c>
      <c r="Y675" s="274"/>
      <c r="AR675" t="str">
        <f t="shared" si="109"/>
        <v/>
      </c>
      <c r="AS675" t="str">
        <f t="shared" si="110"/>
        <v/>
      </c>
    </row>
    <row r="676" spans="1:45">
      <c r="A676" s="291"/>
      <c r="B676" s="292"/>
      <c r="C676" s="293"/>
      <c r="D676" s="293"/>
      <c r="E676" s="293"/>
      <c r="F676" s="293"/>
      <c r="G676" s="294"/>
      <c r="H676" s="300"/>
      <c r="I676" s="295"/>
      <c r="J676" s="295"/>
      <c r="K676" s="296"/>
      <c r="L676" s="301"/>
      <c r="M676" s="297"/>
      <c r="N676" s="298"/>
      <c r="P676" s="190" t="str">
        <f>IF(R676 = "", "", COUNT(R$4:$R676))</f>
        <v/>
      </c>
      <c r="Q676" s="190" t="str">
        <f t="shared" si="101"/>
        <v/>
      </c>
      <c r="R676" s="191" t="str">
        <f t="shared" si="102"/>
        <v/>
      </c>
      <c r="S676" s="192" t="str">
        <f t="shared" si="104"/>
        <v/>
      </c>
      <c r="T676" s="193" t="str">
        <f t="shared" si="105"/>
        <v/>
      </c>
      <c r="U676" s="194" t="str">
        <f t="shared" si="106"/>
        <v/>
      </c>
      <c r="V676" s="195" t="str">
        <f t="shared" si="103"/>
        <v/>
      </c>
      <c r="W676" s="336" t="str">
        <f t="shared" si="107"/>
        <v/>
      </c>
      <c r="X676" s="338" t="str">
        <f t="shared" si="108"/>
        <v/>
      </c>
      <c r="Y676" s="274"/>
      <c r="AR676" t="str">
        <f t="shared" si="109"/>
        <v/>
      </c>
      <c r="AS676" t="str">
        <f t="shared" si="110"/>
        <v/>
      </c>
    </row>
    <row r="677" spans="1:45">
      <c r="A677" s="291"/>
      <c r="B677" s="292"/>
      <c r="C677" s="293"/>
      <c r="D677" s="293"/>
      <c r="E677" s="293"/>
      <c r="F677" s="293"/>
      <c r="G677" s="294"/>
      <c r="H677" s="300"/>
      <c r="I677" s="295"/>
      <c r="J677" s="295"/>
      <c r="K677" s="296"/>
      <c r="L677" s="301"/>
      <c r="M677" s="297"/>
      <c r="N677" s="298"/>
      <c r="P677" s="190" t="str">
        <f>IF(R677 = "", "", COUNT(R$4:$R677))</f>
        <v/>
      </c>
      <c r="Q677" s="190" t="str">
        <f t="shared" si="101"/>
        <v/>
      </c>
      <c r="R677" s="191" t="str">
        <f t="shared" si="102"/>
        <v/>
      </c>
      <c r="S677" s="192" t="str">
        <f t="shared" si="104"/>
        <v/>
      </c>
      <c r="T677" s="193" t="str">
        <f t="shared" si="105"/>
        <v/>
      </c>
      <c r="U677" s="194" t="str">
        <f t="shared" si="106"/>
        <v/>
      </c>
      <c r="V677" s="195" t="str">
        <f t="shared" si="103"/>
        <v/>
      </c>
      <c r="W677" s="336" t="str">
        <f t="shared" si="107"/>
        <v/>
      </c>
      <c r="X677" s="338" t="str">
        <f t="shared" si="108"/>
        <v/>
      </c>
      <c r="Y677" s="274"/>
      <c r="AR677" t="str">
        <f t="shared" si="109"/>
        <v/>
      </c>
      <c r="AS677" t="str">
        <f t="shared" si="110"/>
        <v/>
      </c>
    </row>
    <row r="678" spans="1:45">
      <c r="A678" s="291"/>
      <c r="B678" s="292"/>
      <c r="C678" s="293"/>
      <c r="D678" s="293"/>
      <c r="E678" s="293"/>
      <c r="F678" s="293"/>
      <c r="G678" s="294"/>
      <c r="H678" s="300"/>
      <c r="I678" s="295"/>
      <c r="J678" s="295"/>
      <c r="K678" s="296"/>
      <c r="L678" s="301"/>
      <c r="M678" s="297"/>
      <c r="N678" s="298"/>
      <c r="P678" s="190" t="str">
        <f>IF(R678 = "", "", COUNT(R$4:$R678))</f>
        <v/>
      </c>
      <c r="Q678" s="190" t="str">
        <f t="shared" si="101"/>
        <v/>
      </c>
      <c r="R678" s="191" t="str">
        <f t="shared" si="102"/>
        <v/>
      </c>
      <c r="S678" s="192" t="str">
        <f t="shared" si="104"/>
        <v/>
      </c>
      <c r="T678" s="193" t="str">
        <f t="shared" si="105"/>
        <v/>
      </c>
      <c r="U678" s="194" t="str">
        <f t="shared" si="106"/>
        <v/>
      </c>
      <c r="V678" s="195" t="str">
        <f t="shared" si="103"/>
        <v/>
      </c>
      <c r="W678" s="336" t="str">
        <f t="shared" si="107"/>
        <v/>
      </c>
      <c r="X678" s="338" t="str">
        <f t="shared" si="108"/>
        <v/>
      </c>
      <c r="Y678" s="274"/>
      <c r="AR678" t="str">
        <f t="shared" si="109"/>
        <v/>
      </c>
      <c r="AS678" t="str">
        <f t="shared" si="110"/>
        <v/>
      </c>
    </row>
    <row r="679" spans="1:45">
      <c r="A679" s="291"/>
      <c r="B679" s="292"/>
      <c r="C679" s="293"/>
      <c r="D679" s="293"/>
      <c r="E679" s="293"/>
      <c r="F679" s="293"/>
      <c r="G679" s="294"/>
      <c r="H679" s="300"/>
      <c r="I679" s="295"/>
      <c r="J679" s="295"/>
      <c r="K679" s="296"/>
      <c r="L679" s="301"/>
      <c r="M679" s="297"/>
      <c r="N679" s="298"/>
      <c r="P679" s="190" t="str">
        <f>IF(R679 = "", "", COUNT(R$4:$R679))</f>
        <v/>
      </c>
      <c r="Q679" s="190" t="str">
        <f t="shared" si="101"/>
        <v/>
      </c>
      <c r="R679" s="191" t="str">
        <f t="shared" si="102"/>
        <v/>
      </c>
      <c r="S679" s="192" t="str">
        <f t="shared" si="104"/>
        <v/>
      </c>
      <c r="T679" s="193" t="str">
        <f t="shared" si="105"/>
        <v/>
      </c>
      <c r="U679" s="194" t="str">
        <f t="shared" si="106"/>
        <v/>
      </c>
      <c r="V679" s="195" t="str">
        <f t="shared" si="103"/>
        <v/>
      </c>
      <c r="W679" s="336" t="str">
        <f t="shared" si="107"/>
        <v/>
      </c>
      <c r="X679" s="338" t="str">
        <f t="shared" si="108"/>
        <v/>
      </c>
      <c r="Y679" s="274"/>
      <c r="AR679" t="str">
        <f t="shared" si="109"/>
        <v/>
      </c>
      <c r="AS679" t="str">
        <f t="shared" si="110"/>
        <v/>
      </c>
    </row>
    <row r="680" spans="1:45">
      <c r="A680" s="291"/>
      <c r="B680" s="292"/>
      <c r="C680" s="293"/>
      <c r="D680" s="293"/>
      <c r="E680" s="293"/>
      <c r="F680" s="293"/>
      <c r="G680" s="294"/>
      <c r="H680" s="300"/>
      <c r="I680" s="295"/>
      <c r="J680" s="295"/>
      <c r="K680" s="296"/>
      <c r="L680" s="301"/>
      <c r="M680" s="297"/>
      <c r="N680" s="298"/>
      <c r="P680" s="190" t="str">
        <f>IF(R680 = "", "", COUNT(R$4:$R680))</f>
        <v/>
      </c>
      <c r="Q680" s="190" t="str">
        <f t="shared" si="101"/>
        <v/>
      </c>
      <c r="R680" s="191" t="str">
        <f t="shared" si="102"/>
        <v/>
      </c>
      <c r="S680" s="192" t="str">
        <f t="shared" si="104"/>
        <v/>
      </c>
      <c r="T680" s="193" t="str">
        <f t="shared" si="105"/>
        <v/>
      </c>
      <c r="U680" s="194" t="str">
        <f t="shared" si="106"/>
        <v/>
      </c>
      <c r="V680" s="195" t="str">
        <f t="shared" si="103"/>
        <v/>
      </c>
      <c r="W680" s="336" t="str">
        <f t="shared" si="107"/>
        <v/>
      </c>
      <c r="X680" s="338" t="str">
        <f t="shared" si="108"/>
        <v/>
      </c>
      <c r="Y680" s="274"/>
      <c r="AR680" t="str">
        <f t="shared" si="109"/>
        <v/>
      </c>
      <c r="AS680" t="str">
        <f t="shared" si="110"/>
        <v/>
      </c>
    </row>
    <row r="681" spans="1:45">
      <c r="A681" s="291"/>
      <c r="B681" s="292"/>
      <c r="C681" s="293"/>
      <c r="D681" s="293"/>
      <c r="E681" s="293"/>
      <c r="F681" s="293"/>
      <c r="G681" s="294"/>
      <c r="H681" s="300"/>
      <c r="I681" s="295"/>
      <c r="J681" s="295"/>
      <c r="K681" s="296"/>
      <c r="L681" s="301"/>
      <c r="M681" s="297"/>
      <c r="N681" s="298"/>
      <c r="P681" s="190" t="str">
        <f>IF(R681 = "", "", COUNT(R$4:$R681))</f>
        <v/>
      </c>
      <c r="Q681" s="190" t="str">
        <f t="shared" si="101"/>
        <v/>
      </c>
      <c r="R681" s="191" t="str">
        <f t="shared" si="102"/>
        <v/>
      </c>
      <c r="S681" s="192" t="str">
        <f t="shared" si="104"/>
        <v/>
      </c>
      <c r="T681" s="193" t="str">
        <f t="shared" si="105"/>
        <v/>
      </c>
      <c r="U681" s="194" t="str">
        <f t="shared" si="106"/>
        <v/>
      </c>
      <c r="V681" s="195" t="str">
        <f t="shared" si="103"/>
        <v/>
      </c>
      <c r="W681" s="336" t="str">
        <f t="shared" si="107"/>
        <v/>
      </c>
      <c r="X681" s="338" t="str">
        <f t="shared" si="108"/>
        <v/>
      </c>
      <c r="Y681" s="274"/>
      <c r="AR681" t="str">
        <f t="shared" si="109"/>
        <v/>
      </c>
      <c r="AS681" t="str">
        <f t="shared" si="110"/>
        <v/>
      </c>
    </row>
    <row r="682" spans="1:45">
      <c r="A682" s="291"/>
      <c r="B682" s="292"/>
      <c r="C682" s="293"/>
      <c r="D682" s="293"/>
      <c r="E682" s="293"/>
      <c r="F682" s="293"/>
      <c r="G682" s="294"/>
      <c r="H682" s="300"/>
      <c r="I682" s="295"/>
      <c r="J682" s="295"/>
      <c r="K682" s="296"/>
      <c r="L682" s="301"/>
      <c r="M682" s="297"/>
      <c r="N682" s="298"/>
      <c r="P682" s="190" t="str">
        <f>IF(R682 = "", "", COUNT(R$4:$R682))</f>
        <v/>
      </c>
      <c r="Q682" s="190" t="str">
        <f t="shared" si="101"/>
        <v/>
      </c>
      <c r="R682" s="191" t="str">
        <f t="shared" si="102"/>
        <v/>
      </c>
      <c r="S682" s="192" t="str">
        <f t="shared" si="104"/>
        <v/>
      </c>
      <c r="T682" s="193" t="str">
        <f t="shared" si="105"/>
        <v/>
      </c>
      <c r="U682" s="194" t="str">
        <f t="shared" si="106"/>
        <v/>
      </c>
      <c r="V682" s="195" t="str">
        <f t="shared" si="103"/>
        <v/>
      </c>
      <c r="W682" s="336" t="str">
        <f t="shared" si="107"/>
        <v/>
      </c>
      <c r="X682" s="338" t="str">
        <f t="shared" si="108"/>
        <v/>
      </c>
      <c r="Y682" s="274"/>
      <c r="AR682" t="str">
        <f t="shared" si="109"/>
        <v/>
      </c>
      <c r="AS682" t="str">
        <f t="shared" si="110"/>
        <v/>
      </c>
    </row>
    <row r="683" spans="1:45">
      <c r="A683" s="291"/>
      <c r="B683" s="292"/>
      <c r="C683" s="293"/>
      <c r="D683" s="293"/>
      <c r="E683" s="293"/>
      <c r="F683" s="293"/>
      <c r="G683" s="294"/>
      <c r="H683" s="300"/>
      <c r="I683" s="295"/>
      <c r="J683" s="295"/>
      <c r="K683" s="296"/>
      <c r="L683" s="301"/>
      <c r="M683" s="297"/>
      <c r="N683" s="298"/>
      <c r="P683" s="190" t="str">
        <f>IF(R683 = "", "", COUNT(R$4:$R683))</f>
        <v/>
      </c>
      <c r="Q683" s="190" t="str">
        <f t="shared" si="101"/>
        <v/>
      </c>
      <c r="R683" s="191" t="str">
        <f t="shared" si="102"/>
        <v/>
      </c>
      <c r="S683" s="192" t="str">
        <f t="shared" si="104"/>
        <v/>
      </c>
      <c r="T683" s="193" t="str">
        <f t="shared" si="105"/>
        <v/>
      </c>
      <c r="U683" s="194" t="str">
        <f t="shared" si="106"/>
        <v/>
      </c>
      <c r="V683" s="195" t="str">
        <f t="shared" si="103"/>
        <v/>
      </c>
      <c r="W683" s="336" t="str">
        <f t="shared" si="107"/>
        <v/>
      </c>
      <c r="X683" s="338" t="str">
        <f t="shared" si="108"/>
        <v/>
      </c>
      <c r="Y683" s="274"/>
      <c r="AR683" t="str">
        <f t="shared" si="109"/>
        <v/>
      </c>
      <c r="AS683" t="str">
        <f t="shared" si="110"/>
        <v/>
      </c>
    </row>
    <row r="684" spans="1:45">
      <c r="A684" s="291"/>
      <c r="B684" s="292"/>
      <c r="C684" s="293"/>
      <c r="D684" s="293"/>
      <c r="E684" s="293"/>
      <c r="F684" s="293"/>
      <c r="G684" s="294"/>
      <c r="H684" s="300"/>
      <c r="I684" s="295"/>
      <c r="J684" s="295"/>
      <c r="K684" s="296"/>
      <c r="L684" s="301"/>
      <c r="M684" s="297"/>
      <c r="N684" s="298"/>
      <c r="P684" s="190" t="str">
        <f>IF(R684 = "", "", COUNT(R$4:$R684))</f>
        <v/>
      </c>
      <c r="Q684" s="190" t="str">
        <f t="shared" si="101"/>
        <v/>
      </c>
      <c r="R684" s="191" t="str">
        <f t="shared" si="102"/>
        <v/>
      </c>
      <c r="S684" s="192" t="str">
        <f t="shared" si="104"/>
        <v/>
      </c>
      <c r="T684" s="193" t="str">
        <f t="shared" si="105"/>
        <v/>
      </c>
      <c r="U684" s="194" t="str">
        <f t="shared" si="106"/>
        <v/>
      </c>
      <c r="V684" s="195" t="str">
        <f t="shared" si="103"/>
        <v/>
      </c>
      <c r="W684" s="336" t="str">
        <f t="shared" si="107"/>
        <v/>
      </c>
      <c r="X684" s="338" t="str">
        <f t="shared" si="108"/>
        <v/>
      </c>
      <c r="Y684" s="274"/>
      <c r="AR684" t="str">
        <f t="shared" si="109"/>
        <v/>
      </c>
      <c r="AS684" t="str">
        <f t="shared" si="110"/>
        <v/>
      </c>
    </row>
    <row r="685" spans="1:45">
      <c r="A685" s="291"/>
      <c r="B685" s="292"/>
      <c r="C685" s="293"/>
      <c r="D685" s="293"/>
      <c r="E685" s="293"/>
      <c r="F685" s="293"/>
      <c r="G685" s="294"/>
      <c r="H685" s="300"/>
      <c r="I685" s="295"/>
      <c r="J685" s="295"/>
      <c r="K685" s="296"/>
      <c r="L685" s="301"/>
      <c r="M685" s="297"/>
      <c r="N685" s="298"/>
      <c r="P685" s="190" t="str">
        <f>IF(R685 = "", "", COUNT(R$4:$R685))</f>
        <v/>
      </c>
      <c r="Q685" s="190" t="str">
        <f t="shared" si="101"/>
        <v/>
      </c>
      <c r="R685" s="191" t="str">
        <f t="shared" si="102"/>
        <v/>
      </c>
      <c r="S685" s="192" t="str">
        <f t="shared" si="104"/>
        <v/>
      </c>
      <c r="T685" s="193" t="str">
        <f t="shared" si="105"/>
        <v/>
      </c>
      <c r="U685" s="194" t="str">
        <f t="shared" si="106"/>
        <v/>
      </c>
      <c r="V685" s="195" t="str">
        <f t="shared" si="103"/>
        <v/>
      </c>
      <c r="W685" s="336" t="str">
        <f t="shared" si="107"/>
        <v/>
      </c>
      <c r="X685" s="338" t="str">
        <f t="shared" si="108"/>
        <v/>
      </c>
      <c r="Y685" s="274"/>
      <c r="AR685" t="str">
        <f t="shared" si="109"/>
        <v/>
      </c>
      <c r="AS685" t="str">
        <f t="shared" si="110"/>
        <v/>
      </c>
    </row>
    <row r="686" spans="1:45">
      <c r="A686" s="291"/>
      <c r="B686" s="292"/>
      <c r="C686" s="293"/>
      <c r="D686" s="293"/>
      <c r="E686" s="293"/>
      <c r="F686" s="293"/>
      <c r="G686" s="294"/>
      <c r="H686" s="300"/>
      <c r="I686" s="295"/>
      <c r="J686" s="295"/>
      <c r="K686" s="296"/>
      <c r="L686" s="301"/>
      <c r="M686" s="297"/>
      <c r="N686" s="298"/>
      <c r="P686" s="190" t="str">
        <f>IF(R686 = "", "", COUNT(R$4:$R686))</f>
        <v/>
      </c>
      <c r="Q686" s="190" t="str">
        <f t="shared" si="101"/>
        <v/>
      </c>
      <c r="R686" s="191" t="str">
        <f t="shared" si="102"/>
        <v/>
      </c>
      <c r="S686" s="192" t="str">
        <f t="shared" si="104"/>
        <v/>
      </c>
      <c r="T686" s="193" t="str">
        <f t="shared" si="105"/>
        <v/>
      </c>
      <c r="U686" s="194" t="str">
        <f t="shared" si="106"/>
        <v/>
      </c>
      <c r="V686" s="195" t="str">
        <f t="shared" si="103"/>
        <v/>
      </c>
      <c r="W686" s="336" t="str">
        <f t="shared" si="107"/>
        <v/>
      </c>
      <c r="X686" s="338" t="str">
        <f t="shared" si="108"/>
        <v/>
      </c>
      <c r="Y686" s="274"/>
      <c r="AR686" t="str">
        <f t="shared" si="109"/>
        <v/>
      </c>
      <c r="AS686" t="str">
        <f t="shared" si="110"/>
        <v/>
      </c>
    </row>
    <row r="687" spans="1:45">
      <c r="A687" s="291"/>
      <c r="B687" s="292"/>
      <c r="C687" s="293"/>
      <c r="D687" s="293"/>
      <c r="E687" s="293"/>
      <c r="F687" s="293"/>
      <c r="G687" s="294"/>
      <c r="H687" s="300"/>
      <c r="I687" s="295"/>
      <c r="J687" s="295"/>
      <c r="K687" s="296"/>
      <c r="L687" s="301"/>
      <c r="M687" s="297"/>
      <c r="N687" s="298"/>
      <c r="P687" s="190" t="str">
        <f>IF(R687 = "", "", COUNT(R$4:$R687))</f>
        <v/>
      </c>
      <c r="Q687" s="190" t="str">
        <f t="shared" si="101"/>
        <v/>
      </c>
      <c r="R687" s="191" t="str">
        <f t="shared" si="102"/>
        <v/>
      </c>
      <c r="S687" s="192" t="str">
        <f t="shared" si="104"/>
        <v/>
      </c>
      <c r="T687" s="193" t="str">
        <f t="shared" si="105"/>
        <v/>
      </c>
      <c r="U687" s="194" t="str">
        <f t="shared" si="106"/>
        <v/>
      </c>
      <c r="V687" s="195" t="str">
        <f t="shared" si="103"/>
        <v/>
      </c>
      <c r="W687" s="336" t="str">
        <f t="shared" si="107"/>
        <v/>
      </c>
      <c r="X687" s="338" t="str">
        <f t="shared" si="108"/>
        <v/>
      </c>
      <c r="Y687" s="274"/>
      <c r="AR687" t="str">
        <f t="shared" si="109"/>
        <v/>
      </c>
      <c r="AS687" t="str">
        <f t="shared" si="110"/>
        <v/>
      </c>
    </row>
    <row r="688" spans="1:45">
      <c r="A688" s="291"/>
      <c r="B688" s="292"/>
      <c r="C688" s="293"/>
      <c r="D688" s="293"/>
      <c r="E688" s="293"/>
      <c r="F688" s="293"/>
      <c r="G688" s="294"/>
      <c r="H688" s="300"/>
      <c r="I688" s="295"/>
      <c r="J688" s="295"/>
      <c r="K688" s="296"/>
      <c r="L688" s="301"/>
      <c r="M688" s="297"/>
      <c r="N688" s="298"/>
      <c r="P688" s="190" t="str">
        <f>IF(R688 = "", "", COUNT(R$4:$R688))</f>
        <v/>
      </c>
      <c r="Q688" s="190" t="str">
        <f t="shared" si="101"/>
        <v/>
      </c>
      <c r="R688" s="191" t="str">
        <f t="shared" si="102"/>
        <v/>
      </c>
      <c r="S688" s="192" t="str">
        <f t="shared" si="104"/>
        <v/>
      </c>
      <c r="T688" s="193" t="str">
        <f t="shared" si="105"/>
        <v/>
      </c>
      <c r="U688" s="194" t="str">
        <f t="shared" si="106"/>
        <v/>
      </c>
      <c r="V688" s="195" t="str">
        <f t="shared" si="103"/>
        <v/>
      </c>
      <c r="W688" s="336" t="str">
        <f t="shared" si="107"/>
        <v/>
      </c>
      <c r="X688" s="338" t="str">
        <f t="shared" si="108"/>
        <v/>
      </c>
      <c r="Y688" s="274"/>
      <c r="AR688" t="str">
        <f t="shared" si="109"/>
        <v/>
      </c>
      <c r="AS688" t="str">
        <f t="shared" si="110"/>
        <v/>
      </c>
    </row>
    <row r="689" spans="1:45">
      <c r="A689" s="291"/>
      <c r="B689" s="292"/>
      <c r="C689" s="293"/>
      <c r="D689" s="293"/>
      <c r="E689" s="293"/>
      <c r="F689" s="293"/>
      <c r="G689" s="294"/>
      <c r="H689" s="300"/>
      <c r="I689" s="295"/>
      <c r="J689" s="295"/>
      <c r="K689" s="296"/>
      <c r="L689" s="301"/>
      <c r="M689" s="297"/>
      <c r="N689" s="298"/>
      <c r="P689" s="190" t="str">
        <f>IF(R689 = "", "", COUNT(R$4:$R689))</f>
        <v/>
      </c>
      <c r="Q689" s="190" t="str">
        <f t="shared" si="101"/>
        <v/>
      </c>
      <c r="R689" s="191" t="str">
        <f t="shared" si="102"/>
        <v/>
      </c>
      <c r="S689" s="192" t="str">
        <f t="shared" si="104"/>
        <v/>
      </c>
      <c r="T689" s="193" t="str">
        <f t="shared" si="105"/>
        <v/>
      </c>
      <c r="U689" s="194" t="str">
        <f t="shared" si="106"/>
        <v/>
      </c>
      <c r="V689" s="195" t="str">
        <f t="shared" si="103"/>
        <v/>
      </c>
      <c r="W689" s="336" t="str">
        <f t="shared" si="107"/>
        <v/>
      </c>
      <c r="X689" s="338" t="str">
        <f t="shared" si="108"/>
        <v/>
      </c>
      <c r="Y689" s="274"/>
      <c r="AR689" t="str">
        <f t="shared" si="109"/>
        <v/>
      </c>
      <c r="AS689" t="str">
        <f t="shared" si="110"/>
        <v/>
      </c>
    </row>
    <row r="690" spans="1:45">
      <c r="A690" s="291"/>
      <c r="B690" s="292"/>
      <c r="C690" s="293"/>
      <c r="D690" s="293"/>
      <c r="E690" s="293"/>
      <c r="F690" s="293"/>
      <c r="G690" s="294"/>
      <c r="H690" s="300"/>
      <c r="I690" s="295"/>
      <c r="J690" s="295"/>
      <c r="K690" s="296"/>
      <c r="L690" s="301"/>
      <c r="M690" s="297"/>
      <c r="N690" s="298"/>
      <c r="P690" s="190" t="str">
        <f>IF(R690 = "", "", COUNT(R$4:$R690))</f>
        <v/>
      </c>
      <c r="Q690" s="190" t="str">
        <f t="shared" si="101"/>
        <v/>
      </c>
      <c r="R690" s="191" t="str">
        <f t="shared" si="102"/>
        <v/>
      </c>
      <c r="S690" s="192" t="str">
        <f t="shared" si="104"/>
        <v/>
      </c>
      <c r="T690" s="193" t="str">
        <f t="shared" si="105"/>
        <v/>
      </c>
      <c r="U690" s="194" t="str">
        <f t="shared" si="106"/>
        <v/>
      </c>
      <c r="V690" s="195" t="str">
        <f t="shared" si="103"/>
        <v/>
      </c>
      <c r="W690" s="336" t="str">
        <f t="shared" si="107"/>
        <v/>
      </c>
      <c r="X690" s="338" t="str">
        <f t="shared" si="108"/>
        <v/>
      </c>
      <c r="Y690" s="274"/>
      <c r="AR690" t="str">
        <f t="shared" si="109"/>
        <v/>
      </c>
      <c r="AS690" t="str">
        <f t="shared" si="110"/>
        <v/>
      </c>
    </row>
    <row r="691" spans="1:45">
      <c r="A691" s="291"/>
      <c r="B691" s="292"/>
      <c r="C691" s="293"/>
      <c r="D691" s="293"/>
      <c r="E691" s="293"/>
      <c r="F691" s="293"/>
      <c r="G691" s="294"/>
      <c r="H691" s="300"/>
      <c r="I691" s="295"/>
      <c r="J691" s="295"/>
      <c r="K691" s="296"/>
      <c r="L691" s="301"/>
      <c r="M691" s="297"/>
      <c r="N691" s="298"/>
      <c r="P691" s="190" t="str">
        <f>IF(R691 = "", "", COUNT(R$4:$R691))</f>
        <v/>
      </c>
      <c r="Q691" s="190" t="str">
        <f t="shared" si="101"/>
        <v/>
      </c>
      <c r="R691" s="191" t="str">
        <f t="shared" si="102"/>
        <v/>
      </c>
      <c r="S691" s="192" t="str">
        <f t="shared" si="104"/>
        <v/>
      </c>
      <c r="T691" s="193" t="str">
        <f t="shared" si="105"/>
        <v/>
      </c>
      <c r="U691" s="194" t="str">
        <f t="shared" si="106"/>
        <v/>
      </c>
      <c r="V691" s="195" t="str">
        <f t="shared" si="103"/>
        <v/>
      </c>
      <c r="W691" s="336" t="str">
        <f t="shared" si="107"/>
        <v/>
      </c>
      <c r="X691" s="338" t="str">
        <f t="shared" si="108"/>
        <v/>
      </c>
      <c r="Y691" s="274"/>
      <c r="AR691" t="str">
        <f t="shared" si="109"/>
        <v/>
      </c>
      <c r="AS691" t="str">
        <f t="shared" si="110"/>
        <v/>
      </c>
    </row>
    <row r="692" spans="1:45">
      <c r="A692" s="291"/>
      <c r="B692" s="292"/>
      <c r="C692" s="293"/>
      <c r="D692" s="293"/>
      <c r="E692" s="293"/>
      <c r="F692" s="293"/>
      <c r="G692" s="294"/>
      <c r="H692" s="300"/>
      <c r="I692" s="295"/>
      <c r="J692" s="295"/>
      <c r="K692" s="296"/>
      <c r="L692" s="301"/>
      <c r="M692" s="297"/>
      <c r="N692" s="298"/>
      <c r="P692" s="190" t="str">
        <f>IF(R692 = "", "", COUNT(R$4:$R692))</f>
        <v/>
      </c>
      <c r="Q692" s="190" t="str">
        <f t="shared" si="101"/>
        <v/>
      </c>
      <c r="R692" s="191" t="str">
        <f t="shared" si="102"/>
        <v/>
      </c>
      <c r="S692" s="192" t="str">
        <f t="shared" si="104"/>
        <v/>
      </c>
      <c r="T692" s="193" t="str">
        <f t="shared" si="105"/>
        <v/>
      </c>
      <c r="U692" s="194" t="str">
        <f t="shared" si="106"/>
        <v/>
      </c>
      <c r="V692" s="195" t="str">
        <f t="shared" si="103"/>
        <v/>
      </c>
      <c r="W692" s="336" t="str">
        <f t="shared" si="107"/>
        <v/>
      </c>
      <c r="X692" s="338" t="str">
        <f t="shared" si="108"/>
        <v/>
      </c>
      <c r="Y692" s="274"/>
      <c r="AR692" t="str">
        <f t="shared" si="109"/>
        <v/>
      </c>
      <c r="AS692" t="str">
        <f t="shared" si="110"/>
        <v/>
      </c>
    </row>
    <row r="693" spans="1:45">
      <c r="A693" s="291"/>
      <c r="B693" s="292"/>
      <c r="C693" s="293"/>
      <c r="D693" s="293"/>
      <c r="E693" s="293"/>
      <c r="F693" s="293"/>
      <c r="G693" s="294"/>
      <c r="H693" s="300"/>
      <c r="I693" s="295"/>
      <c r="J693" s="295"/>
      <c r="K693" s="296"/>
      <c r="L693" s="301"/>
      <c r="M693" s="297"/>
      <c r="N693" s="298"/>
      <c r="P693" s="190" t="str">
        <f>IF(R693 = "", "", COUNT(R$4:$R693))</f>
        <v/>
      </c>
      <c r="Q693" s="190" t="str">
        <f t="shared" si="101"/>
        <v/>
      </c>
      <c r="R693" s="191" t="str">
        <f t="shared" si="102"/>
        <v/>
      </c>
      <c r="S693" s="192" t="str">
        <f t="shared" si="104"/>
        <v/>
      </c>
      <c r="T693" s="193" t="str">
        <f t="shared" si="105"/>
        <v/>
      </c>
      <c r="U693" s="194" t="str">
        <f t="shared" si="106"/>
        <v/>
      </c>
      <c r="V693" s="195" t="str">
        <f t="shared" si="103"/>
        <v/>
      </c>
      <c r="W693" s="336" t="str">
        <f t="shared" si="107"/>
        <v/>
      </c>
      <c r="X693" s="338" t="str">
        <f t="shared" si="108"/>
        <v/>
      </c>
      <c r="Y693" s="274"/>
      <c r="AR693" t="str">
        <f t="shared" si="109"/>
        <v/>
      </c>
      <c r="AS693" t="str">
        <f t="shared" si="110"/>
        <v/>
      </c>
    </row>
    <row r="694" spans="1:45">
      <c r="A694" s="291"/>
      <c r="B694" s="292"/>
      <c r="C694" s="293"/>
      <c r="D694" s="293"/>
      <c r="E694" s="293"/>
      <c r="F694" s="293"/>
      <c r="G694" s="294"/>
      <c r="H694" s="300"/>
      <c r="I694" s="295"/>
      <c r="J694" s="295"/>
      <c r="K694" s="296"/>
      <c r="L694" s="301"/>
      <c r="M694" s="297"/>
      <c r="N694" s="298"/>
      <c r="P694" s="190" t="str">
        <f>IF(R694 = "", "", COUNT(R$4:$R694))</f>
        <v/>
      </c>
      <c r="Q694" s="190" t="str">
        <f t="shared" si="101"/>
        <v/>
      </c>
      <c r="R694" s="191" t="str">
        <f t="shared" si="102"/>
        <v/>
      </c>
      <c r="S694" s="192" t="str">
        <f t="shared" si="104"/>
        <v/>
      </c>
      <c r="T694" s="193" t="str">
        <f t="shared" si="105"/>
        <v/>
      </c>
      <c r="U694" s="194" t="str">
        <f t="shared" si="106"/>
        <v/>
      </c>
      <c r="V694" s="195" t="str">
        <f t="shared" si="103"/>
        <v/>
      </c>
      <c r="W694" s="336" t="str">
        <f t="shared" si="107"/>
        <v/>
      </c>
      <c r="X694" s="338" t="str">
        <f t="shared" si="108"/>
        <v/>
      </c>
      <c r="Y694" s="274"/>
      <c r="AR694" t="str">
        <f t="shared" si="109"/>
        <v/>
      </c>
      <c r="AS694" t="str">
        <f t="shared" si="110"/>
        <v/>
      </c>
    </row>
    <row r="695" spans="1:45">
      <c r="A695" s="291"/>
      <c r="B695" s="292"/>
      <c r="C695" s="293"/>
      <c r="D695" s="293"/>
      <c r="E695" s="293"/>
      <c r="F695" s="293"/>
      <c r="G695" s="294"/>
      <c r="H695" s="300"/>
      <c r="I695" s="295"/>
      <c r="J695" s="295"/>
      <c r="K695" s="296"/>
      <c r="L695" s="301"/>
      <c r="M695" s="297"/>
      <c r="N695" s="298"/>
      <c r="P695" s="190" t="str">
        <f>IF(R695 = "", "", COUNT(R$4:$R695))</f>
        <v/>
      </c>
      <c r="Q695" s="190" t="str">
        <f t="shared" si="101"/>
        <v/>
      </c>
      <c r="R695" s="191" t="str">
        <f t="shared" si="102"/>
        <v/>
      </c>
      <c r="S695" s="192" t="str">
        <f t="shared" si="104"/>
        <v/>
      </c>
      <c r="T695" s="193" t="str">
        <f t="shared" si="105"/>
        <v/>
      </c>
      <c r="U695" s="194" t="str">
        <f t="shared" si="106"/>
        <v/>
      </c>
      <c r="V695" s="195" t="str">
        <f t="shared" si="103"/>
        <v/>
      </c>
      <c r="W695" s="336" t="str">
        <f t="shared" si="107"/>
        <v/>
      </c>
      <c r="X695" s="338" t="str">
        <f t="shared" si="108"/>
        <v/>
      </c>
      <c r="Y695" s="274"/>
      <c r="AR695" t="str">
        <f t="shared" si="109"/>
        <v/>
      </c>
      <c r="AS695" t="str">
        <f t="shared" si="110"/>
        <v/>
      </c>
    </row>
    <row r="696" spans="1:45">
      <c r="A696" s="291"/>
      <c r="B696" s="292"/>
      <c r="C696" s="293"/>
      <c r="D696" s="293"/>
      <c r="E696" s="293"/>
      <c r="F696" s="293"/>
      <c r="G696" s="294"/>
      <c r="H696" s="300"/>
      <c r="I696" s="295"/>
      <c r="J696" s="295"/>
      <c r="K696" s="296"/>
      <c r="L696" s="301"/>
      <c r="M696" s="297"/>
      <c r="N696" s="298"/>
      <c r="P696" s="190" t="str">
        <f>IF(R696 = "", "", COUNT(R$4:$R696))</f>
        <v/>
      </c>
      <c r="Q696" s="190" t="str">
        <f t="shared" si="101"/>
        <v/>
      </c>
      <c r="R696" s="191" t="str">
        <f t="shared" si="102"/>
        <v/>
      </c>
      <c r="S696" s="192" t="str">
        <f t="shared" si="104"/>
        <v/>
      </c>
      <c r="T696" s="193" t="str">
        <f t="shared" si="105"/>
        <v/>
      </c>
      <c r="U696" s="194" t="str">
        <f t="shared" si="106"/>
        <v/>
      </c>
      <c r="V696" s="195" t="str">
        <f t="shared" si="103"/>
        <v/>
      </c>
      <c r="W696" s="336" t="str">
        <f t="shared" si="107"/>
        <v/>
      </c>
      <c r="X696" s="338" t="str">
        <f t="shared" si="108"/>
        <v/>
      </c>
      <c r="Y696" s="274"/>
      <c r="AR696" t="str">
        <f t="shared" si="109"/>
        <v/>
      </c>
      <c r="AS696" t="str">
        <f t="shared" si="110"/>
        <v/>
      </c>
    </row>
    <row r="697" spans="1:45">
      <c r="A697" s="291"/>
      <c r="B697" s="292"/>
      <c r="C697" s="293"/>
      <c r="D697" s="293"/>
      <c r="E697" s="293"/>
      <c r="F697" s="293"/>
      <c r="G697" s="294"/>
      <c r="H697" s="300"/>
      <c r="I697" s="295"/>
      <c r="J697" s="295"/>
      <c r="K697" s="296"/>
      <c r="L697" s="301"/>
      <c r="M697" s="297"/>
      <c r="N697" s="298"/>
      <c r="P697" s="190" t="str">
        <f>IF(R697 = "", "", COUNT(R$4:$R697))</f>
        <v/>
      </c>
      <c r="Q697" s="190" t="str">
        <f t="shared" si="101"/>
        <v/>
      </c>
      <c r="R697" s="191" t="str">
        <f t="shared" si="102"/>
        <v/>
      </c>
      <c r="S697" s="192" t="str">
        <f t="shared" si="104"/>
        <v/>
      </c>
      <c r="T697" s="193" t="str">
        <f t="shared" si="105"/>
        <v/>
      </c>
      <c r="U697" s="194" t="str">
        <f t="shared" si="106"/>
        <v/>
      </c>
      <c r="V697" s="195" t="str">
        <f t="shared" si="103"/>
        <v/>
      </c>
      <c r="W697" s="336" t="str">
        <f t="shared" si="107"/>
        <v/>
      </c>
      <c r="X697" s="338" t="str">
        <f t="shared" si="108"/>
        <v/>
      </c>
      <c r="Y697" s="274"/>
      <c r="AR697" t="str">
        <f t="shared" si="109"/>
        <v/>
      </c>
      <c r="AS697" t="str">
        <f t="shared" si="110"/>
        <v/>
      </c>
    </row>
    <row r="698" spans="1:45">
      <c r="A698" s="291"/>
      <c r="B698" s="292"/>
      <c r="C698" s="293"/>
      <c r="D698" s="293"/>
      <c r="E698" s="293"/>
      <c r="F698" s="293"/>
      <c r="G698" s="294"/>
      <c r="H698" s="300"/>
      <c r="I698" s="295"/>
      <c r="J698" s="295"/>
      <c r="K698" s="296"/>
      <c r="L698" s="301"/>
      <c r="M698" s="297"/>
      <c r="N698" s="298"/>
      <c r="P698" s="190" t="str">
        <f>IF(R698 = "", "", COUNT(R$4:$R698))</f>
        <v/>
      </c>
      <c r="Q698" s="190" t="str">
        <f t="shared" si="101"/>
        <v/>
      </c>
      <c r="R698" s="191" t="str">
        <f t="shared" si="102"/>
        <v/>
      </c>
      <c r="S698" s="192" t="str">
        <f t="shared" si="104"/>
        <v/>
      </c>
      <c r="T698" s="193" t="str">
        <f t="shared" si="105"/>
        <v/>
      </c>
      <c r="U698" s="194" t="str">
        <f t="shared" si="106"/>
        <v/>
      </c>
      <c r="V698" s="195" t="str">
        <f t="shared" si="103"/>
        <v/>
      </c>
      <c r="W698" s="336" t="str">
        <f t="shared" si="107"/>
        <v/>
      </c>
      <c r="X698" s="338" t="str">
        <f t="shared" si="108"/>
        <v/>
      </c>
      <c r="Y698" s="274"/>
      <c r="AR698" t="str">
        <f t="shared" si="109"/>
        <v/>
      </c>
      <c r="AS698" t="str">
        <f t="shared" si="110"/>
        <v/>
      </c>
    </row>
    <row r="699" spans="1:45">
      <c r="A699" s="291"/>
      <c r="B699" s="292"/>
      <c r="C699" s="293"/>
      <c r="D699" s="293"/>
      <c r="E699" s="293"/>
      <c r="F699" s="293"/>
      <c r="G699" s="294"/>
      <c r="H699" s="300"/>
      <c r="I699" s="295"/>
      <c r="J699" s="295"/>
      <c r="K699" s="296"/>
      <c r="L699" s="301"/>
      <c r="M699" s="297"/>
      <c r="N699" s="298"/>
      <c r="P699" s="190" t="str">
        <f>IF(R699 = "", "", COUNT(R$4:$R699))</f>
        <v/>
      </c>
      <c r="Q699" s="190" t="str">
        <f t="shared" si="101"/>
        <v/>
      </c>
      <c r="R699" s="191" t="str">
        <f t="shared" si="102"/>
        <v/>
      </c>
      <c r="S699" s="192" t="str">
        <f t="shared" si="104"/>
        <v/>
      </c>
      <c r="T699" s="193" t="str">
        <f t="shared" si="105"/>
        <v/>
      </c>
      <c r="U699" s="194" t="str">
        <f t="shared" si="106"/>
        <v/>
      </c>
      <c r="V699" s="195" t="str">
        <f t="shared" si="103"/>
        <v/>
      </c>
      <c r="W699" s="336" t="str">
        <f t="shared" si="107"/>
        <v/>
      </c>
      <c r="X699" s="338" t="str">
        <f t="shared" si="108"/>
        <v/>
      </c>
      <c r="Y699" s="274"/>
      <c r="AR699" t="str">
        <f t="shared" si="109"/>
        <v/>
      </c>
      <c r="AS699" t="str">
        <f t="shared" si="110"/>
        <v/>
      </c>
    </row>
    <row r="700" spans="1:45">
      <c r="A700" s="291"/>
      <c r="B700" s="292"/>
      <c r="C700" s="293"/>
      <c r="D700" s="293"/>
      <c r="E700" s="293"/>
      <c r="F700" s="293"/>
      <c r="G700" s="294"/>
      <c r="H700" s="300"/>
      <c r="I700" s="295"/>
      <c r="J700" s="295"/>
      <c r="K700" s="296"/>
      <c r="L700" s="301"/>
      <c r="M700" s="297"/>
      <c r="N700" s="298"/>
      <c r="P700" s="190" t="str">
        <f>IF(R700 = "", "", COUNT(R$4:$R700))</f>
        <v/>
      </c>
      <c r="Q700" s="190" t="str">
        <f t="shared" si="101"/>
        <v/>
      </c>
      <c r="R700" s="191" t="str">
        <f t="shared" si="102"/>
        <v/>
      </c>
      <c r="S700" s="192" t="str">
        <f t="shared" si="104"/>
        <v/>
      </c>
      <c r="T700" s="193" t="str">
        <f t="shared" si="105"/>
        <v/>
      </c>
      <c r="U700" s="194" t="str">
        <f t="shared" si="106"/>
        <v/>
      </c>
      <c r="V700" s="195" t="str">
        <f t="shared" si="103"/>
        <v/>
      </c>
      <c r="W700" s="336" t="str">
        <f t="shared" si="107"/>
        <v/>
      </c>
      <c r="X700" s="338" t="str">
        <f t="shared" si="108"/>
        <v/>
      </c>
      <c r="Y700" s="274"/>
      <c r="AR700" t="str">
        <f t="shared" si="109"/>
        <v/>
      </c>
      <c r="AS700" t="str">
        <f t="shared" si="110"/>
        <v/>
      </c>
    </row>
    <row r="701" spans="1:45">
      <c r="A701" s="291"/>
      <c r="B701" s="292"/>
      <c r="C701" s="293"/>
      <c r="D701" s="293"/>
      <c r="E701" s="293"/>
      <c r="F701" s="293"/>
      <c r="G701" s="294"/>
      <c r="H701" s="300"/>
      <c r="I701" s="295"/>
      <c r="J701" s="295"/>
      <c r="K701" s="296"/>
      <c r="L701" s="301"/>
      <c r="M701" s="297"/>
      <c r="N701" s="298"/>
      <c r="P701" s="190" t="str">
        <f>IF(R701 = "", "", COUNT(R$4:$R701))</f>
        <v/>
      </c>
      <c r="Q701" s="190" t="str">
        <f t="shared" si="101"/>
        <v/>
      </c>
      <c r="R701" s="191" t="str">
        <f t="shared" si="102"/>
        <v/>
      </c>
      <c r="S701" s="192" t="str">
        <f t="shared" si="104"/>
        <v/>
      </c>
      <c r="T701" s="193" t="str">
        <f t="shared" si="105"/>
        <v/>
      </c>
      <c r="U701" s="194" t="str">
        <f t="shared" si="106"/>
        <v/>
      </c>
      <c r="V701" s="195" t="str">
        <f t="shared" si="103"/>
        <v/>
      </c>
      <c r="W701" s="336" t="str">
        <f t="shared" si="107"/>
        <v/>
      </c>
      <c r="X701" s="338" t="str">
        <f t="shared" si="108"/>
        <v/>
      </c>
      <c r="Y701" s="274"/>
      <c r="AR701" t="str">
        <f t="shared" si="109"/>
        <v/>
      </c>
      <c r="AS701" t="str">
        <f t="shared" si="110"/>
        <v/>
      </c>
    </row>
    <row r="702" spans="1:45">
      <c r="A702" s="291"/>
      <c r="B702" s="292"/>
      <c r="C702" s="293"/>
      <c r="D702" s="293"/>
      <c r="E702" s="293"/>
      <c r="F702" s="293"/>
      <c r="G702" s="294"/>
      <c r="H702" s="300"/>
      <c r="I702" s="295"/>
      <c r="J702" s="295"/>
      <c r="K702" s="296"/>
      <c r="L702" s="301"/>
      <c r="M702" s="297"/>
      <c r="N702" s="298"/>
      <c r="P702" s="190" t="str">
        <f>IF(R702 = "", "", COUNT(R$4:$R702))</f>
        <v/>
      </c>
      <c r="Q702" s="190" t="str">
        <f t="shared" si="101"/>
        <v/>
      </c>
      <c r="R702" s="191" t="str">
        <f t="shared" si="102"/>
        <v/>
      </c>
      <c r="S702" s="192" t="str">
        <f t="shared" si="104"/>
        <v/>
      </c>
      <c r="T702" s="193" t="str">
        <f t="shared" si="105"/>
        <v/>
      </c>
      <c r="U702" s="194" t="str">
        <f t="shared" si="106"/>
        <v/>
      </c>
      <c r="V702" s="195" t="str">
        <f t="shared" si="103"/>
        <v/>
      </c>
      <c r="W702" s="336" t="str">
        <f t="shared" si="107"/>
        <v/>
      </c>
      <c r="X702" s="338" t="str">
        <f t="shared" si="108"/>
        <v/>
      </c>
      <c r="Y702" s="274"/>
      <c r="AR702" t="str">
        <f t="shared" si="109"/>
        <v/>
      </c>
      <c r="AS702" t="str">
        <f t="shared" si="110"/>
        <v/>
      </c>
    </row>
    <row r="703" spans="1:45">
      <c r="A703" s="291"/>
      <c r="B703" s="292"/>
      <c r="C703" s="293"/>
      <c r="D703" s="293"/>
      <c r="E703" s="293"/>
      <c r="F703" s="293"/>
      <c r="G703" s="294"/>
      <c r="H703" s="300"/>
      <c r="I703" s="295"/>
      <c r="J703" s="295"/>
      <c r="K703" s="296"/>
      <c r="L703" s="301"/>
      <c r="M703" s="297"/>
      <c r="N703" s="298"/>
      <c r="P703" s="190" t="str">
        <f>IF(R703 = "", "", COUNT(R$4:$R703))</f>
        <v/>
      </c>
      <c r="Q703" s="190" t="str">
        <f t="shared" si="101"/>
        <v/>
      </c>
      <c r="R703" s="191" t="str">
        <f t="shared" si="102"/>
        <v/>
      </c>
      <c r="S703" s="192" t="str">
        <f t="shared" si="104"/>
        <v/>
      </c>
      <c r="T703" s="193" t="str">
        <f t="shared" si="105"/>
        <v/>
      </c>
      <c r="U703" s="194" t="str">
        <f t="shared" si="106"/>
        <v/>
      </c>
      <c r="V703" s="195" t="str">
        <f t="shared" si="103"/>
        <v/>
      </c>
      <c r="W703" s="336" t="str">
        <f t="shared" si="107"/>
        <v/>
      </c>
      <c r="X703" s="338" t="str">
        <f t="shared" si="108"/>
        <v/>
      </c>
      <c r="Y703" s="274"/>
      <c r="AR703" t="str">
        <f t="shared" si="109"/>
        <v/>
      </c>
      <c r="AS703" t="str">
        <f t="shared" si="110"/>
        <v/>
      </c>
    </row>
    <row r="704" spans="1:45">
      <c r="A704" s="291"/>
      <c r="B704" s="292"/>
      <c r="C704" s="293"/>
      <c r="D704" s="293"/>
      <c r="E704" s="293"/>
      <c r="F704" s="293"/>
      <c r="G704" s="294"/>
      <c r="H704" s="300"/>
      <c r="I704" s="295"/>
      <c r="J704" s="295"/>
      <c r="K704" s="296"/>
      <c r="L704" s="301"/>
      <c r="M704" s="297"/>
      <c r="N704" s="298"/>
      <c r="P704" s="190" t="str">
        <f>IF(R704 = "", "", COUNT(R$4:$R704))</f>
        <v/>
      </c>
      <c r="Q704" s="190" t="str">
        <f t="shared" si="101"/>
        <v/>
      </c>
      <c r="R704" s="191" t="str">
        <f t="shared" si="102"/>
        <v/>
      </c>
      <c r="S704" s="192" t="str">
        <f t="shared" si="104"/>
        <v/>
      </c>
      <c r="T704" s="193" t="str">
        <f t="shared" si="105"/>
        <v/>
      </c>
      <c r="U704" s="194" t="str">
        <f t="shared" si="106"/>
        <v/>
      </c>
      <c r="V704" s="195" t="str">
        <f t="shared" si="103"/>
        <v/>
      </c>
      <c r="W704" s="336" t="str">
        <f t="shared" si="107"/>
        <v/>
      </c>
      <c r="X704" s="338" t="str">
        <f t="shared" si="108"/>
        <v/>
      </c>
      <c r="Y704" s="274"/>
      <c r="AR704" t="str">
        <f t="shared" si="109"/>
        <v/>
      </c>
      <c r="AS704" t="str">
        <f t="shared" si="110"/>
        <v/>
      </c>
    </row>
    <row r="705" spans="1:45">
      <c r="A705" s="291"/>
      <c r="B705" s="292"/>
      <c r="C705" s="293"/>
      <c r="D705" s="293"/>
      <c r="E705" s="293"/>
      <c r="F705" s="293"/>
      <c r="G705" s="294"/>
      <c r="H705" s="300"/>
      <c r="I705" s="295"/>
      <c r="J705" s="295"/>
      <c r="K705" s="296"/>
      <c r="L705" s="301"/>
      <c r="M705" s="297"/>
      <c r="N705" s="298"/>
      <c r="P705" s="190" t="str">
        <f>IF(R705 = "", "", COUNT(R$4:$R705))</f>
        <v/>
      </c>
      <c r="Q705" s="190" t="str">
        <f t="shared" si="101"/>
        <v/>
      </c>
      <c r="R705" s="191" t="str">
        <f t="shared" si="102"/>
        <v/>
      </c>
      <c r="S705" s="192" t="str">
        <f t="shared" si="104"/>
        <v/>
      </c>
      <c r="T705" s="193" t="str">
        <f t="shared" si="105"/>
        <v/>
      </c>
      <c r="U705" s="194" t="str">
        <f t="shared" si="106"/>
        <v/>
      </c>
      <c r="V705" s="195" t="str">
        <f t="shared" si="103"/>
        <v/>
      </c>
      <c r="W705" s="336" t="str">
        <f t="shared" si="107"/>
        <v/>
      </c>
      <c r="X705" s="338" t="str">
        <f t="shared" si="108"/>
        <v/>
      </c>
      <c r="Y705" s="274"/>
      <c r="AR705" t="str">
        <f t="shared" si="109"/>
        <v/>
      </c>
      <c r="AS705" t="str">
        <f t="shared" si="110"/>
        <v/>
      </c>
    </row>
    <row r="706" spans="1:45">
      <c r="A706" s="291"/>
      <c r="B706" s="292"/>
      <c r="C706" s="293"/>
      <c r="D706" s="293"/>
      <c r="E706" s="293"/>
      <c r="F706" s="293"/>
      <c r="G706" s="294"/>
      <c r="H706" s="300"/>
      <c r="I706" s="295"/>
      <c r="J706" s="295"/>
      <c r="K706" s="296"/>
      <c r="L706" s="301"/>
      <c r="M706" s="297"/>
      <c r="N706" s="298"/>
      <c r="P706" s="190" t="str">
        <f>IF(R706 = "", "", COUNT(R$4:$R706))</f>
        <v/>
      </c>
      <c r="Q706" s="190" t="str">
        <f t="shared" si="101"/>
        <v/>
      </c>
      <c r="R706" s="191" t="str">
        <f t="shared" si="102"/>
        <v/>
      </c>
      <c r="S706" s="192" t="str">
        <f t="shared" si="104"/>
        <v/>
      </c>
      <c r="T706" s="193" t="str">
        <f t="shared" si="105"/>
        <v/>
      </c>
      <c r="U706" s="194" t="str">
        <f t="shared" si="106"/>
        <v/>
      </c>
      <c r="V706" s="195" t="str">
        <f t="shared" si="103"/>
        <v/>
      </c>
      <c r="W706" s="336" t="str">
        <f t="shared" si="107"/>
        <v/>
      </c>
      <c r="X706" s="338" t="str">
        <f t="shared" si="108"/>
        <v/>
      </c>
      <c r="Y706" s="274"/>
      <c r="AR706" t="str">
        <f t="shared" si="109"/>
        <v/>
      </c>
      <c r="AS706" t="str">
        <f t="shared" si="110"/>
        <v/>
      </c>
    </row>
    <row r="707" spans="1:45">
      <c r="A707" s="291"/>
      <c r="B707" s="292"/>
      <c r="C707" s="293"/>
      <c r="D707" s="293"/>
      <c r="E707" s="293"/>
      <c r="F707" s="293"/>
      <c r="G707" s="294"/>
      <c r="H707" s="300"/>
      <c r="I707" s="295"/>
      <c r="J707" s="295"/>
      <c r="K707" s="296"/>
      <c r="L707" s="301"/>
      <c r="M707" s="297"/>
      <c r="N707" s="298"/>
      <c r="P707" s="190" t="str">
        <f>IF(R707 = "", "", COUNT(R$4:$R707))</f>
        <v/>
      </c>
      <c r="Q707" s="190" t="str">
        <f t="shared" si="101"/>
        <v/>
      </c>
      <c r="R707" s="191" t="str">
        <f t="shared" si="102"/>
        <v/>
      </c>
      <c r="S707" s="192" t="str">
        <f t="shared" si="104"/>
        <v/>
      </c>
      <c r="T707" s="193" t="str">
        <f t="shared" si="105"/>
        <v/>
      </c>
      <c r="U707" s="194" t="str">
        <f t="shared" si="106"/>
        <v/>
      </c>
      <c r="V707" s="195" t="str">
        <f t="shared" si="103"/>
        <v/>
      </c>
      <c r="W707" s="336" t="str">
        <f t="shared" si="107"/>
        <v/>
      </c>
      <c r="X707" s="338" t="str">
        <f t="shared" si="108"/>
        <v/>
      </c>
      <c r="Y707" s="274"/>
      <c r="AR707" t="str">
        <f t="shared" si="109"/>
        <v/>
      </c>
      <c r="AS707" t="str">
        <f t="shared" si="110"/>
        <v/>
      </c>
    </row>
    <row r="708" spans="1:45">
      <c r="A708" s="291"/>
      <c r="B708" s="292"/>
      <c r="C708" s="293"/>
      <c r="D708" s="293"/>
      <c r="E708" s="293"/>
      <c r="F708" s="293"/>
      <c r="G708" s="294"/>
      <c r="H708" s="300"/>
      <c r="I708" s="295"/>
      <c r="J708" s="295"/>
      <c r="K708" s="296"/>
      <c r="L708" s="301"/>
      <c r="M708" s="297"/>
      <c r="N708" s="298"/>
      <c r="P708" s="190" t="str">
        <f>IF(R708 = "", "", COUNT(R$4:$R708))</f>
        <v/>
      </c>
      <c r="Q708" s="190" t="str">
        <f t="shared" ref="Q708:Q771" si="111">IF(C708 &gt; 0, YEAR(B708), "")</f>
        <v/>
      </c>
      <c r="R708" s="191" t="str">
        <f t="shared" ref="R708:R771" si="112">IF(A708="", "", IF(G708="",1,IF(G708="O",1,IF(G708="C",8.4,IF(G708="B",8.4,IF(G708="A",76.8,IF(G708="K",76.8,"ERR")))))))</f>
        <v/>
      </c>
      <c r="S708" s="192" t="str">
        <f t="shared" si="104"/>
        <v/>
      </c>
      <c r="T708" s="193" t="str">
        <f t="shared" si="105"/>
        <v/>
      </c>
      <c r="U708" s="194" t="str">
        <f t="shared" si="106"/>
        <v/>
      </c>
      <c r="V708" s="195" t="str">
        <f t="shared" ref="V708:V771" si="113">IF(IF(M708&lt;&gt;"",G708,"")=0, "O", IF(M708&lt;&gt;"",G708,""))</f>
        <v/>
      </c>
      <c r="W708" s="336" t="str">
        <f t="shared" si="107"/>
        <v/>
      </c>
      <c r="X708" s="338" t="str">
        <f t="shared" si="108"/>
        <v/>
      </c>
      <c r="Y708" s="274"/>
      <c r="AR708" t="str">
        <f t="shared" si="109"/>
        <v/>
      </c>
      <c r="AS708" t="str">
        <f t="shared" si="110"/>
        <v/>
      </c>
    </row>
    <row r="709" spans="1:45">
      <c r="A709" s="291"/>
      <c r="B709" s="292"/>
      <c r="C709" s="293"/>
      <c r="D709" s="293"/>
      <c r="E709" s="293"/>
      <c r="F709" s="293"/>
      <c r="G709" s="294"/>
      <c r="H709" s="300"/>
      <c r="I709" s="295"/>
      <c r="J709" s="295"/>
      <c r="K709" s="296"/>
      <c r="L709" s="301"/>
      <c r="M709" s="297"/>
      <c r="N709" s="298"/>
      <c r="P709" s="190" t="str">
        <f>IF(R709 = "", "", COUNT(R$4:$R709))</f>
        <v/>
      </c>
      <c r="Q709" s="190" t="str">
        <f t="shared" si="111"/>
        <v/>
      </c>
      <c r="R709" s="191" t="str">
        <f t="shared" si="112"/>
        <v/>
      </c>
      <c r="S709" s="192" t="str">
        <f t="shared" ref="S709:S772" si="114">IF(L709&lt;&gt;"",R709,"")</f>
        <v/>
      </c>
      <c r="T709" s="193" t="str">
        <f t="shared" ref="T709:T772" si="115">IF(IF(L709&lt;&gt;"",G709,"")=0, "O", IF(L709&lt;&gt;"",G709,""))</f>
        <v/>
      </c>
      <c r="U709" s="194" t="str">
        <f t="shared" ref="U709:U772" si="116">IF(M709&lt;&gt;"",R709,"")</f>
        <v/>
      </c>
      <c r="V709" s="195" t="str">
        <f t="shared" si="113"/>
        <v/>
      </c>
      <c r="W709" s="336" t="str">
        <f t="shared" ref="W709:W772" si="117">IF(N709&lt;&gt;"",R709,"")</f>
        <v/>
      </c>
      <c r="X709" s="338" t="str">
        <f t="shared" ref="X709:X772" si="118">IF(IF(N709&lt;&gt;"",G709,"")=0, "O", IF(N709&lt;&gt;"",G709,""))</f>
        <v/>
      </c>
      <c r="Y709" s="274"/>
      <c r="AR709" t="str">
        <f t="shared" ref="AR709:AR772" si="119">IF(P709&gt;0, P709, "")</f>
        <v/>
      </c>
      <c r="AS709" t="str">
        <f t="shared" ref="AS709:AS772" si="120">IF(OR(L709="Y",M709="Y",N709="Y"),"Y","")</f>
        <v/>
      </c>
    </row>
    <row r="710" spans="1:45">
      <c r="A710" s="291"/>
      <c r="B710" s="292"/>
      <c r="C710" s="293"/>
      <c r="D710" s="293"/>
      <c r="E710" s="293"/>
      <c r="F710" s="293"/>
      <c r="G710" s="294"/>
      <c r="H710" s="300"/>
      <c r="I710" s="295"/>
      <c r="J710" s="295"/>
      <c r="K710" s="296"/>
      <c r="L710" s="301"/>
      <c r="M710" s="297"/>
      <c r="N710" s="298"/>
      <c r="P710" s="190" t="str">
        <f>IF(R710 = "", "", COUNT(R$4:$R710))</f>
        <v/>
      </c>
      <c r="Q710" s="190" t="str">
        <f t="shared" si="111"/>
        <v/>
      </c>
      <c r="R710" s="191" t="str">
        <f t="shared" si="112"/>
        <v/>
      </c>
      <c r="S710" s="192" t="str">
        <f t="shared" si="114"/>
        <v/>
      </c>
      <c r="T710" s="193" t="str">
        <f t="shared" si="115"/>
        <v/>
      </c>
      <c r="U710" s="194" t="str">
        <f t="shared" si="116"/>
        <v/>
      </c>
      <c r="V710" s="195" t="str">
        <f t="shared" si="113"/>
        <v/>
      </c>
      <c r="W710" s="336" t="str">
        <f t="shared" si="117"/>
        <v/>
      </c>
      <c r="X710" s="338" t="str">
        <f t="shared" si="118"/>
        <v/>
      </c>
      <c r="Y710" s="274"/>
      <c r="AR710" t="str">
        <f t="shared" si="119"/>
        <v/>
      </c>
      <c r="AS710" t="str">
        <f t="shared" si="120"/>
        <v/>
      </c>
    </row>
    <row r="711" spans="1:45">
      <c r="A711" s="291"/>
      <c r="B711" s="292"/>
      <c r="C711" s="293"/>
      <c r="D711" s="293"/>
      <c r="E711" s="293"/>
      <c r="F711" s="293"/>
      <c r="G711" s="294"/>
      <c r="H711" s="300"/>
      <c r="I711" s="295"/>
      <c r="J711" s="295"/>
      <c r="K711" s="296"/>
      <c r="L711" s="301"/>
      <c r="M711" s="297"/>
      <c r="N711" s="298"/>
      <c r="P711" s="190" t="str">
        <f>IF(R711 = "", "", COUNT(R$4:$R711))</f>
        <v/>
      </c>
      <c r="Q711" s="190" t="str">
        <f t="shared" si="111"/>
        <v/>
      </c>
      <c r="R711" s="191" t="str">
        <f t="shared" si="112"/>
        <v/>
      </c>
      <c r="S711" s="192" t="str">
        <f t="shared" si="114"/>
        <v/>
      </c>
      <c r="T711" s="193" t="str">
        <f t="shared" si="115"/>
        <v/>
      </c>
      <c r="U711" s="194" t="str">
        <f t="shared" si="116"/>
        <v/>
      </c>
      <c r="V711" s="195" t="str">
        <f t="shared" si="113"/>
        <v/>
      </c>
      <c r="W711" s="336" t="str">
        <f t="shared" si="117"/>
        <v/>
      </c>
      <c r="X711" s="338" t="str">
        <f t="shared" si="118"/>
        <v/>
      </c>
      <c r="Y711" s="274"/>
      <c r="AR711" t="str">
        <f t="shared" si="119"/>
        <v/>
      </c>
      <c r="AS711" t="str">
        <f t="shared" si="120"/>
        <v/>
      </c>
    </row>
    <row r="712" spans="1:45">
      <c r="A712" s="291"/>
      <c r="B712" s="292"/>
      <c r="C712" s="293"/>
      <c r="D712" s="293"/>
      <c r="E712" s="293"/>
      <c r="F712" s="293"/>
      <c r="G712" s="294"/>
      <c r="H712" s="300"/>
      <c r="I712" s="295"/>
      <c r="J712" s="295"/>
      <c r="K712" s="296"/>
      <c r="L712" s="301"/>
      <c r="M712" s="297"/>
      <c r="N712" s="298"/>
      <c r="P712" s="190" t="str">
        <f>IF(R712 = "", "", COUNT(R$4:$R712))</f>
        <v/>
      </c>
      <c r="Q712" s="190" t="str">
        <f t="shared" si="111"/>
        <v/>
      </c>
      <c r="R712" s="191" t="str">
        <f t="shared" si="112"/>
        <v/>
      </c>
      <c r="S712" s="192" t="str">
        <f t="shared" si="114"/>
        <v/>
      </c>
      <c r="T712" s="193" t="str">
        <f t="shared" si="115"/>
        <v/>
      </c>
      <c r="U712" s="194" t="str">
        <f t="shared" si="116"/>
        <v/>
      </c>
      <c r="V712" s="195" t="str">
        <f t="shared" si="113"/>
        <v/>
      </c>
      <c r="W712" s="336" t="str">
        <f t="shared" si="117"/>
        <v/>
      </c>
      <c r="X712" s="338" t="str">
        <f t="shared" si="118"/>
        <v/>
      </c>
      <c r="Y712" s="274"/>
      <c r="AR712" t="str">
        <f t="shared" si="119"/>
        <v/>
      </c>
      <c r="AS712" t="str">
        <f t="shared" si="120"/>
        <v/>
      </c>
    </row>
    <row r="713" spans="1:45">
      <c r="A713" s="291"/>
      <c r="B713" s="292"/>
      <c r="C713" s="293"/>
      <c r="D713" s="293"/>
      <c r="E713" s="293"/>
      <c r="F713" s="293"/>
      <c r="G713" s="294"/>
      <c r="H713" s="300"/>
      <c r="I713" s="295"/>
      <c r="J713" s="295"/>
      <c r="K713" s="296"/>
      <c r="L713" s="301"/>
      <c r="M713" s="297"/>
      <c r="N713" s="298"/>
      <c r="P713" s="190" t="str">
        <f>IF(R713 = "", "", COUNT(R$4:$R713))</f>
        <v/>
      </c>
      <c r="Q713" s="190" t="str">
        <f t="shared" si="111"/>
        <v/>
      </c>
      <c r="R713" s="191" t="str">
        <f t="shared" si="112"/>
        <v/>
      </c>
      <c r="S713" s="192" t="str">
        <f t="shared" si="114"/>
        <v/>
      </c>
      <c r="T713" s="193" t="str">
        <f t="shared" si="115"/>
        <v/>
      </c>
      <c r="U713" s="194" t="str">
        <f t="shared" si="116"/>
        <v/>
      </c>
      <c r="V713" s="195" t="str">
        <f t="shared" si="113"/>
        <v/>
      </c>
      <c r="W713" s="336" t="str">
        <f t="shared" si="117"/>
        <v/>
      </c>
      <c r="X713" s="338" t="str">
        <f t="shared" si="118"/>
        <v/>
      </c>
      <c r="Y713" s="274"/>
      <c r="AR713" t="str">
        <f t="shared" si="119"/>
        <v/>
      </c>
      <c r="AS713" t="str">
        <f t="shared" si="120"/>
        <v/>
      </c>
    </row>
    <row r="714" spans="1:45">
      <c r="A714" s="291"/>
      <c r="B714" s="292"/>
      <c r="C714" s="293"/>
      <c r="D714" s="293"/>
      <c r="E714" s="293"/>
      <c r="F714" s="293"/>
      <c r="G714" s="294"/>
      <c r="H714" s="300"/>
      <c r="I714" s="295"/>
      <c r="J714" s="295"/>
      <c r="K714" s="296"/>
      <c r="L714" s="301"/>
      <c r="M714" s="297"/>
      <c r="N714" s="298"/>
      <c r="P714" s="190" t="str">
        <f>IF(R714 = "", "", COUNT(R$4:$R714))</f>
        <v/>
      </c>
      <c r="Q714" s="190" t="str">
        <f t="shared" si="111"/>
        <v/>
      </c>
      <c r="R714" s="191" t="str">
        <f t="shared" si="112"/>
        <v/>
      </c>
      <c r="S714" s="192" t="str">
        <f t="shared" si="114"/>
        <v/>
      </c>
      <c r="T714" s="193" t="str">
        <f t="shared" si="115"/>
        <v/>
      </c>
      <c r="U714" s="194" t="str">
        <f t="shared" si="116"/>
        <v/>
      </c>
      <c r="V714" s="195" t="str">
        <f t="shared" si="113"/>
        <v/>
      </c>
      <c r="W714" s="336" t="str">
        <f t="shared" si="117"/>
        <v/>
      </c>
      <c r="X714" s="338" t="str">
        <f t="shared" si="118"/>
        <v/>
      </c>
      <c r="Y714" s="274"/>
      <c r="AR714" t="str">
        <f t="shared" si="119"/>
        <v/>
      </c>
      <c r="AS714" t="str">
        <f t="shared" si="120"/>
        <v/>
      </c>
    </row>
    <row r="715" spans="1:45">
      <c r="A715" s="291"/>
      <c r="B715" s="292"/>
      <c r="C715" s="293"/>
      <c r="D715" s="293"/>
      <c r="E715" s="293"/>
      <c r="F715" s="293"/>
      <c r="G715" s="294"/>
      <c r="H715" s="300"/>
      <c r="I715" s="295"/>
      <c r="J715" s="295"/>
      <c r="K715" s="296"/>
      <c r="L715" s="301"/>
      <c r="M715" s="297"/>
      <c r="N715" s="298"/>
      <c r="P715" s="190" t="str">
        <f>IF(R715 = "", "", COUNT(R$4:$R715))</f>
        <v/>
      </c>
      <c r="Q715" s="190" t="str">
        <f t="shared" si="111"/>
        <v/>
      </c>
      <c r="R715" s="191" t="str">
        <f t="shared" si="112"/>
        <v/>
      </c>
      <c r="S715" s="192" t="str">
        <f t="shared" si="114"/>
        <v/>
      </c>
      <c r="T715" s="193" t="str">
        <f t="shared" si="115"/>
        <v/>
      </c>
      <c r="U715" s="194" t="str">
        <f t="shared" si="116"/>
        <v/>
      </c>
      <c r="V715" s="195" t="str">
        <f t="shared" si="113"/>
        <v/>
      </c>
      <c r="W715" s="336" t="str">
        <f t="shared" si="117"/>
        <v/>
      </c>
      <c r="X715" s="338" t="str">
        <f t="shared" si="118"/>
        <v/>
      </c>
      <c r="Y715" s="274"/>
      <c r="AR715" t="str">
        <f t="shared" si="119"/>
        <v/>
      </c>
      <c r="AS715" t="str">
        <f t="shared" si="120"/>
        <v/>
      </c>
    </row>
    <row r="716" spans="1:45">
      <c r="A716" s="291"/>
      <c r="B716" s="292"/>
      <c r="C716" s="293"/>
      <c r="D716" s="293"/>
      <c r="E716" s="293"/>
      <c r="F716" s="293"/>
      <c r="G716" s="294"/>
      <c r="H716" s="300"/>
      <c r="I716" s="295"/>
      <c r="J716" s="295"/>
      <c r="K716" s="296"/>
      <c r="L716" s="301"/>
      <c r="M716" s="297"/>
      <c r="N716" s="298"/>
      <c r="P716" s="190" t="str">
        <f>IF(R716 = "", "", COUNT(R$4:$R716))</f>
        <v/>
      </c>
      <c r="Q716" s="190" t="str">
        <f t="shared" si="111"/>
        <v/>
      </c>
      <c r="R716" s="191" t="str">
        <f t="shared" si="112"/>
        <v/>
      </c>
      <c r="S716" s="192" t="str">
        <f t="shared" si="114"/>
        <v/>
      </c>
      <c r="T716" s="193" t="str">
        <f t="shared" si="115"/>
        <v/>
      </c>
      <c r="U716" s="194" t="str">
        <f t="shared" si="116"/>
        <v/>
      </c>
      <c r="V716" s="195" t="str">
        <f t="shared" si="113"/>
        <v/>
      </c>
      <c r="W716" s="336" t="str">
        <f t="shared" si="117"/>
        <v/>
      </c>
      <c r="X716" s="338" t="str">
        <f t="shared" si="118"/>
        <v/>
      </c>
      <c r="Y716" s="274"/>
      <c r="AR716" t="str">
        <f t="shared" si="119"/>
        <v/>
      </c>
      <c r="AS716" t="str">
        <f t="shared" si="120"/>
        <v/>
      </c>
    </row>
    <row r="717" spans="1:45">
      <c r="A717" s="291"/>
      <c r="B717" s="292"/>
      <c r="C717" s="293"/>
      <c r="D717" s="293"/>
      <c r="E717" s="293"/>
      <c r="F717" s="293"/>
      <c r="G717" s="294"/>
      <c r="H717" s="300"/>
      <c r="I717" s="295"/>
      <c r="J717" s="295"/>
      <c r="K717" s="296"/>
      <c r="L717" s="301"/>
      <c r="M717" s="297"/>
      <c r="N717" s="298"/>
      <c r="P717" s="190" t="str">
        <f>IF(R717 = "", "", COUNT(R$4:$R717))</f>
        <v/>
      </c>
      <c r="Q717" s="190" t="str">
        <f t="shared" si="111"/>
        <v/>
      </c>
      <c r="R717" s="191" t="str">
        <f t="shared" si="112"/>
        <v/>
      </c>
      <c r="S717" s="192" t="str">
        <f t="shared" si="114"/>
        <v/>
      </c>
      <c r="T717" s="193" t="str">
        <f t="shared" si="115"/>
        <v/>
      </c>
      <c r="U717" s="194" t="str">
        <f t="shared" si="116"/>
        <v/>
      </c>
      <c r="V717" s="195" t="str">
        <f t="shared" si="113"/>
        <v/>
      </c>
      <c r="W717" s="336" t="str">
        <f t="shared" si="117"/>
        <v/>
      </c>
      <c r="X717" s="338" t="str">
        <f t="shared" si="118"/>
        <v/>
      </c>
      <c r="Y717" s="274"/>
      <c r="AR717" t="str">
        <f t="shared" si="119"/>
        <v/>
      </c>
      <c r="AS717" t="str">
        <f t="shared" si="120"/>
        <v/>
      </c>
    </row>
    <row r="718" spans="1:45">
      <c r="A718" s="291"/>
      <c r="B718" s="292"/>
      <c r="C718" s="293"/>
      <c r="D718" s="293"/>
      <c r="E718" s="293"/>
      <c r="F718" s="293"/>
      <c r="G718" s="294"/>
      <c r="H718" s="300"/>
      <c r="I718" s="295"/>
      <c r="J718" s="295"/>
      <c r="K718" s="296"/>
      <c r="L718" s="301"/>
      <c r="M718" s="297"/>
      <c r="N718" s="298"/>
      <c r="P718" s="190" t="str">
        <f>IF(R718 = "", "", COUNT(R$4:$R718))</f>
        <v/>
      </c>
      <c r="Q718" s="190" t="str">
        <f t="shared" si="111"/>
        <v/>
      </c>
      <c r="R718" s="191" t="str">
        <f t="shared" si="112"/>
        <v/>
      </c>
      <c r="S718" s="192" t="str">
        <f t="shared" si="114"/>
        <v/>
      </c>
      <c r="T718" s="193" t="str">
        <f t="shared" si="115"/>
        <v/>
      </c>
      <c r="U718" s="194" t="str">
        <f t="shared" si="116"/>
        <v/>
      </c>
      <c r="V718" s="195" t="str">
        <f t="shared" si="113"/>
        <v/>
      </c>
      <c r="W718" s="336" t="str">
        <f t="shared" si="117"/>
        <v/>
      </c>
      <c r="X718" s="338" t="str">
        <f t="shared" si="118"/>
        <v/>
      </c>
      <c r="Y718" s="274"/>
      <c r="AR718" t="str">
        <f t="shared" si="119"/>
        <v/>
      </c>
      <c r="AS718" t="str">
        <f t="shared" si="120"/>
        <v/>
      </c>
    </row>
    <row r="719" spans="1:45">
      <c r="A719" s="291"/>
      <c r="B719" s="292"/>
      <c r="C719" s="293"/>
      <c r="D719" s="293"/>
      <c r="E719" s="293"/>
      <c r="F719" s="293"/>
      <c r="G719" s="294"/>
      <c r="H719" s="300"/>
      <c r="I719" s="295"/>
      <c r="J719" s="295"/>
      <c r="K719" s="296"/>
      <c r="L719" s="301"/>
      <c r="M719" s="297"/>
      <c r="N719" s="298"/>
      <c r="P719" s="190" t="str">
        <f>IF(R719 = "", "", COUNT(R$4:$R719))</f>
        <v/>
      </c>
      <c r="Q719" s="190" t="str">
        <f t="shared" si="111"/>
        <v/>
      </c>
      <c r="R719" s="191" t="str">
        <f t="shared" si="112"/>
        <v/>
      </c>
      <c r="S719" s="192" t="str">
        <f t="shared" si="114"/>
        <v/>
      </c>
      <c r="T719" s="193" t="str">
        <f t="shared" si="115"/>
        <v/>
      </c>
      <c r="U719" s="194" t="str">
        <f t="shared" si="116"/>
        <v/>
      </c>
      <c r="V719" s="195" t="str">
        <f t="shared" si="113"/>
        <v/>
      </c>
      <c r="W719" s="336" t="str">
        <f t="shared" si="117"/>
        <v/>
      </c>
      <c r="X719" s="338" t="str">
        <f t="shared" si="118"/>
        <v/>
      </c>
      <c r="Y719" s="274"/>
      <c r="AR719" t="str">
        <f t="shared" si="119"/>
        <v/>
      </c>
      <c r="AS719" t="str">
        <f t="shared" si="120"/>
        <v/>
      </c>
    </row>
    <row r="720" spans="1:45">
      <c r="A720" s="291"/>
      <c r="B720" s="292"/>
      <c r="C720" s="293"/>
      <c r="D720" s="293"/>
      <c r="E720" s="293"/>
      <c r="F720" s="293"/>
      <c r="G720" s="294"/>
      <c r="H720" s="300"/>
      <c r="I720" s="295"/>
      <c r="J720" s="295"/>
      <c r="K720" s="296"/>
      <c r="L720" s="301"/>
      <c r="M720" s="297"/>
      <c r="N720" s="298"/>
      <c r="P720" s="190" t="str">
        <f>IF(R720 = "", "", COUNT(R$4:$R720))</f>
        <v/>
      </c>
      <c r="Q720" s="190" t="str">
        <f t="shared" si="111"/>
        <v/>
      </c>
      <c r="R720" s="191" t="str">
        <f t="shared" si="112"/>
        <v/>
      </c>
      <c r="S720" s="192" t="str">
        <f t="shared" si="114"/>
        <v/>
      </c>
      <c r="T720" s="193" t="str">
        <f t="shared" si="115"/>
        <v/>
      </c>
      <c r="U720" s="194" t="str">
        <f t="shared" si="116"/>
        <v/>
      </c>
      <c r="V720" s="195" t="str">
        <f t="shared" si="113"/>
        <v/>
      </c>
      <c r="W720" s="336" t="str">
        <f t="shared" si="117"/>
        <v/>
      </c>
      <c r="X720" s="338" t="str">
        <f t="shared" si="118"/>
        <v/>
      </c>
      <c r="Y720" s="274"/>
      <c r="AR720" t="str">
        <f t="shared" si="119"/>
        <v/>
      </c>
      <c r="AS720" t="str">
        <f t="shared" si="120"/>
        <v/>
      </c>
    </row>
    <row r="721" spans="1:45">
      <c r="A721" s="291"/>
      <c r="B721" s="292"/>
      <c r="C721" s="293"/>
      <c r="D721" s="293"/>
      <c r="E721" s="293"/>
      <c r="F721" s="293"/>
      <c r="G721" s="294"/>
      <c r="H721" s="300"/>
      <c r="I721" s="295"/>
      <c r="J721" s="295"/>
      <c r="K721" s="296"/>
      <c r="L721" s="301"/>
      <c r="M721" s="297"/>
      <c r="N721" s="298"/>
      <c r="P721" s="190" t="str">
        <f>IF(R721 = "", "", COUNT(R$4:$R721))</f>
        <v/>
      </c>
      <c r="Q721" s="190" t="str">
        <f t="shared" si="111"/>
        <v/>
      </c>
      <c r="R721" s="191" t="str">
        <f t="shared" si="112"/>
        <v/>
      </c>
      <c r="S721" s="192" t="str">
        <f t="shared" si="114"/>
        <v/>
      </c>
      <c r="T721" s="193" t="str">
        <f t="shared" si="115"/>
        <v/>
      </c>
      <c r="U721" s="194" t="str">
        <f t="shared" si="116"/>
        <v/>
      </c>
      <c r="V721" s="195" t="str">
        <f t="shared" si="113"/>
        <v/>
      </c>
      <c r="W721" s="336" t="str">
        <f t="shared" si="117"/>
        <v/>
      </c>
      <c r="X721" s="338" t="str">
        <f t="shared" si="118"/>
        <v/>
      </c>
      <c r="Y721" s="274"/>
      <c r="AR721" t="str">
        <f t="shared" si="119"/>
        <v/>
      </c>
      <c r="AS721" t="str">
        <f t="shared" si="120"/>
        <v/>
      </c>
    </row>
    <row r="722" spans="1:45">
      <c r="A722" s="291"/>
      <c r="B722" s="292"/>
      <c r="C722" s="293"/>
      <c r="D722" s="293"/>
      <c r="E722" s="293"/>
      <c r="F722" s="293"/>
      <c r="G722" s="294"/>
      <c r="H722" s="300"/>
      <c r="I722" s="295"/>
      <c r="J722" s="295"/>
      <c r="K722" s="296"/>
      <c r="L722" s="301"/>
      <c r="M722" s="297"/>
      <c r="N722" s="298"/>
      <c r="P722" s="190" t="str">
        <f>IF(R722 = "", "", COUNT(R$4:$R722))</f>
        <v/>
      </c>
      <c r="Q722" s="190" t="str">
        <f t="shared" si="111"/>
        <v/>
      </c>
      <c r="R722" s="191" t="str">
        <f t="shared" si="112"/>
        <v/>
      </c>
      <c r="S722" s="192" t="str">
        <f t="shared" si="114"/>
        <v/>
      </c>
      <c r="T722" s="193" t="str">
        <f t="shared" si="115"/>
        <v/>
      </c>
      <c r="U722" s="194" t="str">
        <f t="shared" si="116"/>
        <v/>
      </c>
      <c r="V722" s="195" t="str">
        <f t="shared" si="113"/>
        <v/>
      </c>
      <c r="W722" s="336" t="str">
        <f t="shared" si="117"/>
        <v/>
      </c>
      <c r="X722" s="338" t="str">
        <f t="shared" si="118"/>
        <v/>
      </c>
      <c r="Y722" s="274"/>
      <c r="AR722" t="str">
        <f t="shared" si="119"/>
        <v/>
      </c>
      <c r="AS722" t="str">
        <f t="shared" si="120"/>
        <v/>
      </c>
    </row>
    <row r="723" spans="1:45">
      <c r="A723" s="291"/>
      <c r="B723" s="292"/>
      <c r="C723" s="293"/>
      <c r="D723" s="293"/>
      <c r="E723" s="293"/>
      <c r="F723" s="293"/>
      <c r="G723" s="294"/>
      <c r="H723" s="300"/>
      <c r="I723" s="295"/>
      <c r="J723" s="295"/>
      <c r="K723" s="296"/>
      <c r="L723" s="301"/>
      <c r="M723" s="297"/>
      <c r="N723" s="298"/>
      <c r="P723" s="190" t="str">
        <f>IF(R723 = "", "", COUNT(R$4:$R723))</f>
        <v/>
      </c>
      <c r="Q723" s="190" t="str">
        <f t="shared" si="111"/>
        <v/>
      </c>
      <c r="R723" s="191" t="str">
        <f t="shared" si="112"/>
        <v/>
      </c>
      <c r="S723" s="192" t="str">
        <f t="shared" si="114"/>
        <v/>
      </c>
      <c r="T723" s="193" t="str">
        <f t="shared" si="115"/>
        <v/>
      </c>
      <c r="U723" s="194" t="str">
        <f t="shared" si="116"/>
        <v/>
      </c>
      <c r="V723" s="195" t="str">
        <f t="shared" si="113"/>
        <v/>
      </c>
      <c r="W723" s="336" t="str">
        <f t="shared" si="117"/>
        <v/>
      </c>
      <c r="X723" s="338" t="str">
        <f t="shared" si="118"/>
        <v/>
      </c>
      <c r="Y723" s="274"/>
      <c r="AR723" t="str">
        <f t="shared" si="119"/>
        <v/>
      </c>
      <c r="AS723" t="str">
        <f t="shared" si="120"/>
        <v/>
      </c>
    </row>
    <row r="724" spans="1:45">
      <c r="A724" s="291"/>
      <c r="B724" s="292"/>
      <c r="C724" s="293"/>
      <c r="D724" s="293"/>
      <c r="E724" s="293"/>
      <c r="F724" s="293"/>
      <c r="G724" s="294"/>
      <c r="H724" s="300"/>
      <c r="I724" s="295"/>
      <c r="J724" s="295"/>
      <c r="K724" s="296"/>
      <c r="L724" s="301"/>
      <c r="M724" s="297"/>
      <c r="N724" s="298"/>
      <c r="P724" s="190" t="str">
        <f>IF(R724 = "", "", COUNT(R$4:$R724))</f>
        <v/>
      </c>
      <c r="Q724" s="190" t="str">
        <f t="shared" si="111"/>
        <v/>
      </c>
      <c r="R724" s="191" t="str">
        <f t="shared" si="112"/>
        <v/>
      </c>
      <c r="S724" s="192" t="str">
        <f t="shared" si="114"/>
        <v/>
      </c>
      <c r="T724" s="193" t="str">
        <f t="shared" si="115"/>
        <v/>
      </c>
      <c r="U724" s="194" t="str">
        <f t="shared" si="116"/>
        <v/>
      </c>
      <c r="V724" s="195" t="str">
        <f t="shared" si="113"/>
        <v/>
      </c>
      <c r="W724" s="336" t="str">
        <f t="shared" si="117"/>
        <v/>
      </c>
      <c r="X724" s="338" t="str">
        <f t="shared" si="118"/>
        <v/>
      </c>
      <c r="Y724" s="274"/>
      <c r="AR724" t="str">
        <f t="shared" si="119"/>
        <v/>
      </c>
      <c r="AS724" t="str">
        <f t="shared" si="120"/>
        <v/>
      </c>
    </row>
    <row r="725" spans="1:45">
      <c r="A725" s="291"/>
      <c r="B725" s="292"/>
      <c r="C725" s="293"/>
      <c r="D725" s="293"/>
      <c r="E725" s="293"/>
      <c r="F725" s="293"/>
      <c r="G725" s="294"/>
      <c r="H725" s="300"/>
      <c r="I725" s="295"/>
      <c r="J725" s="295"/>
      <c r="K725" s="296"/>
      <c r="L725" s="301"/>
      <c r="M725" s="297"/>
      <c r="N725" s="298"/>
      <c r="P725" s="190" t="str">
        <f>IF(R725 = "", "", COUNT(R$4:$R725))</f>
        <v/>
      </c>
      <c r="Q725" s="190" t="str">
        <f t="shared" si="111"/>
        <v/>
      </c>
      <c r="R725" s="191" t="str">
        <f t="shared" si="112"/>
        <v/>
      </c>
      <c r="S725" s="192" t="str">
        <f t="shared" si="114"/>
        <v/>
      </c>
      <c r="T725" s="193" t="str">
        <f t="shared" si="115"/>
        <v/>
      </c>
      <c r="U725" s="194" t="str">
        <f t="shared" si="116"/>
        <v/>
      </c>
      <c r="V725" s="195" t="str">
        <f t="shared" si="113"/>
        <v/>
      </c>
      <c r="W725" s="336" t="str">
        <f t="shared" si="117"/>
        <v/>
      </c>
      <c r="X725" s="338" t="str">
        <f t="shared" si="118"/>
        <v/>
      </c>
      <c r="Y725" s="274"/>
      <c r="AR725" t="str">
        <f t="shared" si="119"/>
        <v/>
      </c>
      <c r="AS725" t="str">
        <f t="shared" si="120"/>
        <v/>
      </c>
    </row>
    <row r="726" spans="1:45">
      <c r="A726" s="291"/>
      <c r="B726" s="292"/>
      <c r="C726" s="293"/>
      <c r="D726" s="293"/>
      <c r="E726" s="293"/>
      <c r="F726" s="293"/>
      <c r="G726" s="294"/>
      <c r="H726" s="300"/>
      <c r="I726" s="295"/>
      <c r="J726" s="295"/>
      <c r="K726" s="296"/>
      <c r="L726" s="301"/>
      <c r="M726" s="297"/>
      <c r="N726" s="298"/>
      <c r="P726" s="190" t="str">
        <f>IF(R726 = "", "", COUNT(R$4:$R726))</f>
        <v/>
      </c>
      <c r="Q726" s="190" t="str">
        <f t="shared" si="111"/>
        <v/>
      </c>
      <c r="R726" s="191" t="str">
        <f t="shared" si="112"/>
        <v/>
      </c>
      <c r="S726" s="192" t="str">
        <f t="shared" si="114"/>
        <v/>
      </c>
      <c r="T726" s="193" t="str">
        <f t="shared" si="115"/>
        <v/>
      </c>
      <c r="U726" s="194" t="str">
        <f t="shared" si="116"/>
        <v/>
      </c>
      <c r="V726" s="195" t="str">
        <f t="shared" si="113"/>
        <v/>
      </c>
      <c r="W726" s="336" t="str">
        <f t="shared" si="117"/>
        <v/>
      </c>
      <c r="X726" s="338" t="str">
        <f t="shared" si="118"/>
        <v/>
      </c>
      <c r="Y726" s="274"/>
      <c r="AR726" t="str">
        <f t="shared" si="119"/>
        <v/>
      </c>
      <c r="AS726" t="str">
        <f t="shared" si="120"/>
        <v/>
      </c>
    </row>
    <row r="727" spans="1:45">
      <c r="A727" s="291"/>
      <c r="B727" s="292"/>
      <c r="C727" s="293"/>
      <c r="D727" s="293"/>
      <c r="E727" s="293"/>
      <c r="F727" s="293"/>
      <c r="G727" s="294"/>
      <c r="H727" s="300"/>
      <c r="I727" s="295"/>
      <c r="J727" s="295"/>
      <c r="K727" s="296"/>
      <c r="L727" s="301"/>
      <c r="M727" s="297"/>
      <c r="N727" s="298"/>
      <c r="P727" s="190" t="str">
        <f>IF(R727 = "", "", COUNT(R$4:$R727))</f>
        <v/>
      </c>
      <c r="Q727" s="190" t="str">
        <f t="shared" si="111"/>
        <v/>
      </c>
      <c r="R727" s="191" t="str">
        <f t="shared" si="112"/>
        <v/>
      </c>
      <c r="S727" s="192" t="str">
        <f t="shared" si="114"/>
        <v/>
      </c>
      <c r="T727" s="193" t="str">
        <f t="shared" si="115"/>
        <v/>
      </c>
      <c r="U727" s="194" t="str">
        <f t="shared" si="116"/>
        <v/>
      </c>
      <c r="V727" s="195" t="str">
        <f t="shared" si="113"/>
        <v/>
      </c>
      <c r="W727" s="336" t="str">
        <f t="shared" si="117"/>
        <v/>
      </c>
      <c r="X727" s="338" t="str">
        <f t="shared" si="118"/>
        <v/>
      </c>
      <c r="Y727" s="274"/>
      <c r="AR727" t="str">
        <f t="shared" si="119"/>
        <v/>
      </c>
      <c r="AS727" t="str">
        <f t="shared" si="120"/>
        <v/>
      </c>
    </row>
    <row r="728" spans="1:45">
      <c r="A728" s="291"/>
      <c r="B728" s="292"/>
      <c r="C728" s="293"/>
      <c r="D728" s="293"/>
      <c r="E728" s="293"/>
      <c r="F728" s="293"/>
      <c r="G728" s="294"/>
      <c r="H728" s="300"/>
      <c r="I728" s="295"/>
      <c r="J728" s="295"/>
      <c r="K728" s="296"/>
      <c r="L728" s="301"/>
      <c r="M728" s="297"/>
      <c r="N728" s="298"/>
      <c r="P728" s="190" t="str">
        <f>IF(R728 = "", "", COUNT(R$4:$R728))</f>
        <v/>
      </c>
      <c r="Q728" s="190" t="str">
        <f t="shared" si="111"/>
        <v/>
      </c>
      <c r="R728" s="191" t="str">
        <f t="shared" si="112"/>
        <v/>
      </c>
      <c r="S728" s="192" t="str">
        <f t="shared" si="114"/>
        <v/>
      </c>
      <c r="T728" s="193" t="str">
        <f t="shared" si="115"/>
        <v/>
      </c>
      <c r="U728" s="194" t="str">
        <f t="shared" si="116"/>
        <v/>
      </c>
      <c r="V728" s="195" t="str">
        <f t="shared" si="113"/>
        <v/>
      </c>
      <c r="W728" s="336" t="str">
        <f t="shared" si="117"/>
        <v/>
      </c>
      <c r="X728" s="338" t="str">
        <f t="shared" si="118"/>
        <v/>
      </c>
      <c r="Y728" s="274"/>
      <c r="AR728" t="str">
        <f t="shared" si="119"/>
        <v/>
      </c>
      <c r="AS728" t="str">
        <f t="shared" si="120"/>
        <v/>
      </c>
    </row>
    <row r="729" spans="1:45">
      <c r="A729" s="291"/>
      <c r="B729" s="292"/>
      <c r="C729" s="293"/>
      <c r="D729" s="293"/>
      <c r="E729" s="293"/>
      <c r="F729" s="293"/>
      <c r="G729" s="294"/>
      <c r="H729" s="300"/>
      <c r="I729" s="295"/>
      <c r="J729" s="295"/>
      <c r="K729" s="296"/>
      <c r="L729" s="301"/>
      <c r="M729" s="297"/>
      <c r="N729" s="298"/>
      <c r="P729" s="190" t="str">
        <f>IF(R729 = "", "", COUNT(R$4:$R729))</f>
        <v/>
      </c>
      <c r="Q729" s="190" t="str">
        <f t="shared" si="111"/>
        <v/>
      </c>
      <c r="R729" s="191" t="str">
        <f t="shared" si="112"/>
        <v/>
      </c>
      <c r="S729" s="192" t="str">
        <f t="shared" si="114"/>
        <v/>
      </c>
      <c r="T729" s="193" t="str">
        <f t="shared" si="115"/>
        <v/>
      </c>
      <c r="U729" s="194" t="str">
        <f t="shared" si="116"/>
        <v/>
      </c>
      <c r="V729" s="195" t="str">
        <f t="shared" si="113"/>
        <v/>
      </c>
      <c r="W729" s="336" t="str">
        <f t="shared" si="117"/>
        <v/>
      </c>
      <c r="X729" s="338" t="str">
        <f t="shared" si="118"/>
        <v/>
      </c>
      <c r="Y729" s="274"/>
      <c r="AR729" t="str">
        <f t="shared" si="119"/>
        <v/>
      </c>
      <c r="AS729" t="str">
        <f t="shared" si="120"/>
        <v/>
      </c>
    </row>
    <row r="730" spans="1:45">
      <c r="A730" s="291"/>
      <c r="B730" s="292"/>
      <c r="C730" s="293"/>
      <c r="D730" s="293"/>
      <c r="E730" s="293"/>
      <c r="F730" s="293"/>
      <c r="G730" s="294"/>
      <c r="H730" s="300"/>
      <c r="I730" s="295"/>
      <c r="J730" s="295"/>
      <c r="K730" s="296"/>
      <c r="L730" s="301"/>
      <c r="M730" s="297"/>
      <c r="N730" s="298"/>
      <c r="P730" s="190" t="str">
        <f>IF(R730 = "", "", COUNT(R$4:$R730))</f>
        <v/>
      </c>
      <c r="Q730" s="190" t="str">
        <f t="shared" si="111"/>
        <v/>
      </c>
      <c r="R730" s="191" t="str">
        <f t="shared" si="112"/>
        <v/>
      </c>
      <c r="S730" s="192" t="str">
        <f t="shared" si="114"/>
        <v/>
      </c>
      <c r="T730" s="193" t="str">
        <f t="shared" si="115"/>
        <v/>
      </c>
      <c r="U730" s="194" t="str">
        <f t="shared" si="116"/>
        <v/>
      </c>
      <c r="V730" s="195" t="str">
        <f t="shared" si="113"/>
        <v/>
      </c>
      <c r="W730" s="336" t="str">
        <f t="shared" si="117"/>
        <v/>
      </c>
      <c r="X730" s="338" t="str">
        <f t="shared" si="118"/>
        <v/>
      </c>
      <c r="Y730" s="274"/>
      <c r="AR730" t="str">
        <f t="shared" si="119"/>
        <v/>
      </c>
      <c r="AS730" t="str">
        <f t="shared" si="120"/>
        <v/>
      </c>
    </row>
    <row r="731" spans="1:45">
      <c r="A731" s="291"/>
      <c r="B731" s="292"/>
      <c r="C731" s="293"/>
      <c r="D731" s="293"/>
      <c r="E731" s="293"/>
      <c r="F731" s="293"/>
      <c r="G731" s="294"/>
      <c r="H731" s="300"/>
      <c r="I731" s="295"/>
      <c r="J731" s="295"/>
      <c r="K731" s="296"/>
      <c r="L731" s="301"/>
      <c r="M731" s="297"/>
      <c r="N731" s="298"/>
      <c r="P731" s="190" t="str">
        <f>IF(R731 = "", "", COUNT(R$4:$R731))</f>
        <v/>
      </c>
      <c r="Q731" s="190" t="str">
        <f t="shared" si="111"/>
        <v/>
      </c>
      <c r="R731" s="191" t="str">
        <f t="shared" si="112"/>
        <v/>
      </c>
      <c r="S731" s="192" t="str">
        <f t="shared" si="114"/>
        <v/>
      </c>
      <c r="T731" s="193" t="str">
        <f t="shared" si="115"/>
        <v/>
      </c>
      <c r="U731" s="194" t="str">
        <f t="shared" si="116"/>
        <v/>
      </c>
      <c r="V731" s="195" t="str">
        <f t="shared" si="113"/>
        <v/>
      </c>
      <c r="W731" s="336" t="str">
        <f t="shared" si="117"/>
        <v/>
      </c>
      <c r="X731" s="338" t="str">
        <f t="shared" si="118"/>
        <v/>
      </c>
      <c r="Y731" s="274"/>
      <c r="AR731" t="str">
        <f t="shared" si="119"/>
        <v/>
      </c>
      <c r="AS731" t="str">
        <f t="shared" si="120"/>
        <v/>
      </c>
    </row>
    <row r="732" spans="1:45">
      <c r="A732" s="291"/>
      <c r="B732" s="292"/>
      <c r="C732" s="293"/>
      <c r="D732" s="293"/>
      <c r="E732" s="293"/>
      <c r="F732" s="293"/>
      <c r="G732" s="294"/>
      <c r="H732" s="300"/>
      <c r="I732" s="295"/>
      <c r="J732" s="295"/>
      <c r="K732" s="296"/>
      <c r="L732" s="301"/>
      <c r="M732" s="297"/>
      <c r="N732" s="298"/>
      <c r="P732" s="190" t="str">
        <f>IF(R732 = "", "", COUNT(R$4:$R732))</f>
        <v/>
      </c>
      <c r="Q732" s="190" t="str">
        <f t="shared" si="111"/>
        <v/>
      </c>
      <c r="R732" s="191" t="str">
        <f t="shared" si="112"/>
        <v/>
      </c>
      <c r="S732" s="192" t="str">
        <f t="shared" si="114"/>
        <v/>
      </c>
      <c r="T732" s="193" t="str">
        <f t="shared" si="115"/>
        <v/>
      </c>
      <c r="U732" s="194" t="str">
        <f t="shared" si="116"/>
        <v/>
      </c>
      <c r="V732" s="195" t="str">
        <f t="shared" si="113"/>
        <v/>
      </c>
      <c r="W732" s="336" t="str">
        <f t="shared" si="117"/>
        <v/>
      </c>
      <c r="X732" s="338" t="str">
        <f t="shared" si="118"/>
        <v/>
      </c>
      <c r="Y732" s="274"/>
      <c r="AR732" t="str">
        <f t="shared" si="119"/>
        <v/>
      </c>
      <c r="AS732" t="str">
        <f t="shared" si="120"/>
        <v/>
      </c>
    </row>
    <row r="733" spans="1:45">
      <c r="A733" s="291"/>
      <c r="B733" s="292"/>
      <c r="C733" s="293"/>
      <c r="D733" s="293"/>
      <c r="E733" s="293"/>
      <c r="F733" s="293"/>
      <c r="G733" s="294"/>
      <c r="H733" s="300"/>
      <c r="I733" s="295"/>
      <c r="J733" s="295"/>
      <c r="K733" s="296"/>
      <c r="L733" s="301"/>
      <c r="M733" s="297"/>
      <c r="N733" s="298"/>
      <c r="P733" s="190" t="str">
        <f>IF(R733 = "", "", COUNT(R$4:$R733))</f>
        <v/>
      </c>
      <c r="Q733" s="190" t="str">
        <f t="shared" si="111"/>
        <v/>
      </c>
      <c r="R733" s="191" t="str">
        <f t="shared" si="112"/>
        <v/>
      </c>
      <c r="S733" s="192" t="str">
        <f t="shared" si="114"/>
        <v/>
      </c>
      <c r="T733" s="193" t="str">
        <f t="shared" si="115"/>
        <v/>
      </c>
      <c r="U733" s="194" t="str">
        <f t="shared" si="116"/>
        <v/>
      </c>
      <c r="V733" s="195" t="str">
        <f t="shared" si="113"/>
        <v/>
      </c>
      <c r="W733" s="336" t="str">
        <f t="shared" si="117"/>
        <v/>
      </c>
      <c r="X733" s="338" t="str">
        <f t="shared" si="118"/>
        <v/>
      </c>
      <c r="Y733" s="274"/>
      <c r="AR733" t="str">
        <f t="shared" si="119"/>
        <v/>
      </c>
      <c r="AS733" t="str">
        <f t="shared" si="120"/>
        <v/>
      </c>
    </row>
    <row r="734" spans="1:45">
      <c r="A734" s="291"/>
      <c r="B734" s="292"/>
      <c r="C734" s="293"/>
      <c r="D734" s="293"/>
      <c r="E734" s="293"/>
      <c r="F734" s="293"/>
      <c r="G734" s="294"/>
      <c r="H734" s="300"/>
      <c r="I734" s="295"/>
      <c r="J734" s="295"/>
      <c r="K734" s="296"/>
      <c r="L734" s="301"/>
      <c r="M734" s="297"/>
      <c r="N734" s="298"/>
      <c r="P734" s="190" t="str">
        <f>IF(R734 = "", "", COUNT(R$4:$R734))</f>
        <v/>
      </c>
      <c r="Q734" s="190" t="str">
        <f t="shared" si="111"/>
        <v/>
      </c>
      <c r="R734" s="191" t="str">
        <f t="shared" si="112"/>
        <v/>
      </c>
      <c r="S734" s="192" t="str">
        <f t="shared" si="114"/>
        <v/>
      </c>
      <c r="T734" s="193" t="str">
        <f t="shared" si="115"/>
        <v/>
      </c>
      <c r="U734" s="194" t="str">
        <f t="shared" si="116"/>
        <v/>
      </c>
      <c r="V734" s="195" t="str">
        <f t="shared" si="113"/>
        <v/>
      </c>
      <c r="W734" s="336" t="str">
        <f t="shared" si="117"/>
        <v/>
      </c>
      <c r="X734" s="338" t="str">
        <f t="shared" si="118"/>
        <v/>
      </c>
      <c r="Y734" s="274"/>
      <c r="AR734" t="str">
        <f t="shared" si="119"/>
        <v/>
      </c>
      <c r="AS734" t="str">
        <f t="shared" si="120"/>
        <v/>
      </c>
    </row>
    <row r="735" spans="1:45">
      <c r="A735" s="291"/>
      <c r="B735" s="292"/>
      <c r="C735" s="293"/>
      <c r="D735" s="293"/>
      <c r="E735" s="293"/>
      <c r="F735" s="293"/>
      <c r="G735" s="294"/>
      <c r="H735" s="300"/>
      <c r="I735" s="295"/>
      <c r="J735" s="295"/>
      <c r="K735" s="296"/>
      <c r="L735" s="301"/>
      <c r="M735" s="297"/>
      <c r="N735" s="298"/>
      <c r="P735" s="190" t="str">
        <f>IF(R735 = "", "", COUNT(R$4:$R735))</f>
        <v/>
      </c>
      <c r="Q735" s="190" t="str">
        <f t="shared" si="111"/>
        <v/>
      </c>
      <c r="R735" s="191" t="str">
        <f t="shared" si="112"/>
        <v/>
      </c>
      <c r="S735" s="192" t="str">
        <f t="shared" si="114"/>
        <v/>
      </c>
      <c r="T735" s="193" t="str">
        <f t="shared" si="115"/>
        <v/>
      </c>
      <c r="U735" s="194" t="str">
        <f t="shared" si="116"/>
        <v/>
      </c>
      <c r="V735" s="195" t="str">
        <f t="shared" si="113"/>
        <v/>
      </c>
      <c r="W735" s="336" t="str">
        <f t="shared" si="117"/>
        <v/>
      </c>
      <c r="X735" s="338" t="str">
        <f t="shared" si="118"/>
        <v/>
      </c>
      <c r="Y735" s="274"/>
      <c r="AR735" t="str">
        <f t="shared" si="119"/>
        <v/>
      </c>
      <c r="AS735" t="str">
        <f t="shared" si="120"/>
        <v/>
      </c>
    </row>
    <row r="736" spans="1:45">
      <c r="A736" s="291"/>
      <c r="B736" s="292"/>
      <c r="C736" s="293"/>
      <c r="D736" s="293"/>
      <c r="E736" s="293"/>
      <c r="F736" s="293"/>
      <c r="G736" s="294"/>
      <c r="H736" s="300"/>
      <c r="I736" s="295"/>
      <c r="J736" s="295"/>
      <c r="K736" s="296"/>
      <c r="L736" s="301"/>
      <c r="M736" s="297"/>
      <c r="N736" s="298"/>
      <c r="P736" s="190" t="str">
        <f>IF(R736 = "", "", COUNT(R$4:$R736))</f>
        <v/>
      </c>
      <c r="Q736" s="190" t="str">
        <f t="shared" si="111"/>
        <v/>
      </c>
      <c r="R736" s="191" t="str">
        <f t="shared" si="112"/>
        <v/>
      </c>
      <c r="S736" s="192" t="str">
        <f t="shared" si="114"/>
        <v/>
      </c>
      <c r="T736" s="193" t="str">
        <f t="shared" si="115"/>
        <v/>
      </c>
      <c r="U736" s="194" t="str">
        <f t="shared" si="116"/>
        <v/>
      </c>
      <c r="V736" s="195" t="str">
        <f t="shared" si="113"/>
        <v/>
      </c>
      <c r="W736" s="336" t="str">
        <f t="shared" si="117"/>
        <v/>
      </c>
      <c r="X736" s="338" t="str">
        <f t="shared" si="118"/>
        <v/>
      </c>
      <c r="Y736" s="274"/>
      <c r="AR736" t="str">
        <f t="shared" si="119"/>
        <v/>
      </c>
      <c r="AS736" t="str">
        <f t="shared" si="120"/>
        <v/>
      </c>
    </row>
    <row r="737" spans="1:45">
      <c r="A737" s="291"/>
      <c r="B737" s="292"/>
      <c r="C737" s="293"/>
      <c r="D737" s="293"/>
      <c r="E737" s="293"/>
      <c r="F737" s="293"/>
      <c r="G737" s="294"/>
      <c r="H737" s="300"/>
      <c r="I737" s="295"/>
      <c r="J737" s="295"/>
      <c r="K737" s="296"/>
      <c r="L737" s="301"/>
      <c r="M737" s="297"/>
      <c r="N737" s="298"/>
      <c r="P737" s="190" t="str">
        <f>IF(R737 = "", "", COUNT(R$4:$R737))</f>
        <v/>
      </c>
      <c r="Q737" s="190" t="str">
        <f t="shared" si="111"/>
        <v/>
      </c>
      <c r="R737" s="191" t="str">
        <f t="shared" si="112"/>
        <v/>
      </c>
      <c r="S737" s="192" t="str">
        <f t="shared" si="114"/>
        <v/>
      </c>
      <c r="T737" s="193" t="str">
        <f t="shared" si="115"/>
        <v/>
      </c>
      <c r="U737" s="194" t="str">
        <f t="shared" si="116"/>
        <v/>
      </c>
      <c r="V737" s="195" t="str">
        <f t="shared" si="113"/>
        <v/>
      </c>
      <c r="W737" s="336" t="str">
        <f t="shared" si="117"/>
        <v/>
      </c>
      <c r="X737" s="338" t="str">
        <f t="shared" si="118"/>
        <v/>
      </c>
      <c r="Y737" s="274"/>
      <c r="AR737" t="str">
        <f t="shared" si="119"/>
        <v/>
      </c>
      <c r="AS737" t="str">
        <f t="shared" si="120"/>
        <v/>
      </c>
    </row>
    <row r="738" spans="1:45">
      <c r="A738" s="291"/>
      <c r="B738" s="292"/>
      <c r="C738" s="293"/>
      <c r="D738" s="293"/>
      <c r="E738" s="293"/>
      <c r="F738" s="293"/>
      <c r="G738" s="294"/>
      <c r="H738" s="300"/>
      <c r="I738" s="295"/>
      <c r="J738" s="295"/>
      <c r="K738" s="296"/>
      <c r="L738" s="301"/>
      <c r="M738" s="297"/>
      <c r="N738" s="298"/>
      <c r="P738" s="190" t="str">
        <f>IF(R738 = "", "", COUNT(R$4:$R738))</f>
        <v/>
      </c>
      <c r="Q738" s="190" t="str">
        <f t="shared" si="111"/>
        <v/>
      </c>
      <c r="R738" s="191" t="str">
        <f t="shared" si="112"/>
        <v/>
      </c>
      <c r="S738" s="192" t="str">
        <f t="shared" si="114"/>
        <v/>
      </c>
      <c r="T738" s="193" t="str">
        <f t="shared" si="115"/>
        <v/>
      </c>
      <c r="U738" s="194" t="str">
        <f t="shared" si="116"/>
        <v/>
      </c>
      <c r="V738" s="195" t="str">
        <f t="shared" si="113"/>
        <v/>
      </c>
      <c r="W738" s="336" t="str">
        <f t="shared" si="117"/>
        <v/>
      </c>
      <c r="X738" s="338" t="str">
        <f t="shared" si="118"/>
        <v/>
      </c>
      <c r="Y738" s="274"/>
      <c r="AR738" t="str">
        <f t="shared" si="119"/>
        <v/>
      </c>
      <c r="AS738" t="str">
        <f t="shared" si="120"/>
        <v/>
      </c>
    </row>
    <row r="739" spans="1:45">
      <c r="A739" s="291"/>
      <c r="B739" s="292"/>
      <c r="C739" s="293"/>
      <c r="D739" s="293"/>
      <c r="E739" s="293"/>
      <c r="F739" s="293"/>
      <c r="G739" s="294"/>
      <c r="H739" s="300"/>
      <c r="I739" s="295"/>
      <c r="J739" s="295"/>
      <c r="K739" s="296"/>
      <c r="L739" s="301"/>
      <c r="M739" s="297"/>
      <c r="N739" s="298"/>
      <c r="P739" s="190" t="str">
        <f>IF(R739 = "", "", COUNT(R$4:$R739))</f>
        <v/>
      </c>
      <c r="Q739" s="190" t="str">
        <f t="shared" si="111"/>
        <v/>
      </c>
      <c r="R739" s="191" t="str">
        <f t="shared" si="112"/>
        <v/>
      </c>
      <c r="S739" s="192" t="str">
        <f t="shared" si="114"/>
        <v/>
      </c>
      <c r="T739" s="193" t="str">
        <f t="shared" si="115"/>
        <v/>
      </c>
      <c r="U739" s="194" t="str">
        <f t="shared" si="116"/>
        <v/>
      </c>
      <c r="V739" s="195" t="str">
        <f t="shared" si="113"/>
        <v/>
      </c>
      <c r="W739" s="336" t="str">
        <f t="shared" si="117"/>
        <v/>
      </c>
      <c r="X739" s="338" t="str">
        <f t="shared" si="118"/>
        <v/>
      </c>
      <c r="Y739" s="274"/>
      <c r="AR739" t="str">
        <f t="shared" si="119"/>
        <v/>
      </c>
      <c r="AS739" t="str">
        <f t="shared" si="120"/>
        <v/>
      </c>
    </row>
    <row r="740" spans="1:45">
      <c r="A740" s="291"/>
      <c r="B740" s="292"/>
      <c r="C740" s="293"/>
      <c r="D740" s="293"/>
      <c r="E740" s="293"/>
      <c r="F740" s="293"/>
      <c r="G740" s="294"/>
      <c r="H740" s="300"/>
      <c r="I740" s="295"/>
      <c r="J740" s="295"/>
      <c r="K740" s="296"/>
      <c r="L740" s="301"/>
      <c r="M740" s="297"/>
      <c r="N740" s="298"/>
      <c r="P740" s="190" t="str">
        <f>IF(R740 = "", "", COUNT(R$4:$R740))</f>
        <v/>
      </c>
      <c r="Q740" s="190" t="str">
        <f t="shared" si="111"/>
        <v/>
      </c>
      <c r="R740" s="191" t="str">
        <f t="shared" si="112"/>
        <v/>
      </c>
      <c r="S740" s="192" t="str">
        <f t="shared" si="114"/>
        <v/>
      </c>
      <c r="T740" s="193" t="str">
        <f t="shared" si="115"/>
        <v/>
      </c>
      <c r="U740" s="194" t="str">
        <f t="shared" si="116"/>
        <v/>
      </c>
      <c r="V740" s="195" t="str">
        <f t="shared" si="113"/>
        <v/>
      </c>
      <c r="W740" s="336" t="str">
        <f t="shared" si="117"/>
        <v/>
      </c>
      <c r="X740" s="338" t="str">
        <f t="shared" si="118"/>
        <v/>
      </c>
      <c r="Y740" s="274"/>
      <c r="AR740" t="str">
        <f t="shared" si="119"/>
        <v/>
      </c>
      <c r="AS740" t="str">
        <f t="shared" si="120"/>
        <v/>
      </c>
    </row>
    <row r="741" spans="1:45">
      <c r="A741" s="291"/>
      <c r="B741" s="292"/>
      <c r="C741" s="293"/>
      <c r="D741" s="293"/>
      <c r="E741" s="293"/>
      <c r="F741" s="293"/>
      <c r="G741" s="294"/>
      <c r="H741" s="300"/>
      <c r="I741" s="295"/>
      <c r="J741" s="295"/>
      <c r="K741" s="296"/>
      <c r="L741" s="301"/>
      <c r="M741" s="297"/>
      <c r="N741" s="298"/>
      <c r="P741" s="190" t="str">
        <f>IF(R741 = "", "", COUNT(R$4:$R741))</f>
        <v/>
      </c>
      <c r="Q741" s="190" t="str">
        <f t="shared" si="111"/>
        <v/>
      </c>
      <c r="R741" s="191" t="str">
        <f t="shared" si="112"/>
        <v/>
      </c>
      <c r="S741" s="192" t="str">
        <f t="shared" si="114"/>
        <v/>
      </c>
      <c r="T741" s="193" t="str">
        <f t="shared" si="115"/>
        <v/>
      </c>
      <c r="U741" s="194" t="str">
        <f t="shared" si="116"/>
        <v/>
      </c>
      <c r="V741" s="195" t="str">
        <f t="shared" si="113"/>
        <v/>
      </c>
      <c r="W741" s="336" t="str">
        <f t="shared" si="117"/>
        <v/>
      </c>
      <c r="X741" s="338" t="str">
        <f t="shared" si="118"/>
        <v/>
      </c>
      <c r="Y741" s="274"/>
      <c r="AR741" t="str">
        <f t="shared" si="119"/>
        <v/>
      </c>
      <c r="AS741" t="str">
        <f t="shared" si="120"/>
        <v/>
      </c>
    </row>
    <row r="742" spans="1:45">
      <c r="A742" s="291"/>
      <c r="B742" s="292"/>
      <c r="C742" s="293"/>
      <c r="D742" s="293"/>
      <c r="E742" s="293"/>
      <c r="F742" s="293"/>
      <c r="G742" s="294"/>
      <c r="H742" s="300"/>
      <c r="I742" s="295"/>
      <c r="J742" s="295"/>
      <c r="K742" s="296"/>
      <c r="L742" s="301"/>
      <c r="M742" s="297"/>
      <c r="N742" s="298"/>
      <c r="P742" s="190" t="str">
        <f>IF(R742 = "", "", COUNT(R$4:$R742))</f>
        <v/>
      </c>
      <c r="Q742" s="190" t="str">
        <f t="shared" si="111"/>
        <v/>
      </c>
      <c r="R742" s="191" t="str">
        <f t="shared" si="112"/>
        <v/>
      </c>
      <c r="S742" s="192" t="str">
        <f t="shared" si="114"/>
        <v/>
      </c>
      <c r="T742" s="193" t="str">
        <f t="shared" si="115"/>
        <v/>
      </c>
      <c r="U742" s="194" t="str">
        <f t="shared" si="116"/>
        <v/>
      </c>
      <c r="V742" s="195" t="str">
        <f t="shared" si="113"/>
        <v/>
      </c>
      <c r="W742" s="336" t="str">
        <f t="shared" si="117"/>
        <v/>
      </c>
      <c r="X742" s="338" t="str">
        <f t="shared" si="118"/>
        <v/>
      </c>
      <c r="Y742" s="274"/>
      <c r="AR742" t="str">
        <f t="shared" si="119"/>
        <v/>
      </c>
      <c r="AS742" t="str">
        <f t="shared" si="120"/>
        <v/>
      </c>
    </row>
    <row r="743" spans="1:45">
      <c r="A743" s="291"/>
      <c r="B743" s="292"/>
      <c r="C743" s="293"/>
      <c r="D743" s="293"/>
      <c r="E743" s="293"/>
      <c r="F743" s="293"/>
      <c r="G743" s="294"/>
      <c r="H743" s="300"/>
      <c r="I743" s="295"/>
      <c r="J743" s="295"/>
      <c r="K743" s="296"/>
      <c r="L743" s="301"/>
      <c r="M743" s="297"/>
      <c r="N743" s="298"/>
      <c r="P743" s="190" t="str">
        <f>IF(R743 = "", "", COUNT(R$4:$R743))</f>
        <v/>
      </c>
      <c r="Q743" s="190" t="str">
        <f t="shared" si="111"/>
        <v/>
      </c>
      <c r="R743" s="191" t="str">
        <f t="shared" si="112"/>
        <v/>
      </c>
      <c r="S743" s="192" t="str">
        <f t="shared" si="114"/>
        <v/>
      </c>
      <c r="T743" s="193" t="str">
        <f t="shared" si="115"/>
        <v/>
      </c>
      <c r="U743" s="194" t="str">
        <f t="shared" si="116"/>
        <v/>
      </c>
      <c r="V743" s="195" t="str">
        <f t="shared" si="113"/>
        <v/>
      </c>
      <c r="W743" s="336" t="str">
        <f t="shared" si="117"/>
        <v/>
      </c>
      <c r="X743" s="338" t="str">
        <f t="shared" si="118"/>
        <v/>
      </c>
      <c r="Y743" s="274"/>
      <c r="AR743" t="str">
        <f t="shared" si="119"/>
        <v/>
      </c>
      <c r="AS743" t="str">
        <f t="shared" si="120"/>
        <v/>
      </c>
    </row>
    <row r="744" spans="1:45">
      <c r="A744" s="291"/>
      <c r="B744" s="292"/>
      <c r="C744" s="293"/>
      <c r="D744" s="293"/>
      <c r="E744" s="293"/>
      <c r="F744" s="293"/>
      <c r="G744" s="294"/>
      <c r="H744" s="300"/>
      <c r="I744" s="295"/>
      <c r="J744" s="295"/>
      <c r="K744" s="296"/>
      <c r="L744" s="301"/>
      <c r="M744" s="297"/>
      <c r="N744" s="298"/>
      <c r="P744" s="190" t="str">
        <f>IF(R744 = "", "", COUNT(R$4:$R744))</f>
        <v/>
      </c>
      <c r="Q744" s="190" t="str">
        <f t="shared" si="111"/>
        <v/>
      </c>
      <c r="R744" s="191" t="str">
        <f t="shared" si="112"/>
        <v/>
      </c>
      <c r="S744" s="192" t="str">
        <f t="shared" si="114"/>
        <v/>
      </c>
      <c r="T744" s="193" t="str">
        <f t="shared" si="115"/>
        <v/>
      </c>
      <c r="U744" s="194" t="str">
        <f t="shared" si="116"/>
        <v/>
      </c>
      <c r="V744" s="195" t="str">
        <f t="shared" si="113"/>
        <v/>
      </c>
      <c r="W744" s="336" t="str">
        <f t="shared" si="117"/>
        <v/>
      </c>
      <c r="X744" s="338" t="str">
        <f t="shared" si="118"/>
        <v/>
      </c>
      <c r="Y744" s="274"/>
      <c r="AR744" t="str">
        <f t="shared" si="119"/>
        <v/>
      </c>
      <c r="AS744" t="str">
        <f t="shared" si="120"/>
        <v/>
      </c>
    </row>
    <row r="745" spans="1:45">
      <c r="A745" s="291"/>
      <c r="B745" s="292"/>
      <c r="C745" s="293"/>
      <c r="D745" s="293"/>
      <c r="E745" s="293"/>
      <c r="F745" s="293"/>
      <c r="G745" s="294"/>
      <c r="H745" s="300"/>
      <c r="I745" s="295"/>
      <c r="J745" s="295"/>
      <c r="K745" s="296"/>
      <c r="L745" s="301"/>
      <c r="M745" s="297"/>
      <c r="N745" s="298"/>
      <c r="P745" s="190" t="str">
        <f>IF(R745 = "", "", COUNT(R$4:$R745))</f>
        <v/>
      </c>
      <c r="Q745" s="190" t="str">
        <f t="shared" si="111"/>
        <v/>
      </c>
      <c r="R745" s="191" t="str">
        <f t="shared" si="112"/>
        <v/>
      </c>
      <c r="S745" s="192" t="str">
        <f t="shared" si="114"/>
        <v/>
      </c>
      <c r="T745" s="193" t="str">
        <f t="shared" si="115"/>
        <v/>
      </c>
      <c r="U745" s="194" t="str">
        <f t="shared" si="116"/>
        <v/>
      </c>
      <c r="V745" s="195" t="str">
        <f t="shared" si="113"/>
        <v/>
      </c>
      <c r="W745" s="336" t="str">
        <f t="shared" si="117"/>
        <v/>
      </c>
      <c r="X745" s="338" t="str">
        <f t="shared" si="118"/>
        <v/>
      </c>
      <c r="Y745" s="274"/>
      <c r="AR745" t="str">
        <f t="shared" si="119"/>
        <v/>
      </c>
      <c r="AS745" t="str">
        <f t="shared" si="120"/>
        <v/>
      </c>
    </row>
    <row r="746" spans="1:45">
      <c r="A746" s="291"/>
      <c r="B746" s="292"/>
      <c r="C746" s="293"/>
      <c r="D746" s="293"/>
      <c r="E746" s="293"/>
      <c r="F746" s="293"/>
      <c r="G746" s="294"/>
      <c r="H746" s="300"/>
      <c r="I746" s="295"/>
      <c r="J746" s="295"/>
      <c r="K746" s="296"/>
      <c r="L746" s="301"/>
      <c r="M746" s="297"/>
      <c r="N746" s="298"/>
      <c r="P746" s="190" t="str">
        <f>IF(R746 = "", "", COUNT(R$4:$R746))</f>
        <v/>
      </c>
      <c r="Q746" s="190" t="str">
        <f t="shared" si="111"/>
        <v/>
      </c>
      <c r="R746" s="191" t="str">
        <f t="shared" si="112"/>
        <v/>
      </c>
      <c r="S746" s="192" t="str">
        <f t="shared" si="114"/>
        <v/>
      </c>
      <c r="T746" s="193" t="str">
        <f t="shared" si="115"/>
        <v/>
      </c>
      <c r="U746" s="194" t="str">
        <f t="shared" si="116"/>
        <v/>
      </c>
      <c r="V746" s="195" t="str">
        <f t="shared" si="113"/>
        <v/>
      </c>
      <c r="W746" s="336" t="str">
        <f t="shared" si="117"/>
        <v/>
      </c>
      <c r="X746" s="338" t="str">
        <f t="shared" si="118"/>
        <v/>
      </c>
      <c r="Y746" s="274"/>
      <c r="AR746" t="str">
        <f t="shared" si="119"/>
        <v/>
      </c>
      <c r="AS746" t="str">
        <f t="shared" si="120"/>
        <v/>
      </c>
    </row>
    <row r="747" spans="1:45">
      <c r="A747" s="291"/>
      <c r="B747" s="292"/>
      <c r="C747" s="293"/>
      <c r="D747" s="293"/>
      <c r="E747" s="293"/>
      <c r="F747" s="293"/>
      <c r="G747" s="294"/>
      <c r="H747" s="300"/>
      <c r="I747" s="295"/>
      <c r="J747" s="295"/>
      <c r="K747" s="296"/>
      <c r="L747" s="301"/>
      <c r="M747" s="297"/>
      <c r="N747" s="298"/>
      <c r="P747" s="190" t="str">
        <f>IF(R747 = "", "", COUNT(R$4:$R747))</f>
        <v/>
      </c>
      <c r="Q747" s="190" t="str">
        <f t="shared" si="111"/>
        <v/>
      </c>
      <c r="R747" s="191" t="str">
        <f t="shared" si="112"/>
        <v/>
      </c>
      <c r="S747" s="192" t="str">
        <f t="shared" si="114"/>
        <v/>
      </c>
      <c r="T747" s="193" t="str">
        <f t="shared" si="115"/>
        <v/>
      </c>
      <c r="U747" s="194" t="str">
        <f t="shared" si="116"/>
        <v/>
      </c>
      <c r="V747" s="195" t="str">
        <f t="shared" si="113"/>
        <v/>
      </c>
      <c r="W747" s="336" t="str">
        <f t="shared" si="117"/>
        <v/>
      </c>
      <c r="X747" s="338" t="str">
        <f t="shared" si="118"/>
        <v/>
      </c>
      <c r="Y747" s="274"/>
      <c r="AR747" t="str">
        <f t="shared" si="119"/>
        <v/>
      </c>
      <c r="AS747" t="str">
        <f t="shared" si="120"/>
        <v/>
      </c>
    </row>
    <row r="748" spans="1:45">
      <c r="A748" s="291"/>
      <c r="B748" s="292"/>
      <c r="C748" s="293"/>
      <c r="D748" s="293"/>
      <c r="E748" s="293"/>
      <c r="F748" s="293"/>
      <c r="G748" s="294"/>
      <c r="H748" s="300"/>
      <c r="I748" s="295"/>
      <c r="J748" s="295"/>
      <c r="K748" s="296"/>
      <c r="L748" s="301"/>
      <c r="M748" s="297"/>
      <c r="N748" s="298"/>
      <c r="P748" s="190" t="str">
        <f>IF(R748 = "", "", COUNT(R$4:$R748))</f>
        <v/>
      </c>
      <c r="Q748" s="190" t="str">
        <f t="shared" si="111"/>
        <v/>
      </c>
      <c r="R748" s="191" t="str">
        <f t="shared" si="112"/>
        <v/>
      </c>
      <c r="S748" s="192" t="str">
        <f t="shared" si="114"/>
        <v/>
      </c>
      <c r="T748" s="193" t="str">
        <f t="shared" si="115"/>
        <v/>
      </c>
      <c r="U748" s="194" t="str">
        <f t="shared" si="116"/>
        <v/>
      </c>
      <c r="V748" s="195" t="str">
        <f t="shared" si="113"/>
        <v/>
      </c>
      <c r="W748" s="336" t="str">
        <f t="shared" si="117"/>
        <v/>
      </c>
      <c r="X748" s="338" t="str">
        <f t="shared" si="118"/>
        <v/>
      </c>
      <c r="Y748" s="274"/>
      <c r="AR748" t="str">
        <f t="shared" si="119"/>
        <v/>
      </c>
      <c r="AS748" t="str">
        <f t="shared" si="120"/>
        <v/>
      </c>
    </row>
    <row r="749" spans="1:45">
      <c r="A749" s="291"/>
      <c r="B749" s="292"/>
      <c r="C749" s="293"/>
      <c r="D749" s="293"/>
      <c r="E749" s="293"/>
      <c r="F749" s="293"/>
      <c r="G749" s="294"/>
      <c r="H749" s="300"/>
      <c r="I749" s="295"/>
      <c r="J749" s="295"/>
      <c r="K749" s="296"/>
      <c r="L749" s="301"/>
      <c r="M749" s="297"/>
      <c r="N749" s="298"/>
      <c r="P749" s="190" t="str">
        <f>IF(R749 = "", "", COUNT(R$4:$R749))</f>
        <v/>
      </c>
      <c r="Q749" s="190" t="str">
        <f t="shared" si="111"/>
        <v/>
      </c>
      <c r="R749" s="191" t="str">
        <f t="shared" si="112"/>
        <v/>
      </c>
      <c r="S749" s="192" t="str">
        <f t="shared" si="114"/>
        <v/>
      </c>
      <c r="T749" s="193" t="str">
        <f t="shared" si="115"/>
        <v/>
      </c>
      <c r="U749" s="194" t="str">
        <f t="shared" si="116"/>
        <v/>
      </c>
      <c r="V749" s="195" t="str">
        <f t="shared" si="113"/>
        <v/>
      </c>
      <c r="W749" s="336" t="str">
        <f t="shared" si="117"/>
        <v/>
      </c>
      <c r="X749" s="338" t="str">
        <f t="shared" si="118"/>
        <v/>
      </c>
      <c r="Y749" s="274"/>
      <c r="AR749" t="str">
        <f t="shared" si="119"/>
        <v/>
      </c>
      <c r="AS749" t="str">
        <f t="shared" si="120"/>
        <v/>
      </c>
    </row>
    <row r="750" spans="1:45">
      <c r="A750" s="291"/>
      <c r="B750" s="292"/>
      <c r="C750" s="293"/>
      <c r="D750" s="293"/>
      <c r="E750" s="293"/>
      <c r="F750" s="293"/>
      <c r="G750" s="294"/>
      <c r="H750" s="300"/>
      <c r="I750" s="295"/>
      <c r="J750" s="295"/>
      <c r="K750" s="296"/>
      <c r="L750" s="301"/>
      <c r="M750" s="297"/>
      <c r="N750" s="298"/>
      <c r="P750" s="190" t="str">
        <f>IF(R750 = "", "", COUNT(R$4:$R750))</f>
        <v/>
      </c>
      <c r="Q750" s="190" t="str">
        <f t="shared" si="111"/>
        <v/>
      </c>
      <c r="R750" s="191" t="str">
        <f t="shared" si="112"/>
        <v/>
      </c>
      <c r="S750" s="192" t="str">
        <f t="shared" si="114"/>
        <v/>
      </c>
      <c r="T750" s="193" t="str">
        <f t="shared" si="115"/>
        <v/>
      </c>
      <c r="U750" s="194" t="str">
        <f t="shared" si="116"/>
        <v/>
      </c>
      <c r="V750" s="195" t="str">
        <f t="shared" si="113"/>
        <v/>
      </c>
      <c r="W750" s="336" t="str">
        <f t="shared" si="117"/>
        <v/>
      </c>
      <c r="X750" s="338" t="str">
        <f t="shared" si="118"/>
        <v/>
      </c>
      <c r="Y750" s="274"/>
      <c r="AR750" t="str">
        <f t="shared" si="119"/>
        <v/>
      </c>
      <c r="AS750" t="str">
        <f t="shared" si="120"/>
        <v/>
      </c>
    </row>
    <row r="751" spans="1:45">
      <c r="A751" s="291"/>
      <c r="B751" s="292"/>
      <c r="C751" s="293"/>
      <c r="D751" s="293"/>
      <c r="E751" s="293"/>
      <c r="F751" s="293"/>
      <c r="G751" s="294"/>
      <c r="H751" s="300"/>
      <c r="I751" s="295"/>
      <c r="J751" s="295"/>
      <c r="K751" s="296"/>
      <c r="L751" s="301"/>
      <c r="M751" s="297"/>
      <c r="N751" s="298"/>
      <c r="P751" s="190" t="str">
        <f>IF(R751 = "", "", COUNT(R$4:$R751))</f>
        <v/>
      </c>
      <c r="Q751" s="190" t="str">
        <f t="shared" si="111"/>
        <v/>
      </c>
      <c r="R751" s="191" t="str">
        <f t="shared" si="112"/>
        <v/>
      </c>
      <c r="S751" s="192" t="str">
        <f t="shared" si="114"/>
        <v/>
      </c>
      <c r="T751" s="193" t="str">
        <f t="shared" si="115"/>
        <v/>
      </c>
      <c r="U751" s="194" t="str">
        <f t="shared" si="116"/>
        <v/>
      </c>
      <c r="V751" s="195" t="str">
        <f t="shared" si="113"/>
        <v/>
      </c>
      <c r="W751" s="336" t="str">
        <f t="shared" si="117"/>
        <v/>
      </c>
      <c r="X751" s="338" t="str">
        <f t="shared" si="118"/>
        <v/>
      </c>
      <c r="Y751" s="274"/>
      <c r="AR751" t="str">
        <f t="shared" si="119"/>
        <v/>
      </c>
      <c r="AS751" t="str">
        <f t="shared" si="120"/>
        <v/>
      </c>
    </row>
    <row r="752" spans="1:45">
      <c r="A752" s="291"/>
      <c r="B752" s="292"/>
      <c r="C752" s="293"/>
      <c r="D752" s="293"/>
      <c r="E752" s="293"/>
      <c r="F752" s="293"/>
      <c r="G752" s="294"/>
      <c r="H752" s="300"/>
      <c r="I752" s="295"/>
      <c r="J752" s="295"/>
      <c r="K752" s="296"/>
      <c r="L752" s="301"/>
      <c r="M752" s="297"/>
      <c r="N752" s="298"/>
      <c r="P752" s="190" t="str">
        <f>IF(R752 = "", "", COUNT(R$4:$R752))</f>
        <v/>
      </c>
      <c r="Q752" s="190" t="str">
        <f t="shared" si="111"/>
        <v/>
      </c>
      <c r="R752" s="191" t="str">
        <f t="shared" si="112"/>
        <v/>
      </c>
      <c r="S752" s="192" t="str">
        <f t="shared" si="114"/>
        <v/>
      </c>
      <c r="T752" s="193" t="str">
        <f t="shared" si="115"/>
        <v/>
      </c>
      <c r="U752" s="194" t="str">
        <f t="shared" si="116"/>
        <v/>
      </c>
      <c r="V752" s="195" t="str">
        <f t="shared" si="113"/>
        <v/>
      </c>
      <c r="W752" s="336" t="str">
        <f t="shared" si="117"/>
        <v/>
      </c>
      <c r="X752" s="338" t="str">
        <f t="shared" si="118"/>
        <v/>
      </c>
      <c r="Y752" s="274"/>
      <c r="AR752" t="str">
        <f t="shared" si="119"/>
        <v/>
      </c>
      <c r="AS752" t="str">
        <f t="shared" si="120"/>
        <v/>
      </c>
    </row>
    <row r="753" spans="1:45">
      <c r="A753" s="291"/>
      <c r="B753" s="292"/>
      <c r="C753" s="293"/>
      <c r="D753" s="293"/>
      <c r="E753" s="293"/>
      <c r="F753" s="293"/>
      <c r="G753" s="294"/>
      <c r="H753" s="300"/>
      <c r="I753" s="295"/>
      <c r="J753" s="295"/>
      <c r="K753" s="296"/>
      <c r="L753" s="301"/>
      <c r="M753" s="297"/>
      <c r="N753" s="298"/>
      <c r="P753" s="190" t="str">
        <f>IF(R753 = "", "", COUNT(R$4:$R753))</f>
        <v/>
      </c>
      <c r="Q753" s="190" t="str">
        <f t="shared" si="111"/>
        <v/>
      </c>
      <c r="R753" s="191" t="str">
        <f t="shared" si="112"/>
        <v/>
      </c>
      <c r="S753" s="192" t="str">
        <f t="shared" si="114"/>
        <v/>
      </c>
      <c r="T753" s="193" t="str">
        <f t="shared" si="115"/>
        <v/>
      </c>
      <c r="U753" s="194" t="str">
        <f t="shared" si="116"/>
        <v/>
      </c>
      <c r="V753" s="195" t="str">
        <f t="shared" si="113"/>
        <v/>
      </c>
      <c r="W753" s="336" t="str">
        <f t="shared" si="117"/>
        <v/>
      </c>
      <c r="X753" s="338" t="str">
        <f t="shared" si="118"/>
        <v/>
      </c>
      <c r="Y753" s="274"/>
      <c r="AR753" t="str">
        <f t="shared" si="119"/>
        <v/>
      </c>
      <c r="AS753" t="str">
        <f t="shared" si="120"/>
        <v/>
      </c>
    </row>
    <row r="754" spans="1:45">
      <c r="A754" s="291"/>
      <c r="B754" s="292"/>
      <c r="C754" s="293"/>
      <c r="D754" s="293"/>
      <c r="E754" s="293"/>
      <c r="F754" s="293"/>
      <c r="G754" s="294"/>
      <c r="H754" s="300"/>
      <c r="I754" s="295"/>
      <c r="J754" s="295"/>
      <c r="K754" s="296"/>
      <c r="L754" s="301"/>
      <c r="M754" s="297"/>
      <c r="N754" s="298"/>
      <c r="P754" s="190" t="str">
        <f>IF(R754 = "", "", COUNT(R$4:$R754))</f>
        <v/>
      </c>
      <c r="Q754" s="190" t="str">
        <f t="shared" si="111"/>
        <v/>
      </c>
      <c r="R754" s="191" t="str">
        <f t="shared" si="112"/>
        <v/>
      </c>
      <c r="S754" s="192" t="str">
        <f t="shared" si="114"/>
        <v/>
      </c>
      <c r="T754" s="193" t="str">
        <f t="shared" si="115"/>
        <v/>
      </c>
      <c r="U754" s="194" t="str">
        <f t="shared" si="116"/>
        <v/>
      </c>
      <c r="V754" s="195" t="str">
        <f t="shared" si="113"/>
        <v/>
      </c>
      <c r="W754" s="336" t="str">
        <f t="shared" si="117"/>
        <v/>
      </c>
      <c r="X754" s="338" t="str">
        <f t="shared" si="118"/>
        <v/>
      </c>
      <c r="Y754" s="274"/>
      <c r="AR754" t="str">
        <f t="shared" si="119"/>
        <v/>
      </c>
      <c r="AS754" t="str">
        <f t="shared" si="120"/>
        <v/>
      </c>
    </row>
    <row r="755" spans="1:45">
      <c r="A755" s="291"/>
      <c r="B755" s="292"/>
      <c r="C755" s="293"/>
      <c r="D755" s="293"/>
      <c r="E755" s="293"/>
      <c r="F755" s="293"/>
      <c r="G755" s="294"/>
      <c r="H755" s="300"/>
      <c r="I755" s="295"/>
      <c r="J755" s="295"/>
      <c r="K755" s="296"/>
      <c r="L755" s="301"/>
      <c r="M755" s="297"/>
      <c r="N755" s="298"/>
      <c r="P755" s="190" t="str">
        <f>IF(R755 = "", "", COUNT(R$4:$R755))</f>
        <v/>
      </c>
      <c r="Q755" s="190" t="str">
        <f t="shared" si="111"/>
        <v/>
      </c>
      <c r="R755" s="191" t="str">
        <f t="shared" si="112"/>
        <v/>
      </c>
      <c r="S755" s="192" t="str">
        <f t="shared" si="114"/>
        <v/>
      </c>
      <c r="T755" s="193" t="str">
        <f t="shared" si="115"/>
        <v/>
      </c>
      <c r="U755" s="194" t="str">
        <f t="shared" si="116"/>
        <v/>
      </c>
      <c r="V755" s="195" t="str">
        <f t="shared" si="113"/>
        <v/>
      </c>
      <c r="W755" s="336" t="str">
        <f t="shared" si="117"/>
        <v/>
      </c>
      <c r="X755" s="338" t="str">
        <f t="shared" si="118"/>
        <v/>
      </c>
      <c r="Y755" s="274"/>
      <c r="AR755" t="str">
        <f t="shared" si="119"/>
        <v/>
      </c>
      <c r="AS755" t="str">
        <f t="shared" si="120"/>
        <v/>
      </c>
    </row>
    <row r="756" spans="1:45">
      <c r="A756" s="291"/>
      <c r="B756" s="292"/>
      <c r="C756" s="293"/>
      <c r="D756" s="293"/>
      <c r="E756" s="293"/>
      <c r="F756" s="293"/>
      <c r="G756" s="294"/>
      <c r="H756" s="300"/>
      <c r="I756" s="295"/>
      <c r="J756" s="295"/>
      <c r="K756" s="296"/>
      <c r="L756" s="301"/>
      <c r="M756" s="297"/>
      <c r="N756" s="298"/>
      <c r="P756" s="190" t="str">
        <f>IF(R756 = "", "", COUNT(R$4:$R756))</f>
        <v/>
      </c>
      <c r="Q756" s="190" t="str">
        <f t="shared" si="111"/>
        <v/>
      </c>
      <c r="R756" s="191" t="str">
        <f t="shared" si="112"/>
        <v/>
      </c>
      <c r="S756" s="192" t="str">
        <f t="shared" si="114"/>
        <v/>
      </c>
      <c r="T756" s="193" t="str">
        <f t="shared" si="115"/>
        <v/>
      </c>
      <c r="U756" s="194" t="str">
        <f t="shared" si="116"/>
        <v/>
      </c>
      <c r="V756" s="195" t="str">
        <f t="shared" si="113"/>
        <v/>
      </c>
      <c r="W756" s="336" t="str">
        <f t="shared" si="117"/>
        <v/>
      </c>
      <c r="X756" s="338" t="str">
        <f t="shared" si="118"/>
        <v/>
      </c>
      <c r="Y756" s="274"/>
      <c r="AR756" t="str">
        <f t="shared" si="119"/>
        <v/>
      </c>
      <c r="AS756" t="str">
        <f t="shared" si="120"/>
        <v/>
      </c>
    </row>
    <row r="757" spans="1:45">
      <c r="A757" s="291"/>
      <c r="B757" s="292"/>
      <c r="C757" s="293"/>
      <c r="D757" s="293"/>
      <c r="E757" s="293"/>
      <c r="F757" s="293"/>
      <c r="G757" s="294"/>
      <c r="H757" s="300"/>
      <c r="I757" s="295"/>
      <c r="J757" s="295"/>
      <c r="K757" s="296"/>
      <c r="L757" s="301"/>
      <c r="M757" s="297"/>
      <c r="N757" s="298"/>
      <c r="P757" s="190" t="str">
        <f>IF(R757 = "", "", COUNT(R$4:$R757))</f>
        <v/>
      </c>
      <c r="Q757" s="190" t="str">
        <f t="shared" si="111"/>
        <v/>
      </c>
      <c r="R757" s="191" t="str">
        <f t="shared" si="112"/>
        <v/>
      </c>
      <c r="S757" s="192" t="str">
        <f t="shared" si="114"/>
        <v/>
      </c>
      <c r="T757" s="193" t="str">
        <f t="shared" si="115"/>
        <v/>
      </c>
      <c r="U757" s="194" t="str">
        <f t="shared" si="116"/>
        <v/>
      </c>
      <c r="V757" s="195" t="str">
        <f t="shared" si="113"/>
        <v/>
      </c>
      <c r="W757" s="336" t="str">
        <f t="shared" si="117"/>
        <v/>
      </c>
      <c r="X757" s="338" t="str">
        <f t="shared" si="118"/>
        <v/>
      </c>
      <c r="Y757" s="274"/>
      <c r="AR757" t="str">
        <f t="shared" si="119"/>
        <v/>
      </c>
      <c r="AS757" t="str">
        <f t="shared" si="120"/>
        <v/>
      </c>
    </row>
    <row r="758" spans="1:45">
      <c r="A758" s="291"/>
      <c r="B758" s="292"/>
      <c r="C758" s="293"/>
      <c r="D758" s="293"/>
      <c r="E758" s="293"/>
      <c r="F758" s="293"/>
      <c r="G758" s="294"/>
      <c r="H758" s="300"/>
      <c r="I758" s="295"/>
      <c r="J758" s="295"/>
      <c r="K758" s="296"/>
      <c r="L758" s="301"/>
      <c r="M758" s="297"/>
      <c r="N758" s="298"/>
      <c r="P758" s="190" t="str">
        <f>IF(R758 = "", "", COUNT(R$4:$R758))</f>
        <v/>
      </c>
      <c r="Q758" s="190" t="str">
        <f t="shared" si="111"/>
        <v/>
      </c>
      <c r="R758" s="191" t="str">
        <f t="shared" si="112"/>
        <v/>
      </c>
      <c r="S758" s="192" t="str">
        <f t="shared" si="114"/>
        <v/>
      </c>
      <c r="T758" s="193" t="str">
        <f t="shared" si="115"/>
        <v/>
      </c>
      <c r="U758" s="194" t="str">
        <f t="shared" si="116"/>
        <v/>
      </c>
      <c r="V758" s="195" t="str">
        <f t="shared" si="113"/>
        <v/>
      </c>
      <c r="W758" s="336" t="str">
        <f t="shared" si="117"/>
        <v/>
      </c>
      <c r="X758" s="338" t="str">
        <f t="shared" si="118"/>
        <v/>
      </c>
      <c r="Y758" s="274"/>
      <c r="AR758" t="str">
        <f t="shared" si="119"/>
        <v/>
      </c>
      <c r="AS758" t="str">
        <f t="shared" si="120"/>
        <v/>
      </c>
    </row>
    <row r="759" spans="1:45">
      <c r="A759" s="291"/>
      <c r="B759" s="292"/>
      <c r="C759" s="293"/>
      <c r="D759" s="293"/>
      <c r="E759" s="293"/>
      <c r="F759" s="293"/>
      <c r="G759" s="294"/>
      <c r="H759" s="300"/>
      <c r="I759" s="295"/>
      <c r="J759" s="295"/>
      <c r="K759" s="296"/>
      <c r="L759" s="301"/>
      <c r="M759" s="297"/>
      <c r="N759" s="298"/>
      <c r="P759" s="190" t="str">
        <f>IF(R759 = "", "", COUNT(R$4:$R759))</f>
        <v/>
      </c>
      <c r="Q759" s="190" t="str">
        <f t="shared" si="111"/>
        <v/>
      </c>
      <c r="R759" s="191" t="str">
        <f t="shared" si="112"/>
        <v/>
      </c>
      <c r="S759" s="192" t="str">
        <f t="shared" si="114"/>
        <v/>
      </c>
      <c r="T759" s="193" t="str">
        <f t="shared" si="115"/>
        <v/>
      </c>
      <c r="U759" s="194" t="str">
        <f t="shared" si="116"/>
        <v/>
      </c>
      <c r="V759" s="195" t="str">
        <f t="shared" si="113"/>
        <v/>
      </c>
      <c r="W759" s="336" t="str">
        <f t="shared" si="117"/>
        <v/>
      </c>
      <c r="X759" s="338" t="str">
        <f t="shared" si="118"/>
        <v/>
      </c>
      <c r="Y759" s="274"/>
      <c r="AR759" t="str">
        <f t="shared" si="119"/>
        <v/>
      </c>
      <c r="AS759" t="str">
        <f t="shared" si="120"/>
        <v/>
      </c>
    </row>
    <row r="760" spans="1:45">
      <c r="A760" s="291"/>
      <c r="B760" s="292"/>
      <c r="C760" s="293"/>
      <c r="D760" s="293"/>
      <c r="E760" s="293"/>
      <c r="F760" s="293"/>
      <c r="G760" s="294"/>
      <c r="H760" s="300"/>
      <c r="I760" s="295"/>
      <c r="J760" s="295"/>
      <c r="K760" s="296"/>
      <c r="L760" s="301"/>
      <c r="M760" s="297"/>
      <c r="N760" s="298"/>
      <c r="P760" s="190" t="str">
        <f>IF(R760 = "", "", COUNT(R$4:$R760))</f>
        <v/>
      </c>
      <c r="Q760" s="190" t="str">
        <f t="shared" si="111"/>
        <v/>
      </c>
      <c r="R760" s="191" t="str">
        <f t="shared" si="112"/>
        <v/>
      </c>
      <c r="S760" s="192" t="str">
        <f t="shared" si="114"/>
        <v/>
      </c>
      <c r="T760" s="193" t="str">
        <f t="shared" si="115"/>
        <v/>
      </c>
      <c r="U760" s="194" t="str">
        <f t="shared" si="116"/>
        <v/>
      </c>
      <c r="V760" s="195" t="str">
        <f t="shared" si="113"/>
        <v/>
      </c>
      <c r="W760" s="336" t="str">
        <f t="shared" si="117"/>
        <v/>
      </c>
      <c r="X760" s="338" t="str">
        <f t="shared" si="118"/>
        <v/>
      </c>
      <c r="Y760" s="274"/>
      <c r="AR760" t="str">
        <f t="shared" si="119"/>
        <v/>
      </c>
      <c r="AS760" t="str">
        <f t="shared" si="120"/>
        <v/>
      </c>
    </row>
    <row r="761" spans="1:45">
      <c r="A761" s="291"/>
      <c r="B761" s="292"/>
      <c r="C761" s="293"/>
      <c r="D761" s="293"/>
      <c r="E761" s="293"/>
      <c r="F761" s="293"/>
      <c r="G761" s="294"/>
      <c r="H761" s="300"/>
      <c r="I761" s="295"/>
      <c r="J761" s="295"/>
      <c r="K761" s="296"/>
      <c r="L761" s="301"/>
      <c r="M761" s="297"/>
      <c r="N761" s="298"/>
      <c r="P761" s="190" t="str">
        <f>IF(R761 = "", "", COUNT(R$4:$R761))</f>
        <v/>
      </c>
      <c r="Q761" s="190" t="str">
        <f t="shared" si="111"/>
        <v/>
      </c>
      <c r="R761" s="191" t="str">
        <f t="shared" si="112"/>
        <v/>
      </c>
      <c r="S761" s="192" t="str">
        <f t="shared" si="114"/>
        <v/>
      </c>
      <c r="T761" s="193" t="str">
        <f t="shared" si="115"/>
        <v/>
      </c>
      <c r="U761" s="194" t="str">
        <f t="shared" si="116"/>
        <v/>
      </c>
      <c r="V761" s="195" t="str">
        <f t="shared" si="113"/>
        <v/>
      </c>
      <c r="W761" s="336" t="str">
        <f t="shared" si="117"/>
        <v/>
      </c>
      <c r="X761" s="338" t="str">
        <f t="shared" si="118"/>
        <v/>
      </c>
      <c r="Y761" s="274"/>
      <c r="AR761" t="str">
        <f t="shared" si="119"/>
        <v/>
      </c>
      <c r="AS761" t="str">
        <f t="shared" si="120"/>
        <v/>
      </c>
    </row>
    <row r="762" spans="1:45">
      <c r="A762" s="291"/>
      <c r="B762" s="292"/>
      <c r="C762" s="293"/>
      <c r="D762" s="293"/>
      <c r="E762" s="293"/>
      <c r="F762" s="293"/>
      <c r="G762" s="294"/>
      <c r="H762" s="300"/>
      <c r="I762" s="295"/>
      <c r="J762" s="295"/>
      <c r="K762" s="296"/>
      <c r="L762" s="301"/>
      <c r="M762" s="297"/>
      <c r="N762" s="298"/>
      <c r="P762" s="190" t="str">
        <f>IF(R762 = "", "", COUNT(R$4:$R762))</f>
        <v/>
      </c>
      <c r="Q762" s="190" t="str">
        <f t="shared" si="111"/>
        <v/>
      </c>
      <c r="R762" s="191" t="str">
        <f t="shared" si="112"/>
        <v/>
      </c>
      <c r="S762" s="192" t="str">
        <f t="shared" si="114"/>
        <v/>
      </c>
      <c r="T762" s="193" t="str">
        <f t="shared" si="115"/>
        <v/>
      </c>
      <c r="U762" s="194" t="str">
        <f t="shared" si="116"/>
        <v/>
      </c>
      <c r="V762" s="195" t="str">
        <f t="shared" si="113"/>
        <v/>
      </c>
      <c r="W762" s="336" t="str">
        <f t="shared" si="117"/>
        <v/>
      </c>
      <c r="X762" s="338" t="str">
        <f t="shared" si="118"/>
        <v/>
      </c>
      <c r="Y762" s="274"/>
      <c r="AR762" t="str">
        <f t="shared" si="119"/>
        <v/>
      </c>
      <c r="AS762" t="str">
        <f t="shared" si="120"/>
        <v/>
      </c>
    </row>
    <row r="763" spans="1:45">
      <c r="A763" s="291"/>
      <c r="B763" s="292"/>
      <c r="C763" s="293"/>
      <c r="D763" s="293"/>
      <c r="E763" s="293"/>
      <c r="F763" s="293"/>
      <c r="G763" s="294"/>
      <c r="H763" s="300"/>
      <c r="I763" s="295"/>
      <c r="J763" s="295"/>
      <c r="K763" s="296"/>
      <c r="L763" s="301"/>
      <c r="M763" s="297"/>
      <c r="N763" s="298"/>
      <c r="P763" s="190" t="str">
        <f>IF(R763 = "", "", COUNT(R$4:$R763))</f>
        <v/>
      </c>
      <c r="Q763" s="190" t="str">
        <f t="shared" si="111"/>
        <v/>
      </c>
      <c r="R763" s="191" t="str">
        <f t="shared" si="112"/>
        <v/>
      </c>
      <c r="S763" s="192" t="str">
        <f t="shared" si="114"/>
        <v/>
      </c>
      <c r="T763" s="193" t="str">
        <f t="shared" si="115"/>
        <v/>
      </c>
      <c r="U763" s="194" t="str">
        <f t="shared" si="116"/>
        <v/>
      </c>
      <c r="V763" s="195" t="str">
        <f t="shared" si="113"/>
        <v/>
      </c>
      <c r="W763" s="336" t="str">
        <f t="shared" si="117"/>
        <v/>
      </c>
      <c r="X763" s="338" t="str">
        <f t="shared" si="118"/>
        <v/>
      </c>
      <c r="Y763" s="274"/>
      <c r="AR763" t="str">
        <f t="shared" si="119"/>
        <v/>
      </c>
      <c r="AS763" t="str">
        <f t="shared" si="120"/>
        <v/>
      </c>
    </row>
    <row r="764" spans="1:45">
      <c r="A764" s="291"/>
      <c r="B764" s="292"/>
      <c r="C764" s="293"/>
      <c r="D764" s="293"/>
      <c r="E764" s="293"/>
      <c r="F764" s="293"/>
      <c r="G764" s="294"/>
      <c r="H764" s="300"/>
      <c r="I764" s="295"/>
      <c r="J764" s="295"/>
      <c r="K764" s="296"/>
      <c r="L764" s="301"/>
      <c r="M764" s="297"/>
      <c r="N764" s="298"/>
      <c r="P764" s="190" t="str">
        <f>IF(R764 = "", "", COUNT(R$4:$R764))</f>
        <v/>
      </c>
      <c r="Q764" s="190" t="str">
        <f t="shared" si="111"/>
        <v/>
      </c>
      <c r="R764" s="191" t="str">
        <f t="shared" si="112"/>
        <v/>
      </c>
      <c r="S764" s="192" t="str">
        <f t="shared" si="114"/>
        <v/>
      </c>
      <c r="T764" s="193" t="str">
        <f t="shared" si="115"/>
        <v/>
      </c>
      <c r="U764" s="194" t="str">
        <f t="shared" si="116"/>
        <v/>
      </c>
      <c r="V764" s="195" t="str">
        <f t="shared" si="113"/>
        <v/>
      </c>
      <c r="W764" s="336" t="str">
        <f t="shared" si="117"/>
        <v/>
      </c>
      <c r="X764" s="338" t="str">
        <f t="shared" si="118"/>
        <v/>
      </c>
      <c r="Y764" s="274"/>
      <c r="AR764" t="str">
        <f t="shared" si="119"/>
        <v/>
      </c>
      <c r="AS764" t="str">
        <f t="shared" si="120"/>
        <v/>
      </c>
    </row>
    <row r="765" spans="1:45">
      <c r="A765" s="291"/>
      <c r="B765" s="292"/>
      <c r="C765" s="293"/>
      <c r="D765" s="293"/>
      <c r="E765" s="293"/>
      <c r="F765" s="293"/>
      <c r="G765" s="294"/>
      <c r="H765" s="300"/>
      <c r="I765" s="295"/>
      <c r="J765" s="295"/>
      <c r="K765" s="296"/>
      <c r="L765" s="301"/>
      <c r="M765" s="297"/>
      <c r="N765" s="298"/>
      <c r="P765" s="190" t="str">
        <f>IF(R765 = "", "", COUNT(R$4:$R765))</f>
        <v/>
      </c>
      <c r="Q765" s="190" t="str">
        <f t="shared" si="111"/>
        <v/>
      </c>
      <c r="R765" s="191" t="str">
        <f t="shared" si="112"/>
        <v/>
      </c>
      <c r="S765" s="192" t="str">
        <f t="shared" si="114"/>
        <v/>
      </c>
      <c r="T765" s="193" t="str">
        <f t="shared" si="115"/>
        <v/>
      </c>
      <c r="U765" s="194" t="str">
        <f t="shared" si="116"/>
        <v/>
      </c>
      <c r="V765" s="195" t="str">
        <f t="shared" si="113"/>
        <v/>
      </c>
      <c r="W765" s="336" t="str">
        <f t="shared" si="117"/>
        <v/>
      </c>
      <c r="X765" s="338" t="str">
        <f t="shared" si="118"/>
        <v/>
      </c>
      <c r="Y765" s="274"/>
      <c r="AR765" t="str">
        <f t="shared" si="119"/>
        <v/>
      </c>
      <c r="AS765" t="str">
        <f t="shared" si="120"/>
        <v/>
      </c>
    </row>
    <row r="766" spans="1:45">
      <c r="A766" s="291"/>
      <c r="B766" s="292"/>
      <c r="C766" s="293"/>
      <c r="D766" s="293"/>
      <c r="E766" s="293"/>
      <c r="F766" s="293"/>
      <c r="G766" s="294"/>
      <c r="H766" s="300"/>
      <c r="I766" s="295"/>
      <c r="J766" s="295"/>
      <c r="K766" s="296"/>
      <c r="L766" s="301"/>
      <c r="M766" s="297"/>
      <c r="N766" s="298"/>
      <c r="P766" s="190" t="str">
        <f>IF(R766 = "", "", COUNT(R$4:$R766))</f>
        <v/>
      </c>
      <c r="Q766" s="190" t="str">
        <f t="shared" si="111"/>
        <v/>
      </c>
      <c r="R766" s="191" t="str">
        <f t="shared" si="112"/>
        <v/>
      </c>
      <c r="S766" s="192" t="str">
        <f t="shared" si="114"/>
        <v/>
      </c>
      <c r="T766" s="193" t="str">
        <f t="shared" si="115"/>
        <v/>
      </c>
      <c r="U766" s="194" t="str">
        <f t="shared" si="116"/>
        <v/>
      </c>
      <c r="V766" s="195" t="str">
        <f t="shared" si="113"/>
        <v/>
      </c>
      <c r="W766" s="336" t="str">
        <f t="shared" si="117"/>
        <v/>
      </c>
      <c r="X766" s="338" t="str">
        <f t="shared" si="118"/>
        <v/>
      </c>
      <c r="Y766" s="274"/>
      <c r="AR766" t="str">
        <f t="shared" si="119"/>
        <v/>
      </c>
      <c r="AS766" t="str">
        <f t="shared" si="120"/>
        <v/>
      </c>
    </row>
    <row r="767" spans="1:45">
      <c r="A767" s="291"/>
      <c r="B767" s="292"/>
      <c r="C767" s="293"/>
      <c r="D767" s="293"/>
      <c r="E767" s="293"/>
      <c r="F767" s="293"/>
      <c r="G767" s="294"/>
      <c r="H767" s="300"/>
      <c r="I767" s="295"/>
      <c r="J767" s="295"/>
      <c r="K767" s="296"/>
      <c r="L767" s="301"/>
      <c r="M767" s="297"/>
      <c r="N767" s="298"/>
      <c r="P767" s="190" t="str">
        <f>IF(R767 = "", "", COUNT(R$4:$R767))</f>
        <v/>
      </c>
      <c r="Q767" s="190" t="str">
        <f t="shared" si="111"/>
        <v/>
      </c>
      <c r="R767" s="191" t="str">
        <f t="shared" si="112"/>
        <v/>
      </c>
      <c r="S767" s="192" t="str">
        <f t="shared" si="114"/>
        <v/>
      </c>
      <c r="T767" s="193" t="str">
        <f t="shared" si="115"/>
        <v/>
      </c>
      <c r="U767" s="194" t="str">
        <f t="shared" si="116"/>
        <v/>
      </c>
      <c r="V767" s="195" t="str">
        <f t="shared" si="113"/>
        <v/>
      </c>
      <c r="W767" s="336" t="str">
        <f t="shared" si="117"/>
        <v/>
      </c>
      <c r="X767" s="338" t="str">
        <f t="shared" si="118"/>
        <v/>
      </c>
      <c r="Y767" s="274"/>
      <c r="AR767" t="str">
        <f t="shared" si="119"/>
        <v/>
      </c>
      <c r="AS767" t="str">
        <f t="shared" si="120"/>
        <v/>
      </c>
    </row>
    <row r="768" spans="1:45">
      <c r="A768" s="291"/>
      <c r="B768" s="292"/>
      <c r="C768" s="293"/>
      <c r="D768" s="293"/>
      <c r="E768" s="293"/>
      <c r="F768" s="293"/>
      <c r="G768" s="294"/>
      <c r="H768" s="300"/>
      <c r="I768" s="295"/>
      <c r="J768" s="295"/>
      <c r="K768" s="296"/>
      <c r="L768" s="301"/>
      <c r="M768" s="297"/>
      <c r="N768" s="298"/>
      <c r="P768" s="190" t="str">
        <f>IF(R768 = "", "", COUNT(R$4:$R768))</f>
        <v/>
      </c>
      <c r="Q768" s="190" t="str">
        <f t="shared" si="111"/>
        <v/>
      </c>
      <c r="R768" s="191" t="str">
        <f t="shared" si="112"/>
        <v/>
      </c>
      <c r="S768" s="192" t="str">
        <f t="shared" si="114"/>
        <v/>
      </c>
      <c r="T768" s="193" t="str">
        <f t="shared" si="115"/>
        <v/>
      </c>
      <c r="U768" s="194" t="str">
        <f t="shared" si="116"/>
        <v/>
      </c>
      <c r="V768" s="195" t="str">
        <f t="shared" si="113"/>
        <v/>
      </c>
      <c r="W768" s="336" t="str">
        <f t="shared" si="117"/>
        <v/>
      </c>
      <c r="X768" s="338" t="str">
        <f t="shared" si="118"/>
        <v/>
      </c>
      <c r="Y768" s="274"/>
      <c r="AR768" t="str">
        <f t="shared" si="119"/>
        <v/>
      </c>
      <c r="AS768" t="str">
        <f t="shared" si="120"/>
        <v/>
      </c>
    </row>
    <row r="769" spans="1:45">
      <c r="A769" s="291"/>
      <c r="B769" s="292"/>
      <c r="C769" s="293"/>
      <c r="D769" s="293"/>
      <c r="E769" s="293"/>
      <c r="F769" s="293"/>
      <c r="G769" s="294"/>
      <c r="H769" s="300"/>
      <c r="I769" s="295"/>
      <c r="J769" s="295"/>
      <c r="K769" s="296"/>
      <c r="L769" s="301"/>
      <c r="M769" s="297"/>
      <c r="N769" s="298"/>
      <c r="P769" s="190" t="str">
        <f>IF(R769 = "", "", COUNT(R$4:$R769))</f>
        <v/>
      </c>
      <c r="Q769" s="190" t="str">
        <f t="shared" si="111"/>
        <v/>
      </c>
      <c r="R769" s="191" t="str">
        <f t="shared" si="112"/>
        <v/>
      </c>
      <c r="S769" s="192" t="str">
        <f t="shared" si="114"/>
        <v/>
      </c>
      <c r="T769" s="193" t="str">
        <f t="shared" si="115"/>
        <v/>
      </c>
      <c r="U769" s="194" t="str">
        <f t="shared" si="116"/>
        <v/>
      </c>
      <c r="V769" s="195" t="str">
        <f t="shared" si="113"/>
        <v/>
      </c>
      <c r="W769" s="336" t="str">
        <f t="shared" si="117"/>
        <v/>
      </c>
      <c r="X769" s="338" t="str">
        <f t="shared" si="118"/>
        <v/>
      </c>
      <c r="Y769" s="274"/>
      <c r="AR769" t="str">
        <f t="shared" si="119"/>
        <v/>
      </c>
      <c r="AS769" t="str">
        <f t="shared" si="120"/>
        <v/>
      </c>
    </row>
    <row r="770" spans="1:45">
      <c r="A770" s="291"/>
      <c r="B770" s="292"/>
      <c r="C770" s="293"/>
      <c r="D770" s="293"/>
      <c r="E770" s="293"/>
      <c r="F770" s="293"/>
      <c r="G770" s="294"/>
      <c r="H770" s="300"/>
      <c r="I770" s="295"/>
      <c r="J770" s="295"/>
      <c r="K770" s="296"/>
      <c r="L770" s="301"/>
      <c r="M770" s="297"/>
      <c r="N770" s="298"/>
      <c r="P770" s="190" t="str">
        <f>IF(R770 = "", "", COUNT(R$4:$R770))</f>
        <v/>
      </c>
      <c r="Q770" s="190" t="str">
        <f t="shared" si="111"/>
        <v/>
      </c>
      <c r="R770" s="191" t="str">
        <f t="shared" si="112"/>
        <v/>
      </c>
      <c r="S770" s="192" t="str">
        <f t="shared" si="114"/>
        <v/>
      </c>
      <c r="T770" s="193" t="str">
        <f t="shared" si="115"/>
        <v/>
      </c>
      <c r="U770" s="194" t="str">
        <f t="shared" si="116"/>
        <v/>
      </c>
      <c r="V770" s="195" t="str">
        <f t="shared" si="113"/>
        <v/>
      </c>
      <c r="W770" s="336" t="str">
        <f t="shared" si="117"/>
        <v/>
      </c>
      <c r="X770" s="338" t="str">
        <f t="shared" si="118"/>
        <v/>
      </c>
      <c r="Y770" s="274"/>
      <c r="AR770" t="str">
        <f t="shared" si="119"/>
        <v/>
      </c>
      <c r="AS770" t="str">
        <f t="shared" si="120"/>
        <v/>
      </c>
    </row>
    <row r="771" spans="1:45">
      <c r="A771" s="291"/>
      <c r="B771" s="292"/>
      <c r="C771" s="293"/>
      <c r="D771" s="293"/>
      <c r="E771" s="293"/>
      <c r="F771" s="293"/>
      <c r="G771" s="294"/>
      <c r="H771" s="300"/>
      <c r="I771" s="295"/>
      <c r="J771" s="295"/>
      <c r="K771" s="296"/>
      <c r="L771" s="301"/>
      <c r="M771" s="297"/>
      <c r="N771" s="298"/>
      <c r="P771" s="190" t="str">
        <f>IF(R771 = "", "", COUNT(R$4:$R771))</f>
        <v/>
      </c>
      <c r="Q771" s="190" t="str">
        <f t="shared" si="111"/>
        <v/>
      </c>
      <c r="R771" s="191" t="str">
        <f t="shared" si="112"/>
        <v/>
      </c>
      <c r="S771" s="192" t="str">
        <f t="shared" si="114"/>
        <v/>
      </c>
      <c r="T771" s="193" t="str">
        <f t="shared" si="115"/>
        <v/>
      </c>
      <c r="U771" s="194" t="str">
        <f t="shared" si="116"/>
        <v/>
      </c>
      <c r="V771" s="195" t="str">
        <f t="shared" si="113"/>
        <v/>
      </c>
      <c r="W771" s="336" t="str">
        <f t="shared" si="117"/>
        <v/>
      </c>
      <c r="X771" s="338" t="str">
        <f t="shared" si="118"/>
        <v/>
      </c>
      <c r="Y771" s="274"/>
      <c r="AR771" t="str">
        <f t="shared" si="119"/>
        <v/>
      </c>
      <c r="AS771" t="str">
        <f t="shared" si="120"/>
        <v/>
      </c>
    </row>
    <row r="772" spans="1:45">
      <c r="A772" s="291"/>
      <c r="B772" s="292"/>
      <c r="C772" s="293"/>
      <c r="D772" s="293"/>
      <c r="E772" s="293"/>
      <c r="F772" s="293"/>
      <c r="G772" s="294"/>
      <c r="H772" s="300"/>
      <c r="I772" s="295"/>
      <c r="J772" s="295"/>
      <c r="K772" s="296"/>
      <c r="L772" s="301"/>
      <c r="M772" s="297"/>
      <c r="N772" s="298"/>
      <c r="P772" s="190" t="str">
        <f>IF(R772 = "", "", COUNT(R$4:$R772))</f>
        <v/>
      </c>
      <c r="Q772" s="190" t="str">
        <f t="shared" ref="Q772:Q835" si="121">IF(C772 &gt; 0, YEAR(B772), "")</f>
        <v/>
      </c>
      <c r="R772" s="191" t="str">
        <f t="shared" ref="R772:R835" si="122">IF(A772="", "", IF(G772="",1,IF(G772="O",1,IF(G772="C",8.4,IF(G772="B",8.4,IF(G772="A",76.8,IF(G772="K",76.8,"ERR")))))))</f>
        <v/>
      </c>
      <c r="S772" s="192" t="str">
        <f t="shared" si="114"/>
        <v/>
      </c>
      <c r="T772" s="193" t="str">
        <f t="shared" si="115"/>
        <v/>
      </c>
      <c r="U772" s="194" t="str">
        <f t="shared" si="116"/>
        <v/>
      </c>
      <c r="V772" s="195" t="str">
        <f t="shared" ref="V772:V835" si="123">IF(IF(M772&lt;&gt;"",G772,"")=0, "O", IF(M772&lt;&gt;"",G772,""))</f>
        <v/>
      </c>
      <c r="W772" s="336" t="str">
        <f t="shared" si="117"/>
        <v/>
      </c>
      <c r="X772" s="338" t="str">
        <f t="shared" si="118"/>
        <v/>
      </c>
      <c r="Y772" s="274"/>
      <c r="AR772" t="str">
        <f t="shared" si="119"/>
        <v/>
      </c>
      <c r="AS772" t="str">
        <f t="shared" si="120"/>
        <v/>
      </c>
    </row>
    <row r="773" spans="1:45">
      <c r="A773" s="291"/>
      <c r="B773" s="292"/>
      <c r="C773" s="293"/>
      <c r="D773" s="293"/>
      <c r="E773" s="293"/>
      <c r="F773" s="293"/>
      <c r="G773" s="294"/>
      <c r="H773" s="300"/>
      <c r="I773" s="295"/>
      <c r="J773" s="295"/>
      <c r="K773" s="296"/>
      <c r="L773" s="301"/>
      <c r="M773" s="297"/>
      <c r="N773" s="298"/>
      <c r="P773" s="190" t="str">
        <f>IF(R773 = "", "", COUNT(R$4:$R773))</f>
        <v/>
      </c>
      <c r="Q773" s="190" t="str">
        <f t="shared" si="121"/>
        <v/>
      </c>
      <c r="R773" s="191" t="str">
        <f t="shared" si="122"/>
        <v/>
      </c>
      <c r="S773" s="192" t="str">
        <f t="shared" ref="S773:S836" si="124">IF(L773&lt;&gt;"",R773,"")</f>
        <v/>
      </c>
      <c r="T773" s="193" t="str">
        <f t="shared" ref="T773:T836" si="125">IF(IF(L773&lt;&gt;"",G773,"")=0, "O", IF(L773&lt;&gt;"",G773,""))</f>
        <v/>
      </c>
      <c r="U773" s="194" t="str">
        <f t="shared" ref="U773:U836" si="126">IF(M773&lt;&gt;"",R773,"")</f>
        <v/>
      </c>
      <c r="V773" s="195" t="str">
        <f t="shared" si="123"/>
        <v/>
      </c>
      <c r="W773" s="336" t="str">
        <f t="shared" ref="W773:W836" si="127">IF(N773&lt;&gt;"",R773,"")</f>
        <v/>
      </c>
      <c r="X773" s="338" t="str">
        <f t="shared" ref="X773:X836" si="128">IF(IF(N773&lt;&gt;"",G773,"")=0, "O", IF(N773&lt;&gt;"",G773,""))</f>
        <v/>
      </c>
      <c r="Y773" s="274"/>
      <c r="AR773" t="str">
        <f t="shared" ref="AR773:AR836" si="129">IF(P773&gt;0, P773, "")</f>
        <v/>
      </c>
      <c r="AS773" t="str">
        <f t="shared" ref="AS773:AS836" si="130">IF(OR(L773="Y",M773="Y",N773="Y"),"Y","")</f>
        <v/>
      </c>
    </row>
    <row r="774" spans="1:45">
      <c r="A774" s="291"/>
      <c r="B774" s="292"/>
      <c r="C774" s="293"/>
      <c r="D774" s="293"/>
      <c r="E774" s="293"/>
      <c r="F774" s="293"/>
      <c r="G774" s="294"/>
      <c r="H774" s="300"/>
      <c r="I774" s="295"/>
      <c r="J774" s="295"/>
      <c r="K774" s="296"/>
      <c r="L774" s="301"/>
      <c r="M774" s="297"/>
      <c r="N774" s="298"/>
      <c r="P774" s="190" t="str">
        <f>IF(R774 = "", "", COUNT(R$4:$R774))</f>
        <v/>
      </c>
      <c r="Q774" s="190" t="str">
        <f t="shared" si="121"/>
        <v/>
      </c>
      <c r="R774" s="191" t="str">
        <f t="shared" si="122"/>
        <v/>
      </c>
      <c r="S774" s="192" t="str">
        <f t="shared" si="124"/>
        <v/>
      </c>
      <c r="T774" s="193" t="str">
        <f t="shared" si="125"/>
        <v/>
      </c>
      <c r="U774" s="194" t="str">
        <f t="shared" si="126"/>
        <v/>
      </c>
      <c r="V774" s="195" t="str">
        <f t="shared" si="123"/>
        <v/>
      </c>
      <c r="W774" s="336" t="str">
        <f t="shared" si="127"/>
        <v/>
      </c>
      <c r="X774" s="338" t="str">
        <f t="shared" si="128"/>
        <v/>
      </c>
      <c r="Y774" s="274"/>
      <c r="AR774" t="str">
        <f t="shared" si="129"/>
        <v/>
      </c>
      <c r="AS774" t="str">
        <f t="shared" si="130"/>
        <v/>
      </c>
    </row>
    <row r="775" spans="1:45">
      <c r="A775" s="291"/>
      <c r="B775" s="292"/>
      <c r="C775" s="293"/>
      <c r="D775" s="293"/>
      <c r="E775" s="293"/>
      <c r="F775" s="293"/>
      <c r="G775" s="294"/>
      <c r="H775" s="300"/>
      <c r="I775" s="295"/>
      <c r="J775" s="295"/>
      <c r="K775" s="296"/>
      <c r="L775" s="301"/>
      <c r="M775" s="297"/>
      <c r="N775" s="298"/>
      <c r="P775" s="190" t="str">
        <f>IF(R775 = "", "", COUNT(R$4:$R775))</f>
        <v/>
      </c>
      <c r="Q775" s="190" t="str">
        <f t="shared" si="121"/>
        <v/>
      </c>
      <c r="R775" s="191" t="str">
        <f t="shared" si="122"/>
        <v/>
      </c>
      <c r="S775" s="192" t="str">
        <f t="shared" si="124"/>
        <v/>
      </c>
      <c r="T775" s="193" t="str">
        <f t="shared" si="125"/>
        <v/>
      </c>
      <c r="U775" s="194" t="str">
        <f t="shared" si="126"/>
        <v/>
      </c>
      <c r="V775" s="195" t="str">
        <f t="shared" si="123"/>
        <v/>
      </c>
      <c r="W775" s="336" t="str">
        <f t="shared" si="127"/>
        <v/>
      </c>
      <c r="X775" s="338" t="str">
        <f t="shared" si="128"/>
        <v/>
      </c>
      <c r="Y775" s="274"/>
      <c r="AR775" t="str">
        <f t="shared" si="129"/>
        <v/>
      </c>
      <c r="AS775" t="str">
        <f t="shared" si="130"/>
        <v/>
      </c>
    </row>
    <row r="776" spans="1:45">
      <c r="A776" s="291"/>
      <c r="B776" s="292"/>
      <c r="C776" s="293"/>
      <c r="D776" s="293"/>
      <c r="E776" s="293"/>
      <c r="F776" s="293"/>
      <c r="G776" s="294"/>
      <c r="H776" s="300"/>
      <c r="I776" s="295"/>
      <c r="J776" s="295"/>
      <c r="K776" s="296"/>
      <c r="L776" s="301"/>
      <c r="M776" s="297"/>
      <c r="N776" s="298"/>
      <c r="P776" s="190" t="str">
        <f>IF(R776 = "", "", COUNT(R$4:$R776))</f>
        <v/>
      </c>
      <c r="Q776" s="190" t="str">
        <f t="shared" si="121"/>
        <v/>
      </c>
      <c r="R776" s="191" t="str">
        <f t="shared" si="122"/>
        <v/>
      </c>
      <c r="S776" s="192" t="str">
        <f t="shared" si="124"/>
        <v/>
      </c>
      <c r="T776" s="193" t="str">
        <f t="shared" si="125"/>
        <v/>
      </c>
      <c r="U776" s="194" t="str">
        <f t="shared" si="126"/>
        <v/>
      </c>
      <c r="V776" s="195" t="str">
        <f t="shared" si="123"/>
        <v/>
      </c>
      <c r="W776" s="336" t="str">
        <f t="shared" si="127"/>
        <v/>
      </c>
      <c r="X776" s="338" t="str">
        <f t="shared" si="128"/>
        <v/>
      </c>
      <c r="Y776" s="274"/>
      <c r="AR776" t="str">
        <f t="shared" si="129"/>
        <v/>
      </c>
      <c r="AS776" t="str">
        <f t="shared" si="130"/>
        <v/>
      </c>
    </row>
    <row r="777" spans="1:45">
      <c r="A777" s="291"/>
      <c r="B777" s="292"/>
      <c r="C777" s="293"/>
      <c r="D777" s="293"/>
      <c r="E777" s="293"/>
      <c r="F777" s="293"/>
      <c r="G777" s="294"/>
      <c r="H777" s="300"/>
      <c r="I777" s="295"/>
      <c r="J777" s="295"/>
      <c r="K777" s="296"/>
      <c r="L777" s="301"/>
      <c r="M777" s="297"/>
      <c r="N777" s="298"/>
      <c r="P777" s="190" t="str">
        <f>IF(R777 = "", "", COUNT(R$4:$R777))</f>
        <v/>
      </c>
      <c r="Q777" s="190" t="str">
        <f t="shared" si="121"/>
        <v/>
      </c>
      <c r="R777" s="191" t="str">
        <f t="shared" si="122"/>
        <v/>
      </c>
      <c r="S777" s="192" t="str">
        <f t="shared" si="124"/>
        <v/>
      </c>
      <c r="T777" s="193" t="str">
        <f t="shared" si="125"/>
        <v/>
      </c>
      <c r="U777" s="194" t="str">
        <f t="shared" si="126"/>
        <v/>
      </c>
      <c r="V777" s="195" t="str">
        <f t="shared" si="123"/>
        <v/>
      </c>
      <c r="W777" s="336" t="str">
        <f t="shared" si="127"/>
        <v/>
      </c>
      <c r="X777" s="338" t="str">
        <f t="shared" si="128"/>
        <v/>
      </c>
      <c r="Y777" s="274"/>
      <c r="AR777" t="str">
        <f t="shared" si="129"/>
        <v/>
      </c>
      <c r="AS777" t="str">
        <f t="shared" si="130"/>
        <v/>
      </c>
    </row>
    <row r="778" spans="1:45">
      <c r="A778" s="291"/>
      <c r="B778" s="292"/>
      <c r="C778" s="293"/>
      <c r="D778" s="293"/>
      <c r="E778" s="293"/>
      <c r="F778" s="293"/>
      <c r="G778" s="294"/>
      <c r="H778" s="300"/>
      <c r="I778" s="295"/>
      <c r="J778" s="295"/>
      <c r="K778" s="296"/>
      <c r="L778" s="301"/>
      <c r="M778" s="297"/>
      <c r="N778" s="298"/>
      <c r="P778" s="190" t="str">
        <f>IF(R778 = "", "", COUNT(R$4:$R778))</f>
        <v/>
      </c>
      <c r="Q778" s="190" t="str">
        <f t="shared" si="121"/>
        <v/>
      </c>
      <c r="R778" s="191" t="str">
        <f t="shared" si="122"/>
        <v/>
      </c>
      <c r="S778" s="192" t="str">
        <f t="shared" si="124"/>
        <v/>
      </c>
      <c r="T778" s="193" t="str">
        <f t="shared" si="125"/>
        <v/>
      </c>
      <c r="U778" s="194" t="str">
        <f t="shared" si="126"/>
        <v/>
      </c>
      <c r="V778" s="195" t="str">
        <f t="shared" si="123"/>
        <v/>
      </c>
      <c r="W778" s="336" t="str">
        <f t="shared" si="127"/>
        <v/>
      </c>
      <c r="X778" s="338" t="str">
        <f t="shared" si="128"/>
        <v/>
      </c>
      <c r="Y778" s="274"/>
      <c r="AR778" t="str">
        <f t="shared" si="129"/>
        <v/>
      </c>
      <c r="AS778" t="str">
        <f t="shared" si="130"/>
        <v/>
      </c>
    </row>
    <row r="779" spans="1:45">
      <c r="A779" s="291"/>
      <c r="B779" s="292"/>
      <c r="C779" s="293"/>
      <c r="D779" s="293"/>
      <c r="E779" s="293"/>
      <c r="F779" s="293"/>
      <c r="G779" s="294"/>
      <c r="H779" s="300"/>
      <c r="I779" s="295"/>
      <c r="J779" s="295"/>
      <c r="K779" s="296"/>
      <c r="L779" s="301"/>
      <c r="M779" s="297"/>
      <c r="N779" s="298"/>
      <c r="P779" s="190" t="str">
        <f>IF(R779 = "", "", COUNT(R$4:$R779))</f>
        <v/>
      </c>
      <c r="Q779" s="190" t="str">
        <f t="shared" si="121"/>
        <v/>
      </c>
      <c r="R779" s="191" t="str">
        <f t="shared" si="122"/>
        <v/>
      </c>
      <c r="S779" s="192" t="str">
        <f t="shared" si="124"/>
        <v/>
      </c>
      <c r="T779" s="193" t="str">
        <f t="shared" si="125"/>
        <v/>
      </c>
      <c r="U779" s="194" t="str">
        <f t="shared" si="126"/>
        <v/>
      </c>
      <c r="V779" s="195" t="str">
        <f t="shared" si="123"/>
        <v/>
      </c>
      <c r="W779" s="336" t="str">
        <f t="shared" si="127"/>
        <v/>
      </c>
      <c r="X779" s="338" t="str">
        <f t="shared" si="128"/>
        <v/>
      </c>
      <c r="Y779" s="274"/>
      <c r="AR779" t="str">
        <f t="shared" si="129"/>
        <v/>
      </c>
      <c r="AS779" t="str">
        <f t="shared" si="130"/>
        <v/>
      </c>
    </row>
    <row r="780" spans="1:45">
      <c r="A780" s="291"/>
      <c r="B780" s="292"/>
      <c r="C780" s="293"/>
      <c r="D780" s="293"/>
      <c r="E780" s="293"/>
      <c r="F780" s="293"/>
      <c r="G780" s="294"/>
      <c r="H780" s="300"/>
      <c r="I780" s="295"/>
      <c r="J780" s="295"/>
      <c r="K780" s="296"/>
      <c r="L780" s="301"/>
      <c r="M780" s="297"/>
      <c r="N780" s="298"/>
      <c r="P780" s="190" t="str">
        <f>IF(R780 = "", "", COUNT(R$4:$R780))</f>
        <v/>
      </c>
      <c r="Q780" s="190" t="str">
        <f t="shared" si="121"/>
        <v/>
      </c>
      <c r="R780" s="191" t="str">
        <f t="shared" si="122"/>
        <v/>
      </c>
      <c r="S780" s="192" t="str">
        <f t="shared" si="124"/>
        <v/>
      </c>
      <c r="T780" s="193" t="str">
        <f t="shared" si="125"/>
        <v/>
      </c>
      <c r="U780" s="194" t="str">
        <f t="shared" si="126"/>
        <v/>
      </c>
      <c r="V780" s="195" t="str">
        <f t="shared" si="123"/>
        <v/>
      </c>
      <c r="W780" s="336" t="str">
        <f t="shared" si="127"/>
        <v/>
      </c>
      <c r="X780" s="338" t="str">
        <f t="shared" si="128"/>
        <v/>
      </c>
      <c r="Y780" s="274"/>
      <c r="AR780" t="str">
        <f t="shared" si="129"/>
        <v/>
      </c>
      <c r="AS780" t="str">
        <f t="shared" si="130"/>
        <v/>
      </c>
    </row>
    <row r="781" spans="1:45">
      <c r="A781" s="291"/>
      <c r="B781" s="292"/>
      <c r="C781" s="293"/>
      <c r="D781" s="293"/>
      <c r="E781" s="293"/>
      <c r="F781" s="293"/>
      <c r="G781" s="294"/>
      <c r="H781" s="300"/>
      <c r="I781" s="295"/>
      <c r="J781" s="295"/>
      <c r="K781" s="296"/>
      <c r="L781" s="301"/>
      <c r="M781" s="297"/>
      <c r="N781" s="298"/>
      <c r="P781" s="190" t="str">
        <f>IF(R781 = "", "", COUNT(R$4:$R781))</f>
        <v/>
      </c>
      <c r="Q781" s="190" t="str">
        <f t="shared" si="121"/>
        <v/>
      </c>
      <c r="R781" s="191" t="str">
        <f t="shared" si="122"/>
        <v/>
      </c>
      <c r="S781" s="192" t="str">
        <f t="shared" si="124"/>
        <v/>
      </c>
      <c r="T781" s="193" t="str">
        <f t="shared" si="125"/>
        <v/>
      </c>
      <c r="U781" s="194" t="str">
        <f t="shared" si="126"/>
        <v/>
      </c>
      <c r="V781" s="195" t="str">
        <f t="shared" si="123"/>
        <v/>
      </c>
      <c r="W781" s="336" t="str">
        <f t="shared" si="127"/>
        <v/>
      </c>
      <c r="X781" s="338" t="str">
        <f t="shared" si="128"/>
        <v/>
      </c>
      <c r="Y781" s="274"/>
      <c r="AR781" t="str">
        <f t="shared" si="129"/>
        <v/>
      </c>
      <c r="AS781" t="str">
        <f t="shared" si="130"/>
        <v/>
      </c>
    </row>
    <row r="782" spans="1:45">
      <c r="A782" s="291"/>
      <c r="B782" s="292"/>
      <c r="C782" s="293"/>
      <c r="D782" s="293"/>
      <c r="E782" s="293"/>
      <c r="F782" s="293"/>
      <c r="G782" s="294"/>
      <c r="H782" s="300"/>
      <c r="I782" s="295"/>
      <c r="J782" s="295"/>
      <c r="K782" s="296"/>
      <c r="L782" s="301"/>
      <c r="M782" s="297"/>
      <c r="N782" s="298"/>
      <c r="P782" s="190" t="str">
        <f>IF(R782 = "", "", COUNT(R$4:$R782))</f>
        <v/>
      </c>
      <c r="Q782" s="190" t="str">
        <f t="shared" si="121"/>
        <v/>
      </c>
      <c r="R782" s="191" t="str">
        <f t="shared" si="122"/>
        <v/>
      </c>
      <c r="S782" s="192" t="str">
        <f t="shared" si="124"/>
        <v/>
      </c>
      <c r="T782" s="193" t="str">
        <f t="shared" si="125"/>
        <v/>
      </c>
      <c r="U782" s="194" t="str">
        <f t="shared" si="126"/>
        <v/>
      </c>
      <c r="V782" s="195" t="str">
        <f t="shared" si="123"/>
        <v/>
      </c>
      <c r="W782" s="336" t="str">
        <f t="shared" si="127"/>
        <v/>
      </c>
      <c r="X782" s="338" t="str">
        <f t="shared" si="128"/>
        <v/>
      </c>
      <c r="Y782" s="274"/>
      <c r="AR782" t="str">
        <f t="shared" si="129"/>
        <v/>
      </c>
      <c r="AS782" t="str">
        <f t="shared" si="130"/>
        <v/>
      </c>
    </row>
    <row r="783" spans="1:45">
      <c r="A783" s="291"/>
      <c r="B783" s="292"/>
      <c r="C783" s="293"/>
      <c r="D783" s="293"/>
      <c r="E783" s="293"/>
      <c r="F783" s="293"/>
      <c r="G783" s="294"/>
      <c r="H783" s="300"/>
      <c r="I783" s="295"/>
      <c r="J783" s="295"/>
      <c r="K783" s="296"/>
      <c r="L783" s="301"/>
      <c r="M783" s="297"/>
      <c r="N783" s="298"/>
      <c r="P783" s="190" t="str">
        <f>IF(R783 = "", "", COUNT(R$4:$R783))</f>
        <v/>
      </c>
      <c r="Q783" s="190" t="str">
        <f t="shared" si="121"/>
        <v/>
      </c>
      <c r="R783" s="191" t="str">
        <f t="shared" si="122"/>
        <v/>
      </c>
      <c r="S783" s="192" t="str">
        <f t="shared" si="124"/>
        <v/>
      </c>
      <c r="T783" s="193" t="str">
        <f t="shared" si="125"/>
        <v/>
      </c>
      <c r="U783" s="194" t="str">
        <f t="shared" si="126"/>
        <v/>
      </c>
      <c r="V783" s="195" t="str">
        <f t="shared" si="123"/>
        <v/>
      </c>
      <c r="W783" s="336" t="str">
        <f t="shared" si="127"/>
        <v/>
      </c>
      <c r="X783" s="338" t="str">
        <f t="shared" si="128"/>
        <v/>
      </c>
      <c r="Y783" s="274"/>
      <c r="AR783" t="str">
        <f t="shared" si="129"/>
        <v/>
      </c>
      <c r="AS783" t="str">
        <f t="shared" si="130"/>
        <v/>
      </c>
    </row>
    <row r="784" spans="1:45">
      <c r="A784" s="291"/>
      <c r="B784" s="292"/>
      <c r="C784" s="293"/>
      <c r="D784" s="293"/>
      <c r="E784" s="293"/>
      <c r="F784" s="293"/>
      <c r="G784" s="294"/>
      <c r="H784" s="300"/>
      <c r="I784" s="295"/>
      <c r="J784" s="295"/>
      <c r="K784" s="296"/>
      <c r="L784" s="301"/>
      <c r="M784" s="297"/>
      <c r="N784" s="298"/>
      <c r="P784" s="190" t="str">
        <f>IF(R784 = "", "", COUNT(R$4:$R784))</f>
        <v/>
      </c>
      <c r="Q784" s="190" t="str">
        <f t="shared" si="121"/>
        <v/>
      </c>
      <c r="R784" s="191" t="str">
        <f t="shared" si="122"/>
        <v/>
      </c>
      <c r="S784" s="192" t="str">
        <f t="shared" si="124"/>
        <v/>
      </c>
      <c r="T784" s="193" t="str">
        <f t="shared" si="125"/>
        <v/>
      </c>
      <c r="U784" s="194" t="str">
        <f t="shared" si="126"/>
        <v/>
      </c>
      <c r="V784" s="195" t="str">
        <f t="shared" si="123"/>
        <v/>
      </c>
      <c r="W784" s="336" t="str">
        <f t="shared" si="127"/>
        <v/>
      </c>
      <c r="X784" s="338" t="str">
        <f t="shared" si="128"/>
        <v/>
      </c>
      <c r="Y784" s="274"/>
      <c r="AR784" t="str">
        <f t="shared" si="129"/>
        <v/>
      </c>
      <c r="AS784" t="str">
        <f t="shared" si="130"/>
        <v/>
      </c>
    </row>
    <row r="785" spans="1:45">
      <c r="A785" s="291"/>
      <c r="B785" s="292"/>
      <c r="C785" s="293"/>
      <c r="D785" s="293"/>
      <c r="E785" s="293"/>
      <c r="F785" s="293"/>
      <c r="G785" s="294"/>
      <c r="H785" s="300"/>
      <c r="I785" s="295"/>
      <c r="J785" s="295"/>
      <c r="K785" s="296"/>
      <c r="L785" s="301"/>
      <c r="M785" s="297"/>
      <c r="N785" s="298"/>
      <c r="P785" s="190" t="str">
        <f>IF(R785 = "", "", COUNT(R$4:$R785))</f>
        <v/>
      </c>
      <c r="Q785" s="190" t="str">
        <f t="shared" si="121"/>
        <v/>
      </c>
      <c r="R785" s="191" t="str">
        <f t="shared" si="122"/>
        <v/>
      </c>
      <c r="S785" s="192" t="str">
        <f t="shared" si="124"/>
        <v/>
      </c>
      <c r="T785" s="193" t="str">
        <f t="shared" si="125"/>
        <v/>
      </c>
      <c r="U785" s="194" t="str">
        <f t="shared" si="126"/>
        <v/>
      </c>
      <c r="V785" s="195" t="str">
        <f t="shared" si="123"/>
        <v/>
      </c>
      <c r="W785" s="336" t="str">
        <f t="shared" si="127"/>
        <v/>
      </c>
      <c r="X785" s="338" t="str">
        <f t="shared" si="128"/>
        <v/>
      </c>
      <c r="Y785" s="274"/>
      <c r="AR785" t="str">
        <f t="shared" si="129"/>
        <v/>
      </c>
      <c r="AS785" t="str">
        <f t="shared" si="130"/>
        <v/>
      </c>
    </row>
    <row r="786" spans="1:45">
      <c r="A786" s="291"/>
      <c r="B786" s="292"/>
      <c r="C786" s="293"/>
      <c r="D786" s="293"/>
      <c r="E786" s="293"/>
      <c r="F786" s="293"/>
      <c r="G786" s="294"/>
      <c r="H786" s="300"/>
      <c r="I786" s="295"/>
      <c r="J786" s="295"/>
      <c r="K786" s="296"/>
      <c r="L786" s="301"/>
      <c r="M786" s="297"/>
      <c r="N786" s="298"/>
      <c r="P786" s="190" t="str">
        <f>IF(R786 = "", "", COUNT(R$4:$R786))</f>
        <v/>
      </c>
      <c r="Q786" s="190" t="str">
        <f t="shared" si="121"/>
        <v/>
      </c>
      <c r="R786" s="191" t="str">
        <f t="shared" si="122"/>
        <v/>
      </c>
      <c r="S786" s="192" t="str">
        <f t="shared" si="124"/>
        <v/>
      </c>
      <c r="T786" s="193" t="str">
        <f t="shared" si="125"/>
        <v/>
      </c>
      <c r="U786" s="194" t="str">
        <f t="shared" si="126"/>
        <v/>
      </c>
      <c r="V786" s="195" t="str">
        <f t="shared" si="123"/>
        <v/>
      </c>
      <c r="W786" s="336" t="str">
        <f t="shared" si="127"/>
        <v/>
      </c>
      <c r="X786" s="338" t="str">
        <f t="shared" si="128"/>
        <v/>
      </c>
      <c r="Y786" s="274"/>
      <c r="AR786" t="str">
        <f t="shared" si="129"/>
        <v/>
      </c>
      <c r="AS786" t="str">
        <f t="shared" si="130"/>
        <v/>
      </c>
    </row>
    <row r="787" spans="1:45">
      <c r="A787" s="291"/>
      <c r="B787" s="292"/>
      <c r="C787" s="293"/>
      <c r="D787" s="293"/>
      <c r="E787" s="293"/>
      <c r="F787" s="293"/>
      <c r="G787" s="294"/>
      <c r="H787" s="300"/>
      <c r="I787" s="295"/>
      <c r="J787" s="295"/>
      <c r="K787" s="296"/>
      <c r="L787" s="301"/>
      <c r="M787" s="297"/>
      <c r="N787" s="298"/>
      <c r="P787" s="190" t="str">
        <f>IF(R787 = "", "", COUNT(R$4:$R787))</f>
        <v/>
      </c>
      <c r="Q787" s="190" t="str">
        <f t="shared" si="121"/>
        <v/>
      </c>
      <c r="R787" s="191" t="str">
        <f t="shared" si="122"/>
        <v/>
      </c>
      <c r="S787" s="192" t="str">
        <f t="shared" si="124"/>
        <v/>
      </c>
      <c r="T787" s="193" t="str">
        <f t="shared" si="125"/>
        <v/>
      </c>
      <c r="U787" s="194" t="str">
        <f t="shared" si="126"/>
        <v/>
      </c>
      <c r="V787" s="195" t="str">
        <f t="shared" si="123"/>
        <v/>
      </c>
      <c r="W787" s="336" t="str">
        <f t="shared" si="127"/>
        <v/>
      </c>
      <c r="X787" s="338" t="str">
        <f t="shared" si="128"/>
        <v/>
      </c>
      <c r="Y787" s="274"/>
      <c r="AR787" t="str">
        <f t="shared" si="129"/>
        <v/>
      </c>
      <c r="AS787" t="str">
        <f t="shared" si="130"/>
        <v/>
      </c>
    </row>
    <row r="788" spans="1:45">
      <c r="A788" s="291"/>
      <c r="B788" s="292"/>
      <c r="C788" s="293"/>
      <c r="D788" s="293"/>
      <c r="E788" s="293"/>
      <c r="F788" s="293"/>
      <c r="G788" s="294"/>
      <c r="H788" s="300"/>
      <c r="I788" s="295"/>
      <c r="J788" s="295"/>
      <c r="K788" s="296"/>
      <c r="L788" s="301"/>
      <c r="M788" s="297"/>
      <c r="N788" s="298"/>
      <c r="P788" s="190" t="str">
        <f>IF(R788 = "", "", COUNT(R$4:$R788))</f>
        <v/>
      </c>
      <c r="Q788" s="190" t="str">
        <f t="shared" si="121"/>
        <v/>
      </c>
      <c r="R788" s="191" t="str">
        <f t="shared" si="122"/>
        <v/>
      </c>
      <c r="S788" s="192" t="str">
        <f t="shared" si="124"/>
        <v/>
      </c>
      <c r="T788" s="193" t="str">
        <f t="shared" si="125"/>
        <v/>
      </c>
      <c r="U788" s="194" t="str">
        <f t="shared" si="126"/>
        <v/>
      </c>
      <c r="V788" s="195" t="str">
        <f t="shared" si="123"/>
        <v/>
      </c>
      <c r="W788" s="336" t="str">
        <f t="shared" si="127"/>
        <v/>
      </c>
      <c r="X788" s="338" t="str">
        <f t="shared" si="128"/>
        <v/>
      </c>
      <c r="Y788" s="274"/>
      <c r="AR788" t="str">
        <f t="shared" si="129"/>
        <v/>
      </c>
      <c r="AS788" t="str">
        <f t="shared" si="130"/>
        <v/>
      </c>
    </row>
    <row r="789" spans="1:45">
      <c r="A789" s="291"/>
      <c r="B789" s="292"/>
      <c r="C789" s="293"/>
      <c r="D789" s="293"/>
      <c r="E789" s="293"/>
      <c r="F789" s="293"/>
      <c r="G789" s="294"/>
      <c r="H789" s="300"/>
      <c r="I789" s="295"/>
      <c r="J789" s="295"/>
      <c r="K789" s="296"/>
      <c r="L789" s="301"/>
      <c r="M789" s="297"/>
      <c r="N789" s="298"/>
      <c r="P789" s="190" t="str">
        <f>IF(R789 = "", "", COUNT(R$4:$R789))</f>
        <v/>
      </c>
      <c r="Q789" s="190" t="str">
        <f t="shared" si="121"/>
        <v/>
      </c>
      <c r="R789" s="191" t="str">
        <f t="shared" si="122"/>
        <v/>
      </c>
      <c r="S789" s="192" t="str">
        <f t="shared" si="124"/>
        <v/>
      </c>
      <c r="T789" s="193" t="str">
        <f t="shared" si="125"/>
        <v/>
      </c>
      <c r="U789" s="194" t="str">
        <f t="shared" si="126"/>
        <v/>
      </c>
      <c r="V789" s="195" t="str">
        <f t="shared" si="123"/>
        <v/>
      </c>
      <c r="W789" s="336" t="str">
        <f t="shared" si="127"/>
        <v/>
      </c>
      <c r="X789" s="338" t="str">
        <f t="shared" si="128"/>
        <v/>
      </c>
      <c r="Y789" s="274"/>
      <c r="AR789" t="str">
        <f t="shared" si="129"/>
        <v/>
      </c>
      <c r="AS789" t="str">
        <f t="shared" si="130"/>
        <v/>
      </c>
    </row>
    <row r="790" spans="1:45">
      <c r="A790" s="291"/>
      <c r="B790" s="292"/>
      <c r="C790" s="293"/>
      <c r="D790" s="293"/>
      <c r="E790" s="293"/>
      <c r="F790" s="293"/>
      <c r="G790" s="294"/>
      <c r="H790" s="300"/>
      <c r="I790" s="295"/>
      <c r="J790" s="295"/>
      <c r="K790" s="296"/>
      <c r="L790" s="301"/>
      <c r="M790" s="297"/>
      <c r="N790" s="298"/>
      <c r="P790" s="190" t="str">
        <f>IF(R790 = "", "", COUNT(R$4:$R790))</f>
        <v/>
      </c>
      <c r="Q790" s="190" t="str">
        <f t="shared" si="121"/>
        <v/>
      </c>
      <c r="R790" s="191" t="str">
        <f t="shared" si="122"/>
        <v/>
      </c>
      <c r="S790" s="192" t="str">
        <f t="shared" si="124"/>
        <v/>
      </c>
      <c r="T790" s="193" t="str">
        <f t="shared" si="125"/>
        <v/>
      </c>
      <c r="U790" s="194" t="str">
        <f t="shared" si="126"/>
        <v/>
      </c>
      <c r="V790" s="195" t="str">
        <f t="shared" si="123"/>
        <v/>
      </c>
      <c r="W790" s="336" t="str">
        <f t="shared" si="127"/>
        <v/>
      </c>
      <c r="X790" s="338" t="str">
        <f t="shared" si="128"/>
        <v/>
      </c>
      <c r="Y790" s="274"/>
      <c r="AR790" t="str">
        <f t="shared" si="129"/>
        <v/>
      </c>
      <c r="AS790" t="str">
        <f t="shared" si="130"/>
        <v/>
      </c>
    </row>
    <row r="791" spans="1:45">
      <c r="A791" s="291"/>
      <c r="B791" s="292"/>
      <c r="C791" s="293"/>
      <c r="D791" s="293"/>
      <c r="E791" s="293"/>
      <c r="F791" s="293"/>
      <c r="G791" s="294"/>
      <c r="H791" s="300"/>
      <c r="I791" s="295"/>
      <c r="J791" s="295"/>
      <c r="K791" s="296"/>
      <c r="L791" s="301"/>
      <c r="M791" s="297"/>
      <c r="N791" s="298"/>
      <c r="P791" s="190" t="str">
        <f>IF(R791 = "", "", COUNT(R$4:$R791))</f>
        <v/>
      </c>
      <c r="Q791" s="190" t="str">
        <f t="shared" si="121"/>
        <v/>
      </c>
      <c r="R791" s="191" t="str">
        <f t="shared" si="122"/>
        <v/>
      </c>
      <c r="S791" s="192" t="str">
        <f t="shared" si="124"/>
        <v/>
      </c>
      <c r="T791" s="193" t="str">
        <f t="shared" si="125"/>
        <v/>
      </c>
      <c r="U791" s="194" t="str">
        <f t="shared" si="126"/>
        <v/>
      </c>
      <c r="V791" s="195" t="str">
        <f t="shared" si="123"/>
        <v/>
      </c>
      <c r="W791" s="336" t="str">
        <f t="shared" si="127"/>
        <v/>
      </c>
      <c r="X791" s="338" t="str">
        <f t="shared" si="128"/>
        <v/>
      </c>
      <c r="Y791" s="274"/>
      <c r="AR791" t="str">
        <f t="shared" si="129"/>
        <v/>
      </c>
      <c r="AS791" t="str">
        <f t="shared" si="130"/>
        <v/>
      </c>
    </row>
    <row r="792" spans="1:45">
      <c r="A792" s="291"/>
      <c r="B792" s="292"/>
      <c r="C792" s="293"/>
      <c r="D792" s="293"/>
      <c r="E792" s="293"/>
      <c r="F792" s="293"/>
      <c r="G792" s="294"/>
      <c r="H792" s="300"/>
      <c r="I792" s="295"/>
      <c r="J792" s="295"/>
      <c r="K792" s="296"/>
      <c r="L792" s="301"/>
      <c r="M792" s="297"/>
      <c r="N792" s="298"/>
      <c r="P792" s="190" t="str">
        <f>IF(R792 = "", "", COUNT(R$4:$R792))</f>
        <v/>
      </c>
      <c r="Q792" s="190" t="str">
        <f t="shared" si="121"/>
        <v/>
      </c>
      <c r="R792" s="191" t="str">
        <f t="shared" si="122"/>
        <v/>
      </c>
      <c r="S792" s="192" t="str">
        <f t="shared" si="124"/>
        <v/>
      </c>
      <c r="T792" s="193" t="str">
        <f t="shared" si="125"/>
        <v/>
      </c>
      <c r="U792" s="194" t="str">
        <f t="shared" si="126"/>
        <v/>
      </c>
      <c r="V792" s="195" t="str">
        <f t="shared" si="123"/>
        <v/>
      </c>
      <c r="W792" s="336" t="str">
        <f t="shared" si="127"/>
        <v/>
      </c>
      <c r="X792" s="338" t="str">
        <f t="shared" si="128"/>
        <v/>
      </c>
      <c r="Y792" s="274"/>
      <c r="AR792" t="str">
        <f t="shared" si="129"/>
        <v/>
      </c>
      <c r="AS792" t="str">
        <f t="shared" si="130"/>
        <v/>
      </c>
    </row>
    <row r="793" spans="1:45">
      <c r="A793" s="291"/>
      <c r="B793" s="292"/>
      <c r="C793" s="293"/>
      <c r="D793" s="293"/>
      <c r="E793" s="293"/>
      <c r="F793" s="293"/>
      <c r="G793" s="294"/>
      <c r="H793" s="300"/>
      <c r="I793" s="295"/>
      <c r="J793" s="295"/>
      <c r="K793" s="296"/>
      <c r="L793" s="301"/>
      <c r="M793" s="297"/>
      <c r="N793" s="298"/>
      <c r="P793" s="190" t="str">
        <f>IF(R793 = "", "", COUNT(R$4:$R793))</f>
        <v/>
      </c>
      <c r="Q793" s="190" t="str">
        <f t="shared" si="121"/>
        <v/>
      </c>
      <c r="R793" s="191" t="str">
        <f t="shared" si="122"/>
        <v/>
      </c>
      <c r="S793" s="192" t="str">
        <f t="shared" si="124"/>
        <v/>
      </c>
      <c r="T793" s="193" t="str">
        <f t="shared" si="125"/>
        <v/>
      </c>
      <c r="U793" s="194" t="str">
        <f t="shared" si="126"/>
        <v/>
      </c>
      <c r="V793" s="195" t="str">
        <f t="shared" si="123"/>
        <v/>
      </c>
      <c r="W793" s="336" t="str">
        <f t="shared" si="127"/>
        <v/>
      </c>
      <c r="X793" s="338" t="str">
        <f t="shared" si="128"/>
        <v/>
      </c>
      <c r="Y793" s="274"/>
      <c r="AR793" t="str">
        <f t="shared" si="129"/>
        <v/>
      </c>
      <c r="AS793" t="str">
        <f t="shared" si="130"/>
        <v/>
      </c>
    </row>
    <row r="794" spans="1:45">
      <c r="A794" s="291"/>
      <c r="B794" s="292"/>
      <c r="C794" s="293"/>
      <c r="D794" s="293"/>
      <c r="E794" s="293"/>
      <c r="F794" s="293"/>
      <c r="G794" s="294"/>
      <c r="H794" s="300"/>
      <c r="I794" s="295"/>
      <c r="J794" s="295"/>
      <c r="K794" s="296"/>
      <c r="L794" s="301"/>
      <c r="M794" s="297"/>
      <c r="N794" s="298"/>
      <c r="P794" s="190" t="str">
        <f>IF(R794 = "", "", COUNT(R$4:$R794))</f>
        <v/>
      </c>
      <c r="Q794" s="190" t="str">
        <f t="shared" si="121"/>
        <v/>
      </c>
      <c r="R794" s="191" t="str">
        <f t="shared" si="122"/>
        <v/>
      </c>
      <c r="S794" s="192" t="str">
        <f t="shared" si="124"/>
        <v/>
      </c>
      <c r="T794" s="193" t="str">
        <f t="shared" si="125"/>
        <v/>
      </c>
      <c r="U794" s="194" t="str">
        <f t="shared" si="126"/>
        <v/>
      </c>
      <c r="V794" s="195" t="str">
        <f t="shared" si="123"/>
        <v/>
      </c>
      <c r="W794" s="336" t="str">
        <f t="shared" si="127"/>
        <v/>
      </c>
      <c r="X794" s="338" t="str">
        <f t="shared" si="128"/>
        <v/>
      </c>
      <c r="Y794" s="274"/>
      <c r="AR794" t="str">
        <f t="shared" si="129"/>
        <v/>
      </c>
      <c r="AS794" t="str">
        <f t="shared" si="130"/>
        <v/>
      </c>
    </row>
    <row r="795" spans="1:45">
      <c r="A795" s="291"/>
      <c r="B795" s="292"/>
      <c r="C795" s="293"/>
      <c r="D795" s="293"/>
      <c r="E795" s="293"/>
      <c r="F795" s="293"/>
      <c r="G795" s="294"/>
      <c r="H795" s="300"/>
      <c r="I795" s="295"/>
      <c r="J795" s="295"/>
      <c r="K795" s="296"/>
      <c r="L795" s="301"/>
      <c r="M795" s="297"/>
      <c r="N795" s="298"/>
      <c r="P795" s="190" t="str">
        <f>IF(R795 = "", "", COUNT(R$4:$R795))</f>
        <v/>
      </c>
      <c r="Q795" s="190" t="str">
        <f t="shared" si="121"/>
        <v/>
      </c>
      <c r="R795" s="191" t="str">
        <f t="shared" si="122"/>
        <v/>
      </c>
      <c r="S795" s="192" t="str">
        <f t="shared" si="124"/>
        <v/>
      </c>
      <c r="T795" s="193" t="str">
        <f t="shared" si="125"/>
        <v/>
      </c>
      <c r="U795" s="194" t="str">
        <f t="shared" si="126"/>
        <v/>
      </c>
      <c r="V795" s="195" t="str">
        <f t="shared" si="123"/>
        <v/>
      </c>
      <c r="W795" s="336" t="str">
        <f t="shared" si="127"/>
        <v/>
      </c>
      <c r="X795" s="338" t="str">
        <f t="shared" si="128"/>
        <v/>
      </c>
      <c r="Y795" s="274"/>
      <c r="AR795" t="str">
        <f t="shared" si="129"/>
        <v/>
      </c>
      <c r="AS795" t="str">
        <f t="shared" si="130"/>
        <v/>
      </c>
    </row>
    <row r="796" spans="1:45">
      <c r="A796" s="291"/>
      <c r="B796" s="292"/>
      <c r="C796" s="293"/>
      <c r="D796" s="293"/>
      <c r="E796" s="293"/>
      <c r="F796" s="293"/>
      <c r="G796" s="294"/>
      <c r="H796" s="300"/>
      <c r="I796" s="295"/>
      <c r="J796" s="295"/>
      <c r="K796" s="296"/>
      <c r="L796" s="301"/>
      <c r="M796" s="297"/>
      <c r="N796" s="298"/>
      <c r="P796" s="190" t="str">
        <f>IF(R796 = "", "", COUNT(R$4:$R796))</f>
        <v/>
      </c>
      <c r="Q796" s="190" t="str">
        <f t="shared" si="121"/>
        <v/>
      </c>
      <c r="R796" s="191" t="str">
        <f t="shared" si="122"/>
        <v/>
      </c>
      <c r="S796" s="192" t="str">
        <f t="shared" si="124"/>
        <v/>
      </c>
      <c r="T796" s="193" t="str">
        <f t="shared" si="125"/>
        <v/>
      </c>
      <c r="U796" s="194" t="str">
        <f t="shared" si="126"/>
        <v/>
      </c>
      <c r="V796" s="195" t="str">
        <f t="shared" si="123"/>
        <v/>
      </c>
      <c r="W796" s="336" t="str">
        <f t="shared" si="127"/>
        <v/>
      </c>
      <c r="X796" s="338" t="str">
        <f t="shared" si="128"/>
        <v/>
      </c>
      <c r="Y796" s="274"/>
      <c r="AR796" t="str">
        <f t="shared" si="129"/>
        <v/>
      </c>
      <c r="AS796" t="str">
        <f t="shared" si="130"/>
        <v/>
      </c>
    </row>
    <row r="797" spans="1:45">
      <c r="A797" s="291"/>
      <c r="B797" s="292"/>
      <c r="C797" s="293"/>
      <c r="D797" s="293"/>
      <c r="E797" s="293"/>
      <c r="F797" s="293"/>
      <c r="G797" s="294"/>
      <c r="H797" s="300"/>
      <c r="I797" s="295"/>
      <c r="J797" s="295"/>
      <c r="K797" s="296"/>
      <c r="L797" s="301"/>
      <c r="M797" s="297"/>
      <c r="N797" s="298"/>
      <c r="P797" s="190" t="str">
        <f>IF(R797 = "", "", COUNT(R$4:$R797))</f>
        <v/>
      </c>
      <c r="Q797" s="190" t="str">
        <f t="shared" si="121"/>
        <v/>
      </c>
      <c r="R797" s="191" t="str">
        <f t="shared" si="122"/>
        <v/>
      </c>
      <c r="S797" s="192" t="str">
        <f t="shared" si="124"/>
        <v/>
      </c>
      <c r="T797" s="193" t="str">
        <f t="shared" si="125"/>
        <v/>
      </c>
      <c r="U797" s="194" t="str">
        <f t="shared" si="126"/>
        <v/>
      </c>
      <c r="V797" s="195" t="str">
        <f t="shared" si="123"/>
        <v/>
      </c>
      <c r="W797" s="336" t="str">
        <f t="shared" si="127"/>
        <v/>
      </c>
      <c r="X797" s="338" t="str">
        <f t="shared" si="128"/>
        <v/>
      </c>
      <c r="Y797" s="274"/>
      <c r="AR797" t="str">
        <f t="shared" si="129"/>
        <v/>
      </c>
      <c r="AS797" t="str">
        <f t="shared" si="130"/>
        <v/>
      </c>
    </row>
    <row r="798" spans="1:45">
      <c r="A798" s="291"/>
      <c r="B798" s="292"/>
      <c r="C798" s="293"/>
      <c r="D798" s="293"/>
      <c r="E798" s="293"/>
      <c r="F798" s="293"/>
      <c r="G798" s="294"/>
      <c r="H798" s="300"/>
      <c r="I798" s="295"/>
      <c r="J798" s="295"/>
      <c r="K798" s="296"/>
      <c r="L798" s="301"/>
      <c r="M798" s="297"/>
      <c r="N798" s="298"/>
      <c r="P798" s="190" t="str">
        <f>IF(R798 = "", "", COUNT(R$4:$R798))</f>
        <v/>
      </c>
      <c r="Q798" s="190" t="str">
        <f t="shared" si="121"/>
        <v/>
      </c>
      <c r="R798" s="191" t="str">
        <f t="shared" si="122"/>
        <v/>
      </c>
      <c r="S798" s="192" t="str">
        <f t="shared" si="124"/>
        <v/>
      </c>
      <c r="T798" s="193" t="str">
        <f t="shared" si="125"/>
        <v/>
      </c>
      <c r="U798" s="194" t="str">
        <f t="shared" si="126"/>
        <v/>
      </c>
      <c r="V798" s="195" t="str">
        <f t="shared" si="123"/>
        <v/>
      </c>
      <c r="W798" s="336" t="str">
        <f t="shared" si="127"/>
        <v/>
      </c>
      <c r="X798" s="338" t="str">
        <f t="shared" si="128"/>
        <v/>
      </c>
      <c r="Y798" s="274"/>
      <c r="AR798" t="str">
        <f t="shared" si="129"/>
        <v/>
      </c>
      <c r="AS798" t="str">
        <f t="shared" si="130"/>
        <v/>
      </c>
    </row>
    <row r="799" spans="1:45">
      <c r="A799" s="291"/>
      <c r="B799" s="292"/>
      <c r="C799" s="293"/>
      <c r="D799" s="293"/>
      <c r="E799" s="293"/>
      <c r="F799" s="293"/>
      <c r="G799" s="294"/>
      <c r="H799" s="300"/>
      <c r="I799" s="295"/>
      <c r="J799" s="295"/>
      <c r="K799" s="296"/>
      <c r="L799" s="301"/>
      <c r="M799" s="297"/>
      <c r="N799" s="298"/>
      <c r="P799" s="190" t="str">
        <f>IF(R799 = "", "", COUNT(R$4:$R799))</f>
        <v/>
      </c>
      <c r="Q799" s="190" t="str">
        <f t="shared" si="121"/>
        <v/>
      </c>
      <c r="R799" s="191" t="str">
        <f t="shared" si="122"/>
        <v/>
      </c>
      <c r="S799" s="192" t="str">
        <f t="shared" si="124"/>
        <v/>
      </c>
      <c r="T799" s="193" t="str">
        <f t="shared" si="125"/>
        <v/>
      </c>
      <c r="U799" s="194" t="str">
        <f t="shared" si="126"/>
        <v/>
      </c>
      <c r="V799" s="195" t="str">
        <f t="shared" si="123"/>
        <v/>
      </c>
      <c r="W799" s="336" t="str">
        <f t="shared" si="127"/>
        <v/>
      </c>
      <c r="X799" s="338" t="str">
        <f t="shared" si="128"/>
        <v/>
      </c>
      <c r="Y799" s="274"/>
      <c r="AR799" t="str">
        <f t="shared" si="129"/>
        <v/>
      </c>
      <c r="AS799" t="str">
        <f t="shared" si="130"/>
        <v/>
      </c>
    </row>
    <row r="800" spans="1:45">
      <c r="A800" s="291"/>
      <c r="B800" s="292"/>
      <c r="C800" s="293"/>
      <c r="D800" s="293"/>
      <c r="E800" s="293"/>
      <c r="F800" s="293"/>
      <c r="G800" s="294"/>
      <c r="H800" s="300"/>
      <c r="I800" s="295"/>
      <c r="J800" s="295"/>
      <c r="K800" s="296"/>
      <c r="L800" s="301"/>
      <c r="M800" s="297"/>
      <c r="N800" s="298"/>
      <c r="P800" s="190" t="str">
        <f>IF(R800 = "", "", COUNT(R$4:$R800))</f>
        <v/>
      </c>
      <c r="Q800" s="190" t="str">
        <f t="shared" si="121"/>
        <v/>
      </c>
      <c r="R800" s="191" t="str">
        <f t="shared" si="122"/>
        <v/>
      </c>
      <c r="S800" s="192" t="str">
        <f t="shared" si="124"/>
        <v/>
      </c>
      <c r="T800" s="193" t="str">
        <f t="shared" si="125"/>
        <v/>
      </c>
      <c r="U800" s="194" t="str">
        <f t="shared" si="126"/>
        <v/>
      </c>
      <c r="V800" s="195" t="str">
        <f t="shared" si="123"/>
        <v/>
      </c>
      <c r="W800" s="336" t="str">
        <f t="shared" si="127"/>
        <v/>
      </c>
      <c r="X800" s="338" t="str">
        <f t="shared" si="128"/>
        <v/>
      </c>
      <c r="Y800" s="274"/>
      <c r="AR800" t="str">
        <f t="shared" si="129"/>
        <v/>
      </c>
      <c r="AS800" t="str">
        <f t="shared" si="130"/>
        <v/>
      </c>
    </row>
    <row r="801" spans="1:45">
      <c r="A801" s="291"/>
      <c r="B801" s="292"/>
      <c r="C801" s="293"/>
      <c r="D801" s="293"/>
      <c r="E801" s="293"/>
      <c r="F801" s="293"/>
      <c r="G801" s="294"/>
      <c r="H801" s="300"/>
      <c r="I801" s="295"/>
      <c r="J801" s="295"/>
      <c r="K801" s="296"/>
      <c r="L801" s="301"/>
      <c r="M801" s="297"/>
      <c r="N801" s="298"/>
      <c r="P801" s="190" t="str">
        <f>IF(R801 = "", "", COUNT(R$4:$R801))</f>
        <v/>
      </c>
      <c r="Q801" s="190" t="str">
        <f t="shared" si="121"/>
        <v/>
      </c>
      <c r="R801" s="191" t="str">
        <f t="shared" si="122"/>
        <v/>
      </c>
      <c r="S801" s="192" t="str">
        <f t="shared" si="124"/>
        <v/>
      </c>
      <c r="T801" s="193" t="str">
        <f t="shared" si="125"/>
        <v/>
      </c>
      <c r="U801" s="194" t="str">
        <f t="shared" si="126"/>
        <v/>
      </c>
      <c r="V801" s="195" t="str">
        <f t="shared" si="123"/>
        <v/>
      </c>
      <c r="W801" s="336" t="str">
        <f t="shared" si="127"/>
        <v/>
      </c>
      <c r="X801" s="338" t="str">
        <f t="shared" si="128"/>
        <v/>
      </c>
      <c r="Y801" s="274"/>
      <c r="AR801" t="str">
        <f t="shared" si="129"/>
        <v/>
      </c>
      <c r="AS801" t="str">
        <f t="shared" si="130"/>
        <v/>
      </c>
    </row>
    <row r="802" spans="1:45">
      <c r="A802" s="291"/>
      <c r="B802" s="292"/>
      <c r="C802" s="293"/>
      <c r="D802" s="293"/>
      <c r="E802" s="293"/>
      <c r="F802" s="293"/>
      <c r="G802" s="294"/>
      <c r="H802" s="300"/>
      <c r="I802" s="295"/>
      <c r="J802" s="295"/>
      <c r="K802" s="296"/>
      <c r="L802" s="301"/>
      <c r="M802" s="297"/>
      <c r="N802" s="298"/>
      <c r="P802" s="190" t="str">
        <f>IF(R802 = "", "", COUNT(R$4:$R802))</f>
        <v/>
      </c>
      <c r="Q802" s="190" t="str">
        <f t="shared" si="121"/>
        <v/>
      </c>
      <c r="R802" s="191" t="str">
        <f t="shared" si="122"/>
        <v/>
      </c>
      <c r="S802" s="192" t="str">
        <f t="shared" si="124"/>
        <v/>
      </c>
      <c r="T802" s="193" t="str">
        <f t="shared" si="125"/>
        <v/>
      </c>
      <c r="U802" s="194" t="str">
        <f t="shared" si="126"/>
        <v/>
      </c>
      <c r="V802" s="195" t="str">
        <f t="shared" si="123"/>
        <v/>
      </c>
      <c r="W802" s="336" t="str">
        <f t="shared" si="127"/>
        <v/>
      </c>
      <c r="X802" s="338" t="str">
        <f t="shared" si="128"/>
        <v/>
      </c>
      <c r="Y802" s="274"/>
      <c r="AR802" t="str">
        <f t="shared" si="129"/>
        <v/>
      </c>
      <c r="AS802" t="str">
        <f t="shared" si="130"/>
        <v/>
      </c>
    </row>
    <row r="803" spans="1:45">
      <c r="A803" s="291"/>
      <c r="B803" s="292"/>
      <c r="C803" s="293"/>
      <c r="D803" s="293"/>
      <c r="E803" s="293"/>
      <c r="F803" s="293"/>
      <c r="G803" s="294"/>
      <c r="H803" s="300"/>
      <c r="I803" s="295"/>
      <c r="J803" s="295"/>
      <c r="K803" s="296"/>
      <c r="L803" s="301"/>
      <c r="M803" s="297"/>
      <c r="N803" s="298"/>
      <c r="P803" s="190" t="str">
        <f>IF(R803 = "", "", COUNT(R$4:$R803))</f>
        <v/>
      </c>
      <c r="Q803" s="190" t="str">
        <f t="shared" si="121"/>
        <v/>
      </c>
      <c r="R803" s="191" t="str">
        <f t="shared" si="122"/>
        <v/>
      </c>
      <c r="S803" s="192" t="str">
        <f t="shared" si="124"/>
        <v/>
      </c>
      <c r="T803" s="193" t="str">
        <f t="shared" si="125"/>
        <v/>
      </c>
      <c r="U803" s="194" t="str">
        <f t="shared" si="126"/>
        <v/>
      </c>
      <c r="V803" s="195" t="str">
        <f t="shared" si="123"/>
        <v/>
      </c>
      <c r="W803" s="336" t="str">
        <f t="shared" si="127"/>
        <v/>
      </c>
      <c r="X803" s="338" t="str">
        <f t="shared" si="128"/>
        <v/>
      </c>
      <c r="Y803" s="274"/>
      <c r="AR803" t="str">
        <f t="shared" si="129"/>
        <v/>
      </c>
      <c r="AS803" t="str">
        <f t="shared" si="130"/>
        <v/>
      </c>
    </row>
    <row r="804" spans="1:45">
      <c r="A804" s="291"/>
      <c r="B804" s="292"/>
      <c r="C804" s="293"/>
      <c r="D804" s="293"/>
      <c r="E804" s="293"/>
      <c r="F804" s="293"/>
      <c r="G804" s="294"/>
      <c r="H804" s="300"/>
      <c r="I804" s="295"/>
      <c r="J804" s="295"/>
      <c r="K804" s="296"/>
      <c r="L804" s="301"/>
      <c r="M804" s="297"/>
      <c r="N804" s="298"/>
      <c r="P804" s="190" t="str">
        <f>IF(R804 = "", "", COUNT(R$4:$R804))</f>
        <v/>
      </c>
      <c r="Q804" s="190" t="str">
        <f t="shared" si="121"/>
        <v/>
      </c>
      <c r="R804" s="191" t="str">
        <f t="shared" si="122"/>
        <v/>
      </c>
      <c r="S804" s="192" t="str">
        <f t="shared" si="124"/>
        <v/>
      </c>
      <c r="T804" s="193" t="str">
        <f t="shared" si="125"/>
        <v/>
      </c>
      <c r="U804" s="194" t="str">
        <f t="shared" si="126"/>
        <v/>
      </c>
      <c r="V804" s="195" t="str">
        <f t="shared" si="123"/>
        <v/>
      </c>
      <c r="W804" s="336" t="str">
        <f t="shared" si="127"/>
        <v/>
      </c>
      <c r="X804" s="338" t="str">
        <f t="shared" si="128"/>
        <v/>
      </c>
      <c r="Y804" s="274"/>
      <c r="AR804" t="str">
        <f t="shared" si="129"/>
        <v/>
      </c>
      <c r="AS804" t="str">
        <f t="shared" si="130"/>
        <v/>
      </c>
    </row>
    <row r="805" spans="1:45">
      <c r="A805" s="291"/>
      <c r="B805" s="292"/>
      <c r="C805" s="293"/>
      <c r="D805" s="293"/>
      <c r="E805" s="293"/>
      <c r="F805" s="293"/>
      <c r="G805" s="294"/>
      <c r="H805" s="300"/>
      <c r="I805" s="295"/>
      <c r="J805" s="295"/>
      <c r="K805" s="296"/>
      <c r="L805" s="301"/>
      <c r="M805" s="297"/>
      <c r="N805" s="298"/>
      <c r="P805" s="190" t="str">
        <f>IF(R805 = "", "", COUNT(R$4:$R805))</f>
        <v/>
      </c>
      <c r="Q805" s="190" t="str">
        <f t="shared" si="121"/>
        <v/>
      </c>
      <c r="R805" s="191" t="str">
        <f t="shared" si="122"/>
        <v/>
      </c>
      <c r="S805" s="192" t="str">
        <f t="shared" si="124"/>
        <v/>
      </c>
      <c r="T805" s="193" t="str">
        <f t="shared" si="125"/>
        <v/>
      </c>
      <c r="U805" s="194" t="str">
        <f t="shared" si="126"/>
        <v/>
      </c>
      <c r="V805" s="195" t="str">
        <f t="shared" si="123"/>
        <v/>
      </c>
      <c r="W805" s="336" t="str">
        <f t="shared" si="127"/>
        <v/>
      </c>
      <c r="X805" s="338" t="str">
        <f t="shared" si="128"/>
        <v/>
      </c>
      <c r="Y805" s="274"/>
      <c r="AR805" t="str">
        <f t="shared" si="129"/>
        <v/>
      </c>
      <c r="AS805" t="str">
        <f t="shared" si="130"/>
        <v/>
      </c>
    </row>
    <row r="806" spans="1:45">
      <c r="A806" s="291"/>
      <c r="B806" s="292"/>
      <c r="C806" s="293"/>
      <c r="D806" s="293"/>
      <c r="E806" s="293"/>
      <c r="F806" s="293"/>
      <c r="G806" s="294"/>
      <c r="H806" s="300"/>
      <c r="I806" s="295"/>
      <c r="J806" s="295"/>
      <c r="K806" s="296"/>
      <c r="L806" s="301"/>
      <c r="M806" s="297"/>
      <c r="N806" s="298"/>
      <c r="P806" s="190" t="str">
        <f>IF(R806 = "", "", COUNT(R$4:$R806))</f>
        <v/>
      </c>
      <c r="Q806" s="190" t="str">
        <f t="shared" si="121"/>
        <v/>
      </c>
      <c r="R806" s="191" t="str">
        <f t="shared" si="122"/>
        <v/>
      </c>
      <c r="S806" s="192" t="str">
        <f t="shared" si="124"/>
        <v/>
      </c>
      <c r="T806" s="193" t="str">
        <f t="shared" si="125"/>
        <v/>
      </c>
      <c r="U806" s="194" t="str">
        <f t="shared" si="126"/>
        <v/>
      </c>
      <c r="V806" s="195" t="str">
        <f t="shared" si="123"/>
        <v/>
      </c>
      <c r="W806" s="336" t="str">
        <f t="shared" si="127"/>
        <v/>
      </c>
      <c r="X806" s="338" t="str">
        <f t="shared" si="128"/>
        <v/>
      </c>
      <c r="Y806" s="274"/>
      <c r="AR806" t="str">
        <f t="shared" si="129"/>
        <v/>
      </c>
      <c r="AS806" t="str">
        <f t="shared" si="130"/>
        <v/>
      </c>
    </row>
    <row r="807" spans="1:45">
      <c r="A807" s="291"/>
      <c r="B807" s="292"/>
      <c r="C807" s="293"/>
      <c r="D807" s="293"/>
      <c r="E807" s="293"/>
      <c r="F807" s="293"/>
      <c r="G807" s="294"/>
      <c r="H807" s="300"/>
      <c r="I807" s="295"/>
      <c r="J807" s="295"/>
      <c r="K807" s="296"/>
      <c r="L807" s="301"/>
      <c r="M807" s="297"/>
      <c r="N807" s="298"/>
      <c r="P807" s="190" t="str">
        <f>IF(R807 = "", "", COUNT(R$4:$R807))</f>
        <v/>
      </c>
      <c r="Q807" s="190" t="str">
        <f t="shared" si="121"/>
        <v/>
      </c>
      <c r="R807" s="191" t="str">
        <f t="shared" si="122"/>
        <v/>
      </c>
      <c r="S807" s="192" t="str">
        <f t="shared" si="124"/>
        <v/>
      </c>
      <c r="T807" s="193" t="str">
        <f t="shared" si="125"/>
        <v/>
      </c>
      <c r="U807" s="194" t="str">
        <f t="shared" si="126"/>
        <v/>
      </c>
      <c r="V807" s="195" t="str">
        <f t="shared" si="123"/>
        <v/>
      </c>
      <c r="W807" s="336" t="str">
        <f t="shared" si="127"/>
        <v/>
      </c>
      <c r="X807" s="338" t="str">
        <f t="shared" si="128"/>
        <v/>
      </c>
      <c r="Y807" s="274"/>
      <c r="AR807" t="str">
        <f t="shared" si="129"/>
        <v/>
      </c>
      <c r="AS807" t="str">
        <f t="shared" si="130"/>
        <v/>
      </c>
    </row>
    <row r="808" spans="1:45">
      <c r="A808" s="291"/>
      <c r="B808" s="292"/>
      <c r="C808" s="293"/>
      <c r="D808" s="293"/>
      <c r="E808" s="293"/>
      <c r="F808" s="293"/>
      <c r="G808" s="294"/>
      <c r="H808" s="300"/>
      <c r="I808" s="295"/>
      <c r="J808" s="295"/>
      <c r="K808" s="296"/>
      <c r="L808" s="301"/>
      <c r="M808" s="297"/>
      <c r="N808" s="298"/>
      <c r="P808" s="190" t="str">
        <f>IF(R808 = "", "", COUNT(R$4:$R808))</f>
        <v/>
      </c>
      <c r="Q808" s="190" t="str">
        <f t="shared" si="121"/>
        <v/>
      </c>
      <c r="R808" s="191" t="str">
        <f t="shared" si="122"/>
        <v/>
      </c>
      <c r="S808" s="192" t="str">
        <f t="shared" si="124"/>
        <v/>
      </c>
      <c r="T808" s="193" t="str">
        <f t="shared" si="125"/>
        <v/>
      </c>
      <c r="U808" s="194" t="str">
        <f t="shared" si="126"/>
        <v/>
      </c>
      <c r="V808" s="195" t="str">
        <f t="shared" si="123"/>
        <v/>
      </c>
      <c r="W808" s="336" t="str">
        <f t="shared" si="127"/>
        <v/>
      </c>
      <c r="X808" s="338" t="str">
        <f t="shared" si="128"/>
        <v/>
      </c>
      <c r="Y808" s="274"/>
      <c r="AR808" t="str">
        <f t="shared" si="129"/>
        <v/>
      </c>
      <c r="AS808" t="str">
        <f t="shared" si="130"/>
        <v/>
      </c>
    </row>
    <row r="809" spans="1:45">
      <c r="A809" s="291"/>
      <c r="B809" s="292"/>
      <c r="C809" s="293"/>
      <c r="D809" s="293"/>
      <c r="E809" s="293"/>
      <c r="F809" s="293"/>
      <c r="G809" s="294"/>
      <c r="H809" s="300"/>
      <c r="I809" s="295"/>
      <c r="J809" s="295"/>
      <c r="K809" s="296"/>
      <c r="L809" s="301"/>
      <c r="M809" s="297"/>
      <c r="N809" s="298"/>
      <c r="P809" s="190" t="str">
        <f>IF(R809 = "", "", COUNT(R$4:$R809))</f>
        <v/>
      </c>
      <c r="Q809" s="190" t="str">
        <f t="shared" si="121"/>
        <v/>
      </c>
      <c r="R809" s="191" t="str">
        <f t="shared" si="122"/>
        <v/>
      </c>
      <c r="S809" s="192" t="str">
        <f t="shared" si="124"/>
        <v/>
      </c>
      <c r="T809" s="193" t="str">
        <f t="shared" si="125"/>
        <v/>
      </c>
      <c r="U809" s="194" t="str">
        <f t="shared" si="126"/>
        <v/>
      </c>
      <c r="V809" s="195" t="str">
        <f t="shared" si="123"/>
        <v/>
      </c>
      <c r="W809" s="336" t="str">
        <f t="shared" si="127"/>
        <v/>
      </c>
      <c r="X809" s="338" t="str">
        <f t="shared" si="128"/>
        <v/>
      </c>
      <c r="Y809" s="274"/>
      <c r="AR809" t="str">
        <f t="shared" si="129"/>
        <v/>
      </c>
      <c r="AS809" t="str">
        <f t="shared" si="130"/>
        <v/>
      </c>
    </row>
    <row r="810" spans="1:45">
      <c r="A810" s="291"/>
      <c r="B810" s="292"/>
      <c r="C810" s="293"/>
      <c r="D810" s="293"/>
      <c r="E810" s="293"/>
      <c r="F810" s="293"/>
      <c r="G810" s="294"/>
      <c r="H810" s="300"/>
      <c r="I810" s="295"/>
      <c r="J810" s="295"/>
      <c r="K810" s="296"/>
      <c r="L810" s="301"/>
      <c r="M810" s="297"/>
      <c r="N810" s="298"/>
      <c r="P810" s="190" t="str">
        <f>IF(R810 = "", "", COUNT(R$4:$R810))</f>
        <v/>
      </c>
      <c r="Q810" s="190" t="str">
        <f t="shared" si="121"/>
        <v/>
      </c>
      <c r="R810" s="191" t="str">
        <f t="shared" si="122"/>
        <v/>
      </c>
      <c r="S810" s="192" t="str">
        <f t="shared" si="124"/>
        <v/>
      </c>
      <c r="T810" s="193" t="str">
        <f t="shared" si="125"/>
        <v/>
      </c>
      <c r="U810" s="194" t="str">
        <f t="shared" si="126"/>
        <v/>
      </c>
      <c r="V810" s="195" t="str">
        <f t="shared" si="123"/>
        <v/>
      </c>
      <c r="W810" s="336" t="str">
        <f t="shared" si="127"/>
        <v/>
      </c>
      <c r="X810" s="338" t="str">
        <f t="shared" si="128"/>
        <v/>
      </c>
      <c r="Y810" s="274"/>
      <c r="AR810" t="str">
        <f t="shared" si="129"/>
        <v/>
      </c>
      <c r="AS810" t="str">
        <f t="shared" si="130"/>
        <v/>
      </c>
    </row>
    <row r="811" spans="1:45">
      <c r="A811" s="291"/>
      <c r="B811" s="292"/>
      <c r="C811" s="293"/>
      <c r="D811" s="293"/>
      <c r="E811" s="293"/>
      <c r="F811" s="293"/>
      <c r="G811" s="294"/>
      <c r="H811" s="300"/>
      <c r="I811" s="295"/>
      <c r="J811" s="295"/>
      <c r="K811" s="296"/>
      <c r="L811" s="301"/>
      <c r="M811" s="297"/>
      <c r="N811" s="298"/>
      <c r="P811" s="190" t="str">
        <f>IF(R811 = "", "", COUNT(R$4:$R811))</f>
        <v/>
      </c>
      <c r="Q811" s="190" t="str">
        <f t="shared" si="121"/>
        <v/>
      </c>
      <c r="R811" s="191" t="str">
        <f t="shared" si="122"/>
        <v/>
      </c>
      <c r="S811" s="192" t="str">
        <f t="shared" si="124"/>
        <v/>
      </c>
      <c r="T811" s="193" t="str">
        <f t="shared" si="125"/>
        <v/>
      </c>
      <c r="U811" s="194" t="str">
        <f t="shared" si="126"/>
        <v/>
      </c>
      <c r="V811" s="195" t="str">
        <f t="shared" si="123"/>
        <v/>
      </c>
      <c r="W811" s="336" t="str">
        <f t="shared" si="127"/>
        <v/>
      </c>
      <c r="X811" s="338" t="str">
        <f t="shared" si="128"/>
        <v/>
      </c>
      <c r="Y811" s="274"/>
      <c r="AR811" t="str">
        <f t="shared" si="129"/>
        <v/>
      </c>
      <c r="AS811" t="str">
        <f t="shared" si="130"/>
        <v/>
      </c>
    </row>
    <row r="812" spans="1:45">
      <c r="A812" s="291"/>
      <c r="B812" s="292"/>
      <c r="C812" s="293"/>
      <c r="D812" s="293"/>
      <c r="E812" s="293"/>
      <c r="F812" s="293"/>
      <c r="G812" s="294"/>
      <c r="H812" s="300"/>
      <c r="I812" s="295"/>
      <c r="J812" s="295"/>
      <c r="K812" s="296"/>
      <c r="L812" s="301"/>
      <c r="M812" s="297"/>
      <c r="N812" s="298"/>
      <c r="P812" s="190" t="str">
        <f>IF(R812 = "", "", COUNT(R$4:$R812))</f>
        <v/>
      </c>
      <c r="Q812" s="190" t="str">
        <f t="shared" si="121"/>
        <v/>
      </c>
      <c r="R812" s="191" t="str">
        <f t="shared" si="122"/>
        <v/>
      </c>
      <c r="S812" s="192" t="str">
        <f t="shared" si="124"/>
        <v/>
      </c>
      <c r="T812" s="193" t="str">
        <f t="shared" si="125"/>
        <v/>
      </c>
      <c r="U812" s="194" t="str">
        <f t="shared" si="126"/>
        <v/>
      </c>
      <c r="V812" s="195" t="str">
        <f t="shared" si="123"/>
        <v/>
      </c>
      <c r="W812" s="336" t="str">
        <f t="shared" si="127"/>
        <v/>
      </c>
      <c r="X812" s="338" t="str">
        <f t="shared" si="128"/>
        <v/>
      </c>
      <c r="Y812" s="274"/>
      <c r="AR812" t="str">
        <f t="shared" si="129"/>
        <v/>
      </c>
      <c r="AS812" t="str">
        <f t="shared" si="130"/>
        <v/>
      </c>
    </row>
    <row r="813" spans="1:45">
      <c r="A813" s="291"/>
      <c r="B813" s="292"/>
      <c r="C813" s="293"/>
      <c r="D813" s="293"/>
      <c r="E813" s="293"/>
      <c r="F813" s="293"/>
      <c r="G813" s="294"/>
      <c r="H813" s="300"/>
      <c r="I813" s="295"/>
      <c r="J813" s="295"/>
      <c r="K813" s="296"/>
      <c r="L813" s="301"/>
      <c r="M813" s="297"/>
      <c r="N813" s="298"/>
      <c r="P813" s="190" t="str">
        <f>IF(R813 = "", "", COUNT(R$4:$R813))</f>
        <v/>
      </c>
      <c r="Q813" s="190" t="str">
        <f t="shared" si="121"/>
        <v/>
      </c>
      <c r="R813" s="191" t="str">
        <f t="shared" si="122"/>
        <v/>
      </c>
      <c r="S813" s="192" t="str">
        <f t="shared" si="124"/>
        <v/>
      </c>
      <c r="T813" s="193" t="str">
        <f t="shared" si="125"/>
        <v/>
      </c>
      <c r="U813" s="194" t="str">
        <f t="shared" si="126"/>
        <v/>
      </c>
      <c r="V813" s="195" t="str">
        <f t="shared" si="123"/>
        <v/>
      </c>
      <c r="W813" s="336" t="str">
        <f t="shared" si="127"/>
        <v/>
      </c>
      <c r="X813" s="338" t="str">
        <f t="shared" si="128"/>
        <v/>
      </c>
      <c r="Y813" s="274"/>
      <c r="AR813" t="str">
        <f t="shared" si="129"/>
        <v/>
      </c>
      <c r="AS813" t="str">
        <f t="shared" si="130"/>
        <v/>
      </c>
    </row>
    <row r="814" spans="1:45">
      <c r="A814" s="291"/>
      <c r="B814" s="292"/>
      <c r="C814" s="293"/>
      <c r="D814" s="293"/>
      <c r="E814" s="293"/>
      <c r="F814" s="293"/>
      <c r="G814" s="294"/>
      <c r="H814" s="300"/>
      <c r="I814" s="295"/>
      <c r="J814" s="295"/>
      <c r="K814" s="296"/>
      <c r="L814" s="301"/>
      <c r="M814" s="297"/>
      <c r="N814" s="298"/>
      <c r="P814" s="190" t="str">
        <f>IF(R814 = "", "", COUNT(R$4:$R814))</f>
        <v/>
      </c>
      <c r="Q814" s="190" t="str">
        <f t="shared" si="121"/>
        <v/>
      </c>
      <c r="R814" s="191" t="str">
        <f t="shared" si="122"/>
        <v/>
      </c>
      <c r="S814" s="192" t="str">
        <f t="shared" si="124"/>
        <v/>
      </c>
      <c r="T814" s="193" t="str">
        <f t="shared" si="125"/>
        <v/>
      </c>
      <c r="U814" s="194" t="str">
        <f t="shared" si="126"/>
        <v/>
      </c>
      <c r="V814" s="195" t="str">
        <f t="shared" si="123"/>
        <v/>
      </c>
      <c r="W814" s="336" t="str">
        <f t="shared" si="127"/>
        <v/>
      </c>
      <c r="X814" s="338" t="str">
        <f t="shared" si="128"/>
        <v/>
      </c>
      <c r="Y814" s="274"/>
      <c r="AR814" t="str">
        <f t="shared" si="129"/>
        <v/>
      </c>
      <c r="AS814" t="str">
        <f t="shared" si="130"/>
        <v/>
      </c>
    </row>
    <row r="815" spans="1:45">
      <c r="A815" s="291"/>
      <c r="B815" s="292"/>
      <c r="C815" s="293"/>
      <c r="D815" s="293"/>
      <c r="E815" s="293"/>
      <c r="F815" s="293"/>
      <c r="G815" s="294"/>
      <c r="H815" s="300"/>
      <c r="I815" s="295"/>
      <c r="J815" s="295"/>
      <c r="K815" s="296"/>
      <c r="L815" s="301"/>
      <c r="M815" s="297"/>
      <c r="N815" s="298"/>
      <c r="P815" s="190" t="str">
        <f>IF(R815 = "", "", COUNT(R$4:$R815))</f>
        <v/>
      </c>
      <c r="Q815" s="190" t="str">
        <f t="shared" si="121"/>
        <v/>
      </c>
      <c r="R815" s="191" t="str">
        <f t="shared" si="122"/>
        <v/>
      </c>
      <c r="S815" s="192" t="str">
        <f t="shared" si="124"/>
        <v/>
      </c>
      <c r="T815" s="193" t="str">
        <f t="shared" si="125"/>
        <v/>
      </c>
      <c r="U815" s="194" t="str">
        <f t="shared" si="126"/>
        <v/>
      </c>
      <c r="V815" s="195" t="str">
        <f t="shared" si="123"/>
        <v/>
      </c>
      <c r="W815" s="336" t="str">
        <f t="shared" si="127"/>
        <v/>
      </c>
      <c r="X815" s="338" t="str">
        <f t="shared" si="128"/>
        <v/>
      </c>
      <c r="Y815" s="274"/>
      <c r="AR815" t="str">
        <f t="shared" si="129"/>
        <v/>
      </c>
      <c r="AS815" t="str">
        <f t="shared" si="130"/>
        <v/>
      </c>
    </row>
    <row r="816" spans="1:45">
      <c r="A816" s="291"/>
      <c r="B816" s="292"/>
      <c r="C816" s="293"/>
      <c r="D816" s="293"/>
      <c r="E816" s="293"/>
      <c r="F816" s="293"/>
      <c r="G816" s="294"/>
      <c r="H816" s="300"/>
      <c r="I816" s="295"/>
      <c r="J816" s="295"/>
      <c r="K816" s="296"/>
      <c r="L816" s="301"/>
      <c r="M816" s="297"/>
      <c r="N816" s="298"/>
      <c r="P816" s="190" t="str">
        <f>IF(R816 = "", "", COUNT(R$4:$R816))</f>
        <v/>
      </c>
      <c r="Q816" s="190" t="str">
        <f t="shared" si="121"/>
        <v/>
      </c>
      <c r="R816" s="191" t="str">
        <f t="shared" si="122"/>
        <v/>
      </c>
      <c r="S816" s="192" t="str">
        <f t="shared" si="124"/>
        <v/>
      </c>
      <c r="T816" s="193" t="str">
        <f t="shared" si="125"/>
        <v/>
      </c>
      <c r="U816" s="194" t="str">
        <f t="shared" si="126"/>
        <v/>
      </c>
      <c r="V816" s="195" t="str">
        <f t="shared" si="123"/>
        <v/>
      </c>
      <c r="W816" s="336" t="str">
        <f t="shared" si="127"/>
        <v/>
      </c>
      <c r="X816" s="338" t="str">
        <f t="shared" si="128"/>
        <v/>
      </c>
      <c r="Y816" s="274"/>
      <c r="AR816" t="str">
        <f t="shared" si="129"/>
        <v/>
      </c>
      <c r="AS816" t="str">
        <f t="shared" si="130"/>
        <v/>
      </c>
    </row>
    <row r="817" spans="1:45">
      <c r="A817" s="291"/>
      <c r="B817" s="292"/>
      <c r="C817" s="293"/>
      <c r="D817" s="293"/>
      <c r="E817" s="293"/>
      <c r="F817" s="293"/>
      <c r="G817" s="294"/>
      <c r="H817" s="300"/>
      <c r="I817" s="295"/>
      <c r="J817" s="295"/>
      <c r="K817" s="296"/>
      <c r="L817" s="301"/>
      <c r="M817" s="297"/>
      <c r="N817" s="298"/>
      <c r="P817" s="190" t="str">
        <f>IF(R817 = "", "", COUNT(R$4:$R817))</f>
        <v/>
      </c>
      <c r="Q817" s="190" t="str">
        <f t="shared" si="121"/>
        <v/>
      </c>
      <c r="R817" s="191" t="str">
        <f t="shared" si="122"/>
        <v/>
      </c>
      <c r="S817" s="192" t="str">
        <f t="shared" si="124"/>
        <v/>
      </c>
      <c r="T817" s="193" t="str">
        <f t="shared" si="125"/>
        <v/>
      </c>
      <c r="U817" s="194" t="str">
        <f t="shared" si="126"/>
        <v/>
      </c>
      <c r="V817" s="195" t="str">
        <f t="shared" si="123"/>
        <v/>
      </c>
      <c r="W817" s="336" t="str">
        <f t="shared" si="127"/>
        <v/>
      </c>
      <c r="X817" s="338" t="str">
        <f t="shared" si="128"/>
        <v/>
      </c>
      <c r="Y817" s="274"/>
      <c r="AR817" t="str">
        <f t="shared" si="129"/>
        <v/>
      </c>
      <c r="AS817" t="str">
        <f t="shared" si="130"/>
        <v/>
      </c>
    </row>
    <row r="818" spans="1:45">
      <c r="A818" s="291"/>
      <c r="B818" s="292"/>
      <c r="C818" s="293"/>
      <c r="D818" s="293"/>
      <c r="E818" s="293"/>
      <c r="F818" s="293"/>
      <c r="G818" s="294"/>
      <c r="H818" s="300"/>
      <c r="I818" s="295"/>
      <c r="J818" s="295"/>
      <c r="K818" s="296"/>
      <c r="L818" s="301"/>
      <c r="M818" s="297"/>
      <c r="N818" s="298"/>
      <c r="P818" s="190" t="str">
        <f>IF(R818 = "", "", COUNT(R$4:$R818))</f>
        <v/>
      </c>
      <c r="Q818" s="190" t="str">
        <f t="shared" si="121"/>
        <v/>
      </c>
      <c r="R818" s="191" t="str">
        <f t="shared" si="122"/>
        <v/>
      </c>
      <c r="S818" s="192" t="str">
        <f t="shared" si="124"/>
        <v/>
      </c>
      <c r="T818" s="193" t="str">
        <f t="shared" si="125"/>
        <v/>
      </c>
      <c r="U818" s="194" t="str">
        <f t="shared" si="126"/>
        <v/>
      </c>
      <c r="V818" s="195" t="str">
        <f t="shared" si="123"/>
        <v/>
      </c>
      <c r="W818" s="336" t="str">
        <f t="shared" si="127"/>
        <v/>
      </c>
      <c r="X818" s="338" t="str">
        <f t="shared" si="128"/>
        <v/>
      </c>
      <c r="Y818" s="274"/>
      <c r="AR818" t="str">
        <f t="shared" si="129"/>
        <v/>
      </c>
      <c r="AS818" t="str">
        <f t="shared" si="130"/>
        <v/>
      </c>
    </row>
    <row r="819" spans="1:45">
      <c r="A819" s="291"/>
      <c r="B819" s="292"/>
      <c r="C819" s="293"/>
      <c r="D819" s="293"/>
      <c r="E819" s="293"/>
      <c r="F819" s="293"/>
      <c r="G819" s="294"/>
      <c r="H819" s="300"/>
      <c r="I819" s="295"/>
      <c r="J819" s="295"/>
      <c r="K819" s="296"/>
      <c r="L819" s="301"/>
      <c r="M819" s="297"/>
      <c r="N819" s="298"/>
      <c r="P819" s="190" t="str">
        <f>IF(R819 = "", "", COUNT(R$4:$R819))</f>
        <v/>
      </c>
      <c r="Q819" s="190" t="str">
        <f t="shared" si="121"/>
        <v/>
      </c>
      <c r="R819" s="191" t="str">
        <f t="shared" si="122"/>
        <v/>
      </c>
      <c r="S819" s="192" t="str">
        <f t="shared" si="124"/>
        <v/>
      </c>
      <c r="T819" s="193" t="str">
        <f t="shared" si="125"/>
        <v/>
      </c>
      <c r="U819" s="194" t="str">
        <f t="shared" si="126"/>
        <v/>
      </c>
      <c r="V819" s="195" t="str">
        <f t="shared" si="123"/>
        <v/>
      </c>
      <c r="W819" s="336" t="str">
        <f t="shared" si="127"/>
        <v/>
      </c>
      <c r="X819" s="338" t="str">
        <f t="shared" si="128"/>
        <v/>
      </c>
      <c r="Y819" s="274"/>
      <c r="AR819" t="str">
        <f t="shared" si="129"/>
        <v/>
      </c>
      <c r="AS819" t="str">
        <f t="shared" si="130"/>
        <v/>
      </c>
    </row>
    <row r="820" spans="1:45">
      <c r="A820" s="291"/>
      <c r="B820" s="292"/>
      <c r="C820" s="293"/>
      <c r="D820" s="293"/>
      <c r="E820" s="293"/>
      <c r="F820" s="293"/>
      <c r="G820" s="294"/>
      <c r="H820" s="300"/>
      <c r="I820" s="295"/>
      <c r="J820" s="295"/>
      <c r="K820" s="296"/>
      <c r="L820" s="301"/>
      <c r="M820" s="297"/>
      <c r="N820" s="298"/>
      <c r="P820" s="190" t="str">
        <f>IF(R820 = "", "", COUNT(R$4:$R820))</f>
        <v/>
      </c>
      <c r="Q820" s="190" t="str">
        <f t="shared" si="121"/>
        <v/>
      </c>
      <c r="R820" s="191" t="str">
        <f t="shared" si="122"/>
        <v/>
      </c>
      <c r="S820" s="192" t="str">
        <f t="shared" si="124"/>
        <v/>
      </c>
      <c r="T820" s="193" t="str">
        <f t="shared" si="125"/>
        <v/>
      </c>
      <c r="U820" s="194" t="str">
        <f t="shared" si="126"/>
        <v/>
      </c>
      <c r="V820" s="195" t="str">
        <f t="shared" si="123"/>
        <v/>
      </c>
      <c r="W820" s="336" t="str">
        <f t="shared" si="127"/>
        <v/>
      </c>
      <c r="X820" s="338" t="str">
        <f t="shared" si="128"/>
        <v/>
      </c>
      <c r="Y820" s="274"/>
      <c r="AR820" t="str">
        <f t="shared" si="129"/>
        <v/>
      </c>
      <c r="AS820" t="str">
        <f t="shared" si="130"/>
        <v/>
      </c>
    </row>
    <row r="821" spans="1:45">
      <c r="A821" s="291"/>
      <c r="B821" s="292"/>
      <c r="C821" s="293"/>
      <c r="D821" s="293"/>
      <c r="E821" s="293"/>
      <c r="F821" s="293"/>
      <c r="G821" s="294"/>
      <c r="H821" s="300"/>
      <c r="I821" s="295"/>
      <c r="J821" s="295"/>
      <c r="K821" s="296"/>
      <c r="L821" s="301"/>
      <c r="M821" s="297"/>
      <c r="N821" s="298"/>
      <c r="P821" s="190" t="str">
        <f>IF(R821 = "", "", COUNT(R$4:$R821))</f>
        <v/>
      </c>
      <c r="Q821" s="190" t="str">
        <f t="shared" si="121"/>
        <v/>
      </c>
      <c r="R821" s="191" t="str">
        <f t="shared" si="122"/>
        <v/>
      </c>
      <c r="S821" s="192" t="str">
        <f t="shared" si="124"/>
        <v/>
      </c>
      <c r="T821" s="193" t="str">
        <f t="shared" si="125"/>
        <v/>
      </c>
      <c r="U821" s="194" t="str">
        <f t="shared" si="126"/>
        <v/>
      </c>
      <c r="V821" s="195" t="str">
        <f t="shared" si="123"/>
        <v/>
      </c>
      <c r="W821" s="336" t="str">
        <f t="shared" si="127"/>
        <v/>
      </c>
      <c r="X821" s="338" t="str">
        <f t="shared" si="128"/>
        <v/>
      </c>
      <c r="Y821" s="274"/>
      <c r="AR821" t="str">
        <f t="shared" si="129"/>
        <v/>
      </c>
      <c r="AS821" t="str">
        <f t="shared" si="130"/>
        <v/>
      </c>
    </row>
    <row r="822" spans="1:45">
      <c r="A822" s="291"/>
      <c r="B822" s="292"/>
      <c r="C822" s="293"/>
      <c r="D822" s="293"/>
      <c r="E822" s="293"/>
      <c r="F822" s="293"/>
      <c r="G822" s="294"/>
      <c r="H822" s="300"/>
      <c r="I822" s="295"/>
      <c r="J822" s="295"/>
      <c r="K822" s="296"/>
      <c r="L822" s="301"/>
      <c r="M822" s="297"/>
      <c r="N822" s="298"/>
      <c r="P822" s="190" t="str">
        <f>IF(R822 = "", "", COUNT(R$4:$R822))</f>
        <v/>
      </c>
      <c r="Q822" s="190" t="str">
        <f t="shared" si="121"/>
        <v/>
      </c>
      <c r="R822" s="191" t="str">
        <f t="shared" si="122"/>
        <v/>
      </c>
      <c r="S822" s="192" t="str">
        <f t="shared" si="124"/>
        <v/>
      </c>
      <c r="T822" s="193" t="str">
        <f t="shared" si="125"/>
        <v/>
      </c>
      <c r="U822" s="194" t="str">
        <f t="shared" si="126"/>
        <v/>
      </c>
      <c r="V822" s="195" t="str">
        <f t="shared" si="123"/>
        <v/>
      </c>
      <c r="W822" s="336" t="str">
        <f t="shared" si="127"/>
        <v/>
      </c>
      <c r="X822" s="338" t="str">
        <f t="shared" si="128"/>
        <v/>
      </c>
      <c r="Y822" s="274"/>
      <c r="AR822" t="str">
        <f t="shared" si="129"/>
        <v/>
      </c>
      <c r="AS822" t="str">
        <f t="shared" si="130"/>
        <v/>
      </c>
    </row>
    <row r="823" spans="1:45">
      <c r="A823" s="291"/>
      <c r="B823" s="292"/>
      <c r="C823" s="293"/>
      <c r="D823" s="293"/>
      <c r="E823" s="293"/>
      <c r="F823" s="293"/>
      <c r="G823" s="294"/>
      <c r="H823" s="300"/>
      <c r="I823" s="295"/>
      <c r="J823" s="295"/>
      <c r="K823" s="296"/>
      <c r="L823" s="301"/>
      <c r="M823" s="297"/>
      <c r="N823" s="298"/>
      <c r="P823" s="190" t="str">
        <f>IF(R823 = "", "", COUNT(R$4:$R823))</f>
        <v/>
      </c>
      <c r="Q823" s="190" t="str">
        <f t="shared" si="121"/>
        <v/>
      </c>
      <c r="R823" s="191" t="str">
        <f t="shared" si="122"/>
        <v/>
      </c>
      <c r="S823" s="192" t="str">
        <f t="shared" si="124"/>
        <v/>
      </c>
      <c r="T823" s="193" t="str">
        <f t="shared" si="125"/>
        <v/>
      </c>
      <c r="U823" s="194" t="str">
        <f t="shared" si="126"/>
        <v/>
      </c>
      <c r="V823" s="195" t="str">
        <f t="shared" si="123"/>
        <v/>
      </c>
      <c r="W823" s="336" t="str">
        <f t="shared" si="127"/>
        <v/>
      </c>
      <c r="X823" s="338" t="str">
        <f t="shared" si="128"/>
        <v/>
      </c>
      <c r="Y823" s="274"/>
      <c r="AR823" t="str">
        <f t="shared" si="129"/>
        <v/>
      </c>
      <c r="AS823" t="str">
        <f t="shared" si="130"/>
        <v/>
      </c>
    </row>
    <row r="824" spans="1:45">
      <c r="A824" s="291"/>
      <c r="B824" s="292"/>
      <c r="C824" s="293"/>
      <c r="D824" s="293"/>
      <c r="E824" s="293"/>
      <c r="F824" s="293"/>
      <c r="G824" s="294"/>
      <c r="H824" s="300"/>
      <c r="I824" s="295"/>
      <c r="J824" s="295"/>
      <c r="K824" s="296"/>
      <c r="L824" s="301"/>
      <c r="M824" s="297"/>
      <c r="N824" s="298"/>
      <c r="P824" s="190" t="str">
        <f>IF(R824 = "", "", COUNT(R$4:$R824))</f>
        <v/>
      </c>
      <c r="Q824" s="190" t="str">
        <f t="shared" si="121"/>
        <v/>
      </c>
      <c r="R824" s="191" t="str">
        <f t="shared" si="122"/>
        <v/>
      </c>
      <c r="S824" s="192" t="str">
        <f t="shared" si="124"/>
        <v/>
      </c>
      <c r="T824" s="193" t="str">
        <f t="shared" si="125"/>
        <v/>
      </c>
      <c r="U824" s="194" t="str">
        <f t="shared" si="126"/>
        <v/>
      </c>
      <c r="V824" s="195" t="str">
        <f t="shared" si="123"/>
        <v/>
      </c>
      <c r="W824" s="336" t="str">
        <f t="shared" si="127"/>
        <v/>
      </c>
      <c r="X824" s="338" t="str">
        <f t="shared" si="128"/>
        <v/>
      </c>
      <c r="Y824" s="274"/>
      <c r="AR824" t="str">
        <f t="shared" si="129"/>
        <v/>
      </c>
      <c r="AS824" t="str">
        <f t="shared" si="130"/>
        <v/>
      </c>
    </row>
    <row r="825" spans="1:45">
      <c r="A825" s="291"/>
      <c r="B825" s="292"/>
      <c r="C825" s="293"/>
      <c r="D825" s="293"/>
      <c r="E825" s="293"/>
      <c r="F825" s="293"/>
      <c r="G825" s="294"/>
      <c r="H825" s="300"/>
      <c r="I825" s="295"/>
      <c r="J825" s="295"/>
      <c r="K825" s="296"/>
      <c r="L825" s="301"/>
      <c r="M825" s="297"/>
      <c r="N825" s="298"/>
      <c r="P825" s="190" t="str">
        <f>IF(R825 = "", "", COUNT(R$4:$R825))</f>
        <v/>
      </c>
      <c r="Q825" s="190" t="str">
        <f t="shared" si="121"/>
        <v/>
      </c>
      <c r="R825" s="191" t="str">
        <f t="shared" si="122"/>
        <v/>
      </c>
      <c r="S825" s="192" t="str">
        <f t="shared" si="124"/>
        <v/>
      </c>
      <c r="T825" s="193" t="str">
        <f t="shared" si="125"/>
        <v/>
      </c>
      <c r="U825" s="194" t="str">
        <f t="shared" si="126"/>
        <v/>
      </c>
      <c r="V825" s="195" t="str">
        <f t="shared" si="123"/>
        <v/>
      </c>
      <c r="W825" s="336" t="str">
        <f t="shared" si="127"/>
        <v/>
      </c>
      <c r="X825" s="338" t="str">
        <f t="shared" si="128"/>
        <v/>
      </c>
      <c r="Y825" s="274"/>
      <c r="AR825" t="str">
        <f t="shared" si="129"/>
        <v/>
      </c>
      <c r="AS825" t="str">
        <f t="shared" si="130"/>
        <v/>
      </c>
    </row>
    <row r="826" spans="1:45">
      <c r="A826" s="291"/>
      <c r="B826" s="292"/>
      <c r="C826" s="293"/>
      <c r="D826" s="293"/>
      <c r="E826" s="293"/>
      <c r="F826" s="293"/>
      <c r="G826" s="294"/>
      <c r="H826" s="300"/>
      <c r="I826" s="295"/>
      <c r="J826" s="295"/>
      <c r="K826" s="296"/>
      <c r="L826" s="301"/>
      <c r="M826" s="297"/>
      <c r="N826" s="298"/>
      <c r="P826" s="190" t="str">
        <f>IF(R826 = "", "", COUNT(R$4:$R826))</f>
        <v/>
      </c>
      <c r="Q826" s="190" t="str">
        <f t="shared" si="121"/>
        <v/>
      </c>
      <c r="R826" s="191" t="str">
        <f t="shared" si="122"/>
        <v/>
      </c>
      <c r="S826" s="192" t="str">
        <f t="shared" si="124"/>
        <v/>
      </c>
      <c r="T826" s="193" t="str">
        <f t="shared" si="125"/>
        <v/>
      </c>
      <c r="U826" s="194" t="str">
        <f t="shared" si="126"/>
        <v/>
      </c>
      <c r="V826" s="195" t="str">
        <f t="shared" si="123"/>
        <v/>
      </c>
      <c r="W826" s="336" t="str">
        <f t="shared" si="127"/>
        <v/>
      </c>
      <c r="X826" s="338" t="str">
        <f t="shared" si="128"/>
        <v/>
      </c>
      <c r="Y826" s="274"/>
      <c r="AR826" t="str">
        <f t="shared" si="129"/>
        <v/>
      </c>
      <c r="AS826" t="str">
        <f t="shared" si="130"/>
        <v/>
      </c>
    </row>
    <row r="827" spans="1:45">
      <c r="A827" s="291"/>
      <c r="B827" s="292"/>
      <c r="C827" s="293"/>
      <c r="D827" s="293"/>
      <c r="E827" s="293"/>
      <c r="F827" s="293"/>
      <c r="G827" s="294"/>
      <c r="H827" s="300"/>
      <c r="I827" s="295"/>
      <c r="J827" s="295"/>
      <c r="K827" s="296"/>
      <c r="L827" s="301"/>
      <c r="M827" s="297"/>
      <c r="N827" s="298"/>
      <c r="P827" s="190" t="str">
        <f>IF(R827 = "", "", COUNT(R$4:$R827))</f>
        <v/>
      </c>
      <c r="Q827" s="190" t="str">
        <f t="shared" si="121"/>
        <v/>
      </c>
      <c r="R827" s="191" t="str">
        <f t="shared" si="122"/>
        <v/>
      </c>
      <c r="S827" s="192" t="str">
        <f t="shared" si="124"/>
        <v/>
      </c>
      <c r="T827" s="193" t="str">
        <f t="shared" si="125"/>
        <v/>
      </c>
      <c r="U827" s="194" t="str">
        <f t="shared" si="126"/>
        <v/>
      </c>
      <c r="V827" s="195" t="str">
        <f t="shared" si="123"/>
        <v/>
      </c>
      <c r="W827" s="336" t="str">
        <f t="shared" si="127"/>
        <v/>
      </c>
      <c r="X827" s="338" t="str">
        <f t="shared" si="128"/>
        <v/>
      </c>
      <c r="Y827" s="274"/>
      <c r="AR827" t="str">
        <f t="shared" si="129"/>
        <v/>
      </c>
      <c r="AS827" t="str">
        <f t="shared" si="130"/>
        <v/>
      </c>
    </row>
    <row r="828" spans="1:45">
      <c r="A828" s="291"/>
      <c r="B828" s="292"/>
      <c r="C828" s="293"/>
      <c r="D828" s="293"/>
      <c r="E828" s="293"/>
      <c r="F828" s="293"/>
      <c r="G828" s="294"/>
      <c r="H828" s="300"/>
      <c r="I828" s="295"/>
      <c r="J828" s="295"/>
      <c r="K828" s="296"/>
      <c r="L828" s="301"/>
      <c r="M828" s="297"/>
      <c r="N828" s="298"/>
      <c r="P828" s="190" t="str">
        <f>IF(R828 = "", "", COUNT(R$4:$R828))</f>
        <v/>
      </c>
      <c r="Q828" s="190" t="str">
        <f t="shared" si="121"/>
        <v/>
      </c>
      <c r="R828" s="191" t="str">
        <f t="shared" si="122"/>
        <v/>
      </c>
      <c r="S828" s="192" t="str">
        <f t="shared" si="124"/>
        <v/>
      </c>
      <c r="T828" s="193" t="str">
        <f t="shared" si="125"/>
        <v/>
      </c>
      <c r="U828" s="194" t="str">
        <f t="shared" si="126"/>
        <v/>
      </c>
      <c r="V828" s="195" t="str">
        <f t="shared" si="123"/>
        <v/>
      </c>
      <c r="W828" s="336" t="str">
        <f t="shared" si="127"/>
        <v/>
      </c>
      <c r="X828" s="338" t="str">
        <f t="shared" si="128"/>
        <v/>
      </c>
      <c r="Y828" s="274"/>
      <c r="AR828" t="str">
        <f t="shared" si="129"/>
        <v/>
      </c>
      <c r="AS828" t="str">
        <f t="shared" si="130"/>
        <v/>
      </c>
    </row>
    <row r="829" spans="1:45">
      <c r="A829" s="291"/>
      <c r="B829" s="292"/>
      <c r="C829" s="293"/>
      <c r="D829" s="293"/>
      <c r="E829" s="293"/>
      <c r="F829" s="293"/>
      <c r="G829" s="294"/>
      <c r="H829" s="300"/>
      <c r="I829" s="295"/>
      <c r="J829" s="295"/>
      <c r="K829" s="296"/>
      <c r="L829" s="301"/>
      <c r="M829" s="297"/>
      <c r="N829" s="298"/>
      <c r="P829" s="190" t="str">
        <f>IF(R829 = "", "", COUNT(R$4:$R829))</f>
        <v/>
      </c>
      <c r="Q829" s="190" t="str">
        <f t="shared" si="121"/>
        <v/>
      </c>
      <c r="R829" s="191" t="str">
        <f t="shared" si="122"/>
        <v/>
      </c>
      <c r="S829" s="192" t="str">
        <f t="shared" si="124"/>
        <v/>
      </c>
      <c r="T829" s="193" t="str">
        <f t="shared" si="125"/>
        <v/>
      </c>
      <c r="U829" s="194" t="str">
        <f t="shared" si="126"/>
        <v/>
      </c>
      <c r="V829" s="195" t="str">
        <f t="shared" si="123"/>
        <v/>
      </c>
      <c r="W829" s="336" t="str">
        <f t="shared" si="127"/>
        <v/>
      </c>
      <c r="X829" s="338" t="str">
        <f t="shared" si="128"/>
        <v/>
      </c>
      <c r="Y829" s="274"/>
      <c r="AR829" t="str">
        <f t="shared" si="129"/>
        <v/>
      </c>
      <c r="AS829" t="str">
        <f t="shared" si="130"/>
        <v/>
      </c>
    </row>
    <row r="830" spans="1:45">
      <c r="A830" s="291"/>
      <c r="B830" s="292"/>
      <c r="C830" s="293"/>
      <c r="D830" s="293"/>
      <c r="E830" s="293"/>
      <c r="F830" s="293"/>
      <c r="G830" s="294"/>
      <c r="H830" s="300"/>
      <c r="I830" s="295"/>
      <c r="J830" s="295"/>
      <c r="K830" s="296"/>
      <c r="L830" s="301"/>
      <c r="M830" s="297"/>
      <c r="N830" s="298"/>
      <c r="P830" s="190" t="str">
        <f>IF(R830 = "", "", COUNT(R$4:$R830))</f>
        <v/>
      </c>
      <c r="Q830" s="190" t="str">
        <f t="shared" si="121"/>
        <v/>
      </c>
      <c r="R830" s="191" t="str">
        <f t="shared" si="122"/>
        <v/>
      </c>
      <c r="S830" s="192" t="str">
        <f t="shared" si="124"/>
        <v/>
      </c>
      <c r="T830" s="193" t="str">
        <f t="shared" si="125"/>
        <v/>
      </c>
      <c r="U830" s="194" t="str">
        <f t="shared" si="126"/>
        <v/>
      </c>
      <c r="V830" s="195" t="str">
        <f t="shared" si="123"/>
        <v/>
      </c>
      <c r="W830" s="336" t="str">
        <f t="shared" si="127"/>
        <v/>
      </c>
      <c r="X830" s="338" t="str">
        <f t="shared" si="128"/>
        <v/>
      </c>
      <c r="Y830" s="274"/>
      <c r="AR830" t="str">
        <f t="shared" si="129"/>
        <v/>
      </c>
      <c r="AS830" t="str">
        <f t="shared" si="130"/>
        <v/>
      </c>
    </row>
    <row r="831" spans="1:45">
      <c r="A831" s="291"/>
      <c r="B831" s="292"/>
      <c r="C831" s="293"/>
      <c r="D831" s="293"/>
      <c r="E831" s="293"/>
      <c r="F831" s="293"/>
      <c r="G831" s="294"/>
      <c r="H831" s="300"/>
      <c r="I831" s="295"/>
      <c r="J831" s="295"/>
      <c r="K831" s="296"/>
      <c r="L831" s="301"/>
      <c r="M831" s="297"/>
      <c r="N831" s="298"/>
      <c r="P831" s="190" t="str">
        <f>IF(R831 = "", "", COUNT(R$4:$R831))</f>
        <v/>
      </c>
      <c r="Q831" s="190" t="str">
        <f t="shared" si="121"/>
        <v/>
      </c>
      <c r="R831" s="191" t="str">
        <f t="shared" si="122"/>
        <v/>
      </c>
      <c r="S831" s="192" t="str">
        <f t="shared" si="124"/>
        <v/>
      </c>
      <c r="T831" s="193" t="str">
        <f t="shared" si="125"/>
        <v/>
      </c>
      <c r="U831" s="194" t="str">
        <f t="shared" si="126"/>
        <v/>
      </c>
      <c r="V831" s="195" t="str">
        <f t="shared" si="123"/>
        <v/>
      </c>
      <c r="W831" s="336" t="str">
        <f t="shared" si="127"/>
        <v/>
      </c>
      <c r="X831" s="338" t="str">
        <f t="shared" si="128"/>
        <v/>
      </c>
      <c r="Y831" s="274"/>
      <c r="AR831" t="str">
        <f t="shared" si="129"/>
        <v/>
      </c>
      <c r="AS831" t="str">
        <f t="shared" si="130"/>
        <v/>
      </c>
    </row>
    <row r="832" spans="1:45">
      <c r="A832" s="291"/>
      <c r="B832" s="292"/>
      <c r="C832" s="293"/>
      <c r="D832" s="293"/>
      <c r="E832" s="293"/>
      <c r="F832" s="293"/>
      <c r="G832" s="294"/>
      <c r="H832" s="300"/>
      <c r="I832" s="295"/>
      <c r="J832" s="295"/>
      <c r="K832" s="296"/>
      <c r="L832" s="301"/>
      <c r="M832" s="297"/>
      <c r="N832" s="298"/>
      <c r="P832" s="190" t="str">
        <f>IF(R832 = "", "", COUNT(R$4:$R832))</f>
        <v/>
      </c>
      <c r="Q832" s="190" t="str">
        <f t="shared" si="121"/>
        <v/>
      </c>
      <c r="R832" s="191" t="str">
        <f t="shared" si="122"/>
        <v/>
      </c>
      <c r="S832" s="192" t="str">
        <f t="shared" si="124"/>
        <v/>
      </c>
      <c r="T832" s="193" t="str">
        <f t="shared" si="125"/>
        <v/>
      </c>
      <c r="U832" s="194" t="str">
        <f t="shared" si="126"/>
        <v/>
      </c>
      <c r="V832" s="195" t="str">
        <f t="shared" si="123"/>
        <v/>
      </c>
      <c r="W832" s="336" t="str">
        <f t="shared" si="127"/>
        <v/>
      </c>
      <c r="X832" s="338" t="str">
        <f t="shared" si="128"/>
        <v/>
      </c>
      <c r="Y832" s="274"/>
      <c r="AR832" t="str">
        <f t="shared" si="129"/>
        <v/>
      </c>
      <c r="AS832" t="str">
        <f t="shared" si="130"/>
        <v/>
      </c>
    </row>
    <row r="833" spans="1:45">
      <c r="A833" s="291"/>
      <c r="B833" s="292"/>
      <c r="C833" s="293"/>
      <c r="D833" s="293"/>
      <c r="E833" s="293"/>
      <c r="F833" s="293"/>
      <c r="G833" s="294"/>
      <c r="H833" s="300"/>
      <c r="I833" s="295"/>
      <c r="J833" s="295"/>
      <c r="K833" s="296"/>
      <c r="L833" s="301"/>
      <c r="M833" s="297"/>
      <c r="N833" s="298"/>
      <c r="P833" s="190" t="str">
        <f>IF(R833 = "", "", COUNT(R$4:$R833))</f>
        <v/>
      </c>
      <c r="Q833" s="190" t="str">
        <f t="shared" si="121"/>
        <v/>
      </c>
      <c r="R833" s="191" t="str">
        <f t="shared" si="122"/>
        <v/>
      </c>
      <c r="S833" s="192" t="str">
        <f t="shared" si="124"/>
        <v/>
      </c>
      <c r="T833" s="193" t="str">
        <f t="shared" si="125"/>
        <v/>
      </c>
      <c r="U833" s="194" t="str">
        <f t="shared" si="126"/>
        <v/>
      </c>
      <c r="V833" s="195" t="str">
        <f t="shared" si="123"/>
        <v/>
      </c>
      <c r="W833" s="336" t="str">
        <f t="shared" si="127"/>
        <v/>
      </c>
      <c r="X833" s="338" t="str">
        <f t="shared" si="128"/>
        <v/>
      </c>
      <c r="Y833" s="274"/>
      <c r="AR833" t="str">
        <f t="shared" si="129"/>
        <v/>
      </c>
      <c r="AS833" t="str">
        <f t="shared" si="130"/>
        <v/>
      </c>
    </row>
    <row r="834" spans="1:45">
      <c r="A834" s="291"/>
      <c r="B834" s="292"/>
      <c r="C834" s="293"/>
      <c r="D834" s="293"/>
      <c r="E834" s="293"/>
      <c r="F834" s="293"/>
      <c r="G834" s="294"/>
      <c r="H834" s="300"/>
      <c r="I834" s="295"/>
      <c r="J834" s="295"/>
      <c r="K834" s="296"/>
      <c r="L834" s="301"/>
      <c r="M834" s="297"/>
      <c r="N834" s="298"/>
      <c r="P834" s="190" t="str">
        <f>IF(R834 = "", "", COUNT(R$4:$R834))</f>
        <v/>
      </c>
      <c r="Q834" s="190" t="str">
        <f t="shared" si="121"/>
        <v/>
      </c>
      <c r="R834" s="191" t="str">
        <f t="shared" si="122"/>
        <v/>
      </c>
      <c r="S834" s="192" t="str">
        <f t="shared" si="124"/>
        <v/>
      </c>
      <c r="T834" s="193" t="str">
        <f t="shared" si="125"/>
        <v/>
      </c>
      <c r="U834" s="194" t="str">
        <f t="shared" si="126"/>
        <v/>
      </c>
      <c r="V834" s="195" t="str">
        <f t="shared" si="123"/>
        <v/>
      </c>
      <c r="W834" s="336" t="str">
        <f t="shared" si="127"/>
        <v/>
      </c>
      <c r="X834" s="338" t="str">
        <f t="shared" si="128"/>
        <v/>
      </c>
      <c r="Y834" s="274"/>
      <c r="AR834" t="str">
        <f t="shared" si="129"/>
        <v/>
      </c>
      <c r="AS834" t="str">
        <f t="shared" si="130"/>
        <v/>
      </c>
    </row>
    <row r="835" spans="1:45">
      <c r="A835" s="291"/>
      <c r="B835" s="292"/>
      <c r="C835" s="293"/>
      <c r="D835" s="293"/>
      <c r="E835" s="293"/>
      <c r="F835" s="293"/>
      <c r="G835" s="294"/>
      <c r="H835" s="300"/>
      <c r="I835" s="295"/>
      <c r="J835" s="295"/>
      <c r="K835" s="296"/>
      <c r="L835" s="301"/>
      <c r="M835" s="297"/>
      <c r="N835" s="298"/>
      <c r="P835" s="190" t="str">
        <f>IF(R835 = "", "", COUNT(R$4:$R835))</f>
        <v/>
      </c>
      <c r="Q835" s="190" t="str">
        <f t="shared" si="121"/>
        <v/>
      </c>
      <c r="R835" s="191" t="str">
        <f t="shared" si="122"/>
        <v/>
      </c>
      <c r="S835" s="192" t="str">
        <f t="shared" si="124"/>
        <v/>
      </c>
      <c r="T835" s="193" t="str">
        <f t="shared" si="125"/>
        <v/>
      </c>
      <c r="U835" s="194" t="str">
        <f t="shared" si="126"/>
        <v/>
      </c>
      <c r="V835" s="195" t="str">
        <f t="shared" si="123"/>
        <v/>
      </c>
      <c r="W835" s="336" t="str">
        <f t="shared" si="127"/>
        <v/>
      </c>
      <c r="X835" s="338" t="str">
        <f t="shared" si="128"/>
        <v/>
      </c>
      <c r="Y835" s="274"/>
      <c r="AR835" t="str">
        <f t="shared" si="129"/>
        <v/>
      </c>
      <c r="AS835" t="str">
        <f t="shared" si="130"/>
        <v/>
      </c>
    </row>
    <row r="836" spans="1:45">
      <c r="A836" s="291"/>
      <c r="B836" s="292"/>
      <c r="C836" s="293"/>
      <c r="D836" s="293"/>
      <c r="E836" s="293"/>
      <c r="F836" s="293"/>
      <c r="G836" s="294"/>
      <c r="H836" s="300"/>
      <c r="I836" s="295"/>
      <c r="J836" s="295"/>
      <c r="K836" s="296"/>
      <c r="L836" s="301"/>
      <c r="M836" s="297"/>
      <c r="N836" s="298"/>
      <c r="P836" s="190" t="str">
        <f>IF(R836 = "", "", COUNT(R$4:$R836))</f>
        <v/>
      </c>
      <c r="Q836" s="190" t="str">
        <f t="shared" ref="Q836:Q899" si="131">IF(C836 &gt; 0, YEAR(B836), "")</f>
        <v/>
      </c>
      <c r="R836" s="191" t="str">
        <f t="shared" ref="R836:R899" si="132">IF(A836="", "", IF(G836="",1,IF(G836="O",1,IF(G836="C",8.4,IF(G836="B",8.4,IF(G836="A",76.8,IF(G836="K",76.8,"ERR")))))))</f>
        <v/>
      </c>
      <c r="S836" s="192" t="str">
        <f t="shared" si="124"/>
        <v/>
      </c>
      <c r="T836" s="193" t="str">
        <f t="shared" si="125"/>
        <v/>
      </c>
      <c r="U836" s="194" t="str">
        <f t="shared" si="126"/>
        <v/>
      </c>
      <c r="V836" s="195" t="str">
        <f t="shared" ref="V836:V899" si="133">IF(IF(M836&lt;&gt;"",G836,"")=0, "O", IF(M836&lt;&gt;"",G836,""))</f>
        <v/>
      </c>
      <c r="W836" s="336" t="str">
        <f t="shared" si="127"/>
        <v/>
      </c>
      <c r="X836" s="338" t="str">
        <f t="shared" si="128"/>
        <v/>
      </c>
      <c r="Y836" s="274"/>
      <c r="AR836" t="str">
        <f t="shared" si="129"/>
        <v/>
      </c>
      <c r="AS836" t="str">
        <f t="shared" si="130"/>
        <v/>
      </c>
    </row>
    <row r="837" spans="1:45">
      <c r="A837" s="291"/>
      <c r="B837" s="292"/>
      <c r="C837" s="293"/>
      <c r="D837" s="293"/>
      <c r="E837" s="293"/>
      <c r="F837" s="293"/>
      <c r="G837" s="294"/>
      <c r="H837" s="300"/>
      <c r="I837" s="295"/>
      <c r="J837" s="295"/>
      <c r="K837" s="296"/>
      <c r="L837" s="301"/>
      <c r="M837" s="297"/>
      <c r="N837" s="298"/>
      <c r="P837" s="190" t="str">
        <f>IF(R837 = "", "", COUNT(R$4:$R837))</f>
        <v/>
      </c>
      <c r="Q837" s="190" t="str">
        <f t="shared" si="131"/>
        <v/>
      </c>
      <c r="R837" s="191" t="str">
        <f t="shared" si="132"/>
        <v/>
      </c>
      <c r="S837" s="192" t="str">
        <f t="shared" ref="S837:S900" si="134">IF(L837&lt;&gt;"",R837,"")</f>
        <v/>
      </c>
      <c r="T837" s="193" t="str">
        <f t="shared" ref="T837:T900" si="135">IF(IF(L837&lt;&gt;"",G837,"")=0, "O", IF(L837&lt;&gt;"",G837,""))</f>
        <v/>
      </c>
      <c r="U837" s="194" t="str">
        <f t="shared" ref="U837:U900" si="136">IF(M837&lt;&gt;"",R837,"")</f>
        <v/>
      </c>
      <c r="V837" s="195" t="str">
        <f t="shared" si="133"/>
        <v/>
      </c>
      <c r="W837" s="336" t="str">
        <f t="shared" ref="W837:W900" si="137">IF(N837&lt;&gt;"",R837,"")</f>
        <v/>
      </c>
      <c r="X837" s="338" t="str">
        <f t="shared" ref="X837:X900" si="138">IF(IF(N837&lt;&gt;"",G837,"")=0, "O", IF(N837&lt;&gt;"",G837,""))</f>
        <v/>
      </c>
      <c r="Y837" s="274"/>
      <c r="AR837" t="str">
        <f t="shared" ref="AR837:AR900" si="139">IF(P837&gt;0, P837, "")</f>
        <v/>
      </c>
      <c r="AS837" t="str">
        <f t="shared" ref="AS837:AS900" si="140">IF(OR(L837="Y",M837="Y",N837="Y"),"Y","")</f>
        <v/>
      </c>
    </row>
    <row r="838" spans="1:45">
      <c r="A838" s="291"/>
      <c r="B838" s="292"/>
      <c r="C838" s="293"/>
      <c r="D838" s="293"/>
      <c r="E838" s="293"/>
      <c r="F838" s="293"/>
      <c r="G838" s="294"/>
      <c r="H838" s="300"/>
      <c r="I838" s="295"/>
      <c r="J838" s="295"/>
      <c r="K838" s="296"/>
      <c r="L838" s="301"/>
      <c r="M838" s="297"/>
      <c r="N838" s="298"/>
      <c r="P838" s="190" t="str">
        <f>IF(R838 = "", "", COUNT(R$4:$R838))</f>
        <v/>
      </c>
      <c r="Q838" s="190" t="str">
        <f t="shared" si="131"/>
        <v/>
      </c>
      <c r="R838" s="191" t="str">
        <f t="shared" si="132"/>
        <v/>
      </c>
      <c r="S838" s="192" t="str">
        <f t="shared" si="134"/>
        <v/>
      </c>
      <c r="T838" s="193" t="str">
        <f t="shared" si="135"/>
        <v/>
      </c>
      <c r="U838" s="194" t="str">
        <f t="shared" si="136"/>
        <v/>
      </c>
      <c r="V838" s="195" t="str">
        <f t="shared" si="133"/>
        <v/>
      </c>
      <c r="W838" s="336" t="str">
        <f t="shared" si="137"/>
        <v/>
      </c>
      <c r="X838" s="338" t="str">
        <f t="shared" si="138"/>
        <v/>
      </c>
      <c r="Y838" s="274"/>
      <c r="AR838" t="str">
        <f t="shared" si="139"/>
        <v/>
      </c>
      <c r="AS838" t="str">
        <f t="shared" si="140"/>
        <v/>
      </c>
    </row>
    <row r="839" spans="1:45">
      <c r="A839" s="291"/>
      <c r="B839" s="292"/>
      <c r="C839" s="293"/>
      <c r="D839" s="293"/>
      <c r="E839" s="293"/>
      <c r="F839" s="293"/>
      <c r="G839" s="294"/>
      <c r="H839" s="300"/>
      <c r="I839" s="295"/>
      <c r="J839" s="295"/>
      <c r="K839" s="296"/>
      <c r="L839" s="301"/>
      <c r="M839" s="297"/>
      <c r="N839" s="298"/>
      <c r="P839" s="190" t="str">
        <f>IF(R839 = "", "", COUNT(R$4:$R839))</f>
        <v/>
      </c>
      <c r="Q839" s="190" t="str">
        <f t="shared" si="131"/>
        <v/>
      </c>
      <c r="R839" s="191" t="str">
        <f t="shared" si="132"/>
        <v/>
      </c>
      <c r="S839" s="192" t="str">
        <f t="shared" si="134"/>
        <v/>
      </c>
      <c r="T839" s="193" t="str">
        <f t="shared" si="135"/>
        <v/>
      </c>
      <c r="U839" s="194" t="str">
        <f t="shared" si="136"/>
        <v/>
      </c>
      <c r="V839" s="195" t="str">
        <f t="shared" si="133"/>
        <v/>
      </c>
      <c r="W839" s="336" t="str">
        <f t="shared" si="137"/>
        <v/>
      </c>
      <c r="X839" s="338" t="str">
        <f t="shared" si="138"/>
        <v/>
      </c>
      <c r="Y839" s="274"/>
      <c r="AR839" t="str">
        <f t="shared" si="139"/>
        <v/>
      </c>
      <c r="AS839" t="str">
        <f t="shared" si="140"/>
        <v/>
      </c>
    </row>
    <row r="840" spans="1:45">
      <c r="A840" s="291"/>
      <c r="B840" s="292"/>
      <c r="C840" s="293"/>
      <c r="D840" s="293"/>
      <c r="E840" s="293"/>
      <c r="F840" s="293"/>
      <c r="G840" s="294"/>
      <c r="H840" s="300"/>
      <c r="I840" s="295"/>
      <c r="J840" s="295"/>
      <c r="K840" s="296"/>
      <c r="L840" s="301"/>
      <c r="M840" s="297"/>
      <c r="N840" s="298"/>
      <c r="P840" s="190" t="str">
        <f>IF(R840 = "", "", COUNT(R$4:$R840))</f>
        <v/>
      </c>
      <c r="Q840" s="190" t="str">
        <f t="shared" si="131"/>
        <v/>
      </c>
      <c r="R840" s="191" t="str">
        <f t="shared" si="132"/>
        <v/>
      </c>
      <c r="S840" s="192" t="str">
        <f t="shared" si="134"/>
        <v/>
      </c>
      <c r="T840" s="193" t="str">
        <f t="shared" si="135"/>
        <v/>
      </c>
      <c r="U840" s="194" t="str">
        <f t="shared" si="136"/>
        <v/>
      </c>
      <c r="V840" s="195" t="str">
        <f t="shared" si="133"/>
        <v/>
      </c>
      <c r="W840" s="336" t="str">
        <f t="shared" si="137"/>
        <v/>
      </c>
      <c r="X840" s="338" t="str">
        <f t="shared" si="138"/>
        <v/>
      </c>
      <c r="Y840" s="274"/>
      <c r="AR840" t="str">
        <f t="shared" si="139"/>
        <v/>
      </c>
      <c r="AS840" t="str">
        <f t="shared" si="140"/>
        <v/>
      </c>
    </row>
    <row r="841" spans="1:45">
      <c r="A841" s="291"/>
      <c r="B841" s="292"/>
      <c r="C841" s="293"/>
      <c r="D841" s="293"/>
      <c r="E841" s="293"/>
      <c r="F841" s="293"/>
      <c r="G841" s="294"/>
      <c r="H841" s="300"/>
      <c r="I841" s="295"/>
      <c r="J841" s="295"/>
      <c r="K841" s="296"/>
      <c r="L841" s="301"/>
      <c r="M841" s="297"/>
      <c r="N841" s="298"/>
      <c r="P841" s="190" t="str">
        <f>IF(R841 = "", "", COUNT(R$4:$R841))</f>
        <v/>
      </c>
      <c r="Q841" s="190" t="str">
        <f t="shared" si="131"/>
        <v/>
      </c>
      <c r="R841" s="191" t="str">
        <f t="shared" si="132"/>
        <v/>
      </c>
      <c r="S841" s="192" t="str">
        <f t="shared" si="134"/>
        <v/>
      </c>
      <c r="T841" s="193" t="str">
        <f t="shared" si="135"/>
        <v/>
      </c>
      <c r="U841" s="194" t="str">
        <f t="shared" si="136"/>
        <v/>
      </c>
      <c r="V841" s="195" t="str">
        <f t="shared" si="133"/>
        <v/>
      </c>
      <c r="W841" s="336" t="str">
        <f t="shared" si="137"/>
        <v/>
      </c>
      <c r="X841" s="338" t="str">
        <f t="shared" si="138"/>
        <v/>
      </c>
      <c r="Y841" s="274"/>
      <c r="AR841" t="str">
        <f t="shared" si="139"/>
        <v/>
      </c>
      <c r="AS841" t="str">
        <f t="shared" si="140"/>
        <v/>
      </c>
    </row>
    <row r="842" spans="1:45">
      <c r="A842" s="291"/>
      <c r="B842" s="292"/>
      <c r="C842" s="293"/>
      <c r="D842" s="293"/>
      <c r="E842" s="293"/>
      <c r="F842" s="293"/>
      <c r="G842" s="294"/>
      <c r="H842" s="300"/>
      <c r="I842" s="295"/>
      <c r="J842" s="295"/>
      <c r="K842" s="296"/>
      <c r="L842" s="301"/>
      <c r="M842" s="297"/>
      <c r="N842" s="298"/>
      <c r="P842" s="190" t="str">
        <f>IF(R842 = "", "", COUNT(R$4:$R842))</f>
        <v/>
      </c>
      <c r="Q842" s="190" t="str">
        <f t="shared" si="131"/>
        <v/>
      </c>
      <c r="R842" s="191" t="str">
        <f t="shared" si="132"/>
        <v/>
      </c>
      <c r="S842" s="192" t="str">
        <f t="shared" si="134"/>
        <v/>
      </c>
      <c r="T842" s="193" t="str">
        <f t="shared" si="135"/>
        <v/>
      </c>
      <c r="U842" s="194" t="str">
        <f t="shared" si="136"/>
        <v/>
      </c>
      <c r="V842" s="195" t="str">
        <f t="shared" si="133"/>
        <v/>
      </c>
      <c r="W842" s="336" t="str">
        <f t="shared" si="137"/>
        <v/>
      </c>
      <c r="X842" s="338" t="str">
        <f t="shared" si="138"/>
        <v/>
      </c>
      <c r="Y842" s="274"/>
      <c r="AR842" t="str">
        <f t="shared" si="139"/>
        <v/>
      </c>
      <c r="AS842" t="str">
        <f t="shared" si="140"/>
        <v/>
      </c>
    </row>
    <row r="843" spans="1:45">
      <c r="A843" s="291"/>
      <c r="B843" s="292"/>
      <c r="C843" s="293"/>
      <c r="D843" s="293"/>
      <c r="E843" s="293"/>
      <c r="F843" s="293"/>
      <c r="G843" s="294"/>
      <c r="H843" s="300"/>
      <c r="I843" s="295"/>
      <c r="J843" s="295"/>
      <c r="K843" s="296"/>
      <c r="L843" s="301"/>
      <c r="M843" s="297"/>
      <c r="N843" s="298"/>
      <c r="P843" s="190" t="str">
        <f>IF(R843 = "", "", COUNT(R$4:$R843))</f>
        <v/>
      </c>
      <c r="Q843" s="190" t="str">
        <f t="shared" si="131"/>
        <v/>
      </c>
      <c r="R843" s="191" t="str">
        <f t="shared" si="132"/>
        <v/>
      </c>
      <c r="S843" s="192" t="str">
        <f t="shared" si="134"/>
        <v/>
      </c>
      <c r="T843" s="193" t="str">
        <f t="shared" si="135"/>
        <v/>
      </c>
      <c r="U843" s="194" t="str">
        <f t="shared" si="136"/>
        <v/>
      </c>
      <c r="V843" s="195" t="str">
        <f t="shared" si="133"/>
        <v/>
      </c>
      <c r="W843" s="336" t="str">
        <f t="shared" si="137"/>
        <v/>
      </c>
      <c r="X843" s="338" t="str">
        <f t="shared" si="138"/>
        <v/>
      </c>
      <c r="Y843" s="274"/>
      <c r="AR843" t="str">
        <f t="shared" si="139"/>
        <v/>
      </c>
      <c r="AS843" t="str">
        <f t="shared" si="140"/>
        <v/>
      </c>
    </row>
    <row r="844" spans="1:45">
      <c r="A844" s="291"/>
      <c r="B844" s="292"/>
      <c r="C844" s="293"/>
      <c r="D844" s="293"/>
      <c r="E844" s="293"/>
      <c r="F844" s="293"/>
      <c r="G844" s="294"/>
      <c r="H844" s="300"/>
      <c r="I844" s="295"/>
      <c r="J844" s="295"/>
      <c r="K844" s="296"/>
      <c r="L844" s="301"/>
      <c r="M844" s="297"/>
      <c r="N844" s="298"/>
      <c r="P844" s="190" t="str">
        <f>IF(R844 = "", "", COUNT(R$4:$R844))</f>
        <v/>
      </c>
      <c r="Q844" s="190" t="str">
        <f t="shared" si="131"/>
        <v/>
      </c>
      <c r="R844" s="191" t="str">
        <f t="shared" si="132"/>
        <v/>
      </c>
      <c r="S844" s="192" t="str">
        <f t="shared" si="134"/>
        <v/>
      </c>
      <c r="T844" s="193" t="str">
        <f t="shared" si="135"/>
        <v/>
      </c>
      <c r="U844" s="194" t="str">
        <f t="shared" si="136"/>
        <v/>
      </c>
      <c r="V844" s="195" t="str">
        <f t="shared" si="133"/>
        <v/>
      </c>
      <c r="W844" s="336" t="str">
        <f t="shared" si="137"/>
        <v/>
      </c>
      <c r="X844" s="338" t="str">
        <f t="shared" si="138"/>
        <v/>
      </c>
      <c r="Y844" s="274"/>
      <c r="AR844" t="str">
        <f t="shared" si="139"/>
        <v/>
      </c>
      <c r="AS844" t="str">
        <f t="shared" si="140"/>
        <v/>
      </c>
    </row>
    <row r="845" spans="1:45">
      <c r="A845" s="291"/>
      <c r="B845" s="292"/>
      <c r="C845" s="293"/>
      <c r="D845" s="293"/>
      <c r="E845" s="293"/>
      <c r="F845" s="293"/>
      <c r="G845" s="294"/>
      <c r="H845" s="300"/>
      <c r="I845" s="295"/>
      <c r="J845" s="295"/>
      <c r="K845" s="296"/>
      <c r="L845" s="301"/>
      <c r="M845" s="297"/>
      <c r="N845" s="298"/>
      <c r="P845" s="190" t="str">
        <f>IF(R845 = "", "", COUNT(R$4:$R845))</f>
        <v/>
      </c>
      <c r="Q845" s="190" t="str">
        <f t="shared" si="131"/>
        <v/>
      </c>
      <c r="R845" s="191" t="str">
        <f t="shared" si="132"/>
        <v/>
      </c>
      <c r="S845" s="192" t="str">
        <f t="shared" si="134"/>
        <v/>
      </c>
      <c r="T845" s="193" t="str">
        <f t="shared" si="135"/>
        <v/>
      </c>
      <c r="U845" s="194" t="str">
        <f t="shared" si="136"/>
        <v/>
      </c>
      <c r="V845" s="195" t="str">
        <f t="shared" si="133"/>
        <v/>
      </c>
      <c r="W845" s="336" t="str">
        <f t="shared" si="137"/>
        <v/>
      </c>
      <c r="X845" s="338" t="str">
        <f t="shared" si="138"/>
        <v/>
      </c>
      <c r="Y845" s="274"/>
      <c r="AR845" t="str">
        <f t="shared" si="139"/>
        <v/>
      </c>
      <c r="AS845" t="str">
        <f t="shared" si="140"/>
        <v/>
      </c>
    </row>
    <row r="846" spans="1:45">
      <c r="A846" s="291"/>
      <c r="B846" s="292"/>
      <c r="C846" s="293"/>
      <c r="D846" s="293"/>
      <c r="E846" s="293"/>
      <c r="F846" s="293"/>
      <c r="G846" s="294"/>
      <c r="H846" s="300"/>
      <c r="I846" s="295"/>
      <c r="J846" s="295"/>
      <c r="K846" s="296"/>
      <c r="L846" s="301"/>
      <c r="M846" s="297"/>
      <c r="N846" s="298"/>
      <c r="P846" s="190" t="str">
        <f>IF(R846 = "", "", COUNT(R$4:$R846))</f>
        <v/>
      </c>
      <c r="Q846" s="190" t="str">
        <f t="shared" si="131"/>
        <v/>
      </c>
      <c r="R846" s="191" t="str">
        <f t="shared" si="132"/>
        <v/>
      </c>
      <c r="S846" s="192" t="str">
        <f t="shared" si="134"/>
        <v/>
      </c>
      <c r="T846" s="193" t="str">
        <f t="shared" si="135"/>
        <v/>
      </c>
      <c r="U846" s="194" t="str">
        <f t="shared" si="136"/>
        <v/>
      </c>
      <c r="V846" s="195" t="str">
        <f t="shared" si="133"/>
        <v/>
      </c>
      <c r="W846" s="336" t="str">
        <f t="shared" si="137"/>
        <v/>
      </c>
      <c r="X846" s="338" t="str">
        <f t="shared" si="138"/>
        <v/>
      </c>
      <c r="Y846" s="274"/>
      <c r="AR846" t="str">
        <f t="shared" si="139"/>
        <v/>
      </c>
      <c r="AS846" t="str">
        <f t="shared" si="140"/>
        <v/>
      </c>
    </row>
    <row r="847" spans="1:45">
      <c r="A847" s="291"/>
      <c r="B847" s="292"/>
      <c r="C847" s="293"/>
      <c r="D847" s="293"/>
      <c r="E847" s="293"/>
      <c r="F847" s="293"/>
      <c r="G847" s="294"/>
      <c r="H847" s="300"/>
      <c r="I847" s="295"/>
      <c r="J847" s="295"/>
      <c r="K847" s="296"/>
      <c r="L847" s="301"/>
      <c r="M847" s="297"/>
      <c r="N847" s="298"/>
      <c r="P847" s="190" t="str">
        <f>IF(R847 = "", "", COUNT(R$4:$R847))</f>
        <v/>
      </c>
      <c r="Q847" s="190" t="str">
        <f t="shared" si="131"/>
        <v/>
      </c>
      <c r="R847" s="191" t="str">
        <f t="shared" si="132"/>
        <v/>
      </c>
      <c r="S847" s="192" t="str">
        <f t="shared" si="134"/>
        <v/>
      </c>
      <c r="T847" s="193" t="str">
        <f t="shared" si="135"/>
        <v/>
      </c>
      <c r="U847" s="194" t="str">
        <f t="shared" si="136"/>
        <v/>
      </c>
      <c r="V847" s="195" t="str">
        <f t="shared" si="133"/>
        <v/>
      </c>
      <c r="W847" s="336" t="str">
        <f t="shared" si="137"/>
        <v/>
      </c>
      <c r="X847" s="338" t="str">
        <f t="shared" si="138"/>
        <v/>
      </c>
      <c r="Y847" s="274"/>
      <c r="AR847" t="str">
        <f t="shared" si="139"/>
        <v/>
      </c>
      <c r="AS847" t="str">
        <f t="shared" si="140"/>
        <v/>
      </c>
    </row>
    <row r="848" spans="1:45">
      <c r="A848" s="291"/>
      <c r="B848" s="292"/>
      <c r="C848" s="293"/>
      <c r="D848" s="293"/>
      <c r="E848" s="293"/>
      <c r="F848" s="293"/>
      <c r="G848" s="294"/>
      <c r="H848" s="300"/>
      <c r="I848" s="295"/>
      <c r="J848" s="295"/>
      <c r="K848" s="296"/>
      <c r="L848" s="301"/>
      <c r="M848" s="297"/>
      <c r="N848" s="298"/>
      <c r="P848" s="190" t="str">
        <f>IF(R848 = "", "", COUNT(R$4:$R848))</f>
        <v/>
      </c>
      <c r="Q848" s="190" t="str">
        <f t="shared" si="131"/>
        <v/>
      </c>
      <c r="R848" s="191" t="str">
        <f t="shared" si="132"/>
        <v/>
      </c>
      <c r="S848" s="192" t="str">
        <f t="shared" si="134"/>
        <v/>
      </c>
      <c r="T848" s="193" t="str">
        <f t="shared" si="135"/>
        <v/>
      </c>
      <c r="U848" s="194" t="str">
        <f t="shared" si="136"/>
        <v/>
      </c>
      <c r="V848" s="195" t="str">
        <f t="shared" si="133"/>
        <v/>
      </c>
      <c r="W848" s="336" t="str">
        <f t="shared" si="137"/>
        <v/>
      </c>
      <c r="X848" s="338" t="str">
        <f t="shared" si="138"/>
        <v/>
      </c>
      <c r="Y848" s="274"/>
      <c r="AR848" t="str">
        <f t="shared" si="139"/>
        <v/>
      </c>
      <c r="AS848" t="str">
        <f t="shared" si="140"/>
        <v/>
      </c>
    </row>
    <row r="849" spans="1:45">
      <c r="A849" s="291"/>
      <c r="B849" s="292"/>
      <c r="C849" s="293"/>
      <c r="D849" s="293"/>
      <c r="E849" s="293"/>
      <c r="F849" s="293"/>
      <c r="G849" s="294"/>
      <c r="H849" s="300"/>
      <c r="I849" s="295"/>
      <c r="J849" s="295"/>
      <c r="K849" s="296"/>
      <c r="L849" s="301"/>
      <c r="M849" s="297"/>
      <c r="N849" s="298"/>
      <c r="P849" s="190" t="str">
        <f>IF(R849 = "", "", COUNT(R$4:$R849))</f>
        <v/>
      </c>
      <c r="Q849" s="190" t="str">
        <f t="shared" si="131"/>
        <v/>
      </c>
      <c r="R849" s="191" t="str">
        <f t="shared" si="132"/>
        <v/>
      </c>
      <c r="S849" s="192" t="str">
        <f t="shared" si="134"/>
        <v/>
      </c>
      <c r="T849" s="193" t="str">
        <f t="shared" si="135"/>
        <v/>
      </c>
      <c r="U849" s="194" t="str">
        <f t="shared" si="136"/>
        <v/>
      </c>
      <c r="V849" s="195" t="str">
        <f t="shared" si="133"/>
        <v/>
      </c>
      <c r="W849" s="336" t="str">
        <f t="shared" si="137"/>
        <v/>
      </c>
      <c r="X849" s="338" t="str">
        <f t="shared" si="138"/>
        <v/>
      </c>
      <c r="Y849" s="274"/>
      <c r="AR849" t="str">
        <f t="shared" si="139"/>
        <v/>
      </c>
      <c r="AS849" t="str">
        <f t="shared" si="140"/>
        <v/>
      </c>
    </row>
    <row r="850" spans="1:45">
      <c r="A850" s="291"/>
      <c r="B850" s="292"/>
      <c r="C850" s="293"/>
      <c r="D850" s="293"/>
      <c r="E850" s="293"/>
      <c r="F850" s="293"/>
      <c r="G850" s="294"/>
      <c r="H850" s="300"/>
      <c r="I850" s="295"/>
      <c r="J850" s="295"/>
      <c r="K850" s="296"/>
      <c r="L850" s="301"/>
      <c r="M850" s="297"/>
      <c r="N850" s="298"/>
      <c r="P850" s="190" t="str">
        <f>IF(R850 = "", "", COUNT(R$4:$R850))</f>
        <v/>
      </c>
      <c r="Q850" s="190" t="str">
        <f t="shared" si="131"/>
        <v/>
      </c>
      <c r="R850" s="191" t="str">
        <f t="shared" si="132"/>
        <v/>
      </c>
      <c r="S850" s="192" t="str">
        <f t="shared" si="134"/>
        <v/>
      </c>
      <c r="T850" s="193" t="str">
        <f t="shared" si="135"/>
        <v/>
      </c>
      <c r="U850" s="194" t="str">
        <f t="shared" si="136"/>
        <v/>
      </c>
      <c r="V850" s="195" t="str">
        <f t="shared" si="133"/>
        <v/>
      </c>
      <c r="W850" s="336" t="str">
        <f t="shared" si="137"/>
        <v/>
      </c>
      <c r="X850" s="338" t="str">
        <f t="shared" si="138"/>
        <v/>
      </c>
      <c r="Y850" s="274"/>
      <c r="AR850" t="str">
        <f t="shared" si="139"/>
        <v/>
      </c>
      <c r="AS850" t="str">
        <f t="shared" si="140"/>
        <v/>
      </c>
    </row>
    <row r="851" spans="1:45">
      <c r="A851" s="291"/>
      <c r="B851" s="292"/>
      <c r="C851" s="293"/>
      <c r="D851" s="293"/>
      <c r="E851" s="293"/>
      <c r="F851" s="293"/>
      <c r="G851" s="294"/>
      <c r="H851" s="300"/>
      <c r="I851" s="295"/>
      <c r="J851" s="295"/>
      <c r="K851" s="296"/>
      <c r="L851" s="301"/>
      <c r="M851" s="297"/>
      <c r="N851" s="298"/>
      <c r="P851" s="190" t="str">
        <f>IF(R851 = "", "", COUNT(R$4:$R851))</f>
        <v/>
      </c>
      <c r="Q851" s="190" t="str">
        <f t="shared" si="131"/>
        <v/>
      </c>
      <c r="R851" s="191" t="str">
        <f t="shared" si="132"/>
        <v/>
      </c>
      <c r="S851" s="192" t="str">
        <f t="shared" si="134"/>
        <v/>
      </c>
      <c r="T851" s="193" t="str">
        <f t="shared" si="135"/>
        <v/>
      </c>
      <c r="U851" s="194" t="str">
        <f t="shared" si="136"/>
        <v/>
      </c>
      <c r="V851" s="195" t="str">
        <f t="shared" si="133"/>
        <v/>
      </c>
      <c r="W851" s="336" t="str">
        <f t="shared" si="137"/>
        <v/>
      </c>
      <c r="X851" s="338" t="str">
        <f t="shared" si="138"/>
        <v/>
      </c>
      <c r="Y851" s="274"/>
      <c r="AR851" t="str">
        <f t="shared" si="139"/>
        <v/>
      </c>
      <c r="AS851" t="str">
        <f t="shared" si="140"/>
        <v/>
      </c>
    </row>
    <row r="852" spans="1:45">
      <c r="A852" s="291"/>
      <c r="B852" s="292"/>
      <c r="C852" s="293"/>
      <c r="D852" s="293"/>
      <c r="E852" s="293"/>
      <c r="F852" s="293"/>
      <c r="G852" s="294"/>
      <c r="H852" s="300"/>
      <c r="I852" s="295"/>
      <c r="J852" s="295"/>
      <c r="K852" s="296"/>
      <c r="L852" s="301"/>
      <c r="M852" s="297"/>
      <c r="N852" s="298"/>
      <c r="P852" s="190" t="str">
        <f>IF(R852 = "", "", COUNT(R$4:$R852))</f>
        <v/>
      </c>
      <c r="Q852" s="190" t="str">
        <f t="shared" si="131"/>
        <v/>
      </c>
      <c r="R852" s="191" t="str">
        <f t="shared" si="132"/>
        <v/>
      </c>
      <c r="S852" s="192" t="str">
        <f t="shared" si="134"/>
        <v/>
      </c>
      <c r="T852" s="193" t="str">
        <f t="shared" si="135"/>
        <v/>
      </c>
      <c r="U852" s="194" t="str">
        <f t="shared" si="136"/>
        <v/>
      </c>
      <c r="V852" s="195" t="str">
        <f t="shared" si="133"/>
        <v/>
      </c>
      <c r="W852" s="336" t="str">
        <f t="shared" si="137"/>
        <v/>
      </c>
      <c r="X852" s="338" t="str">
        <f t="shared" si="138"/>
        <v/>
      </c>
      <c r="Y852" s="274"/>
      <c r="AR852" t="str">
        <f t="shared" si="139"/>
        <v/>
      </c>
      <c r="AS852" t="str">
        <f t="shared" si="140"/>
        <v/>
      </c>
    </row>
    <row r="853" spans="1:45">
      <c r="A853" s="291"/>
      <c r="B853" s="292"/>
      <c r="C853" s="293"/>
      <c r="D853" s="293"/>
      <c r="E853" s="293"/>
      <c r="F853" s="293"/>
      <c r="G853" s="294"/>
      <c r="H853" s="300"/>
      <c r="I853" s="295"/>
      <c r="J853" s="295"/>
      <c r="K853" s="296"/>
      <c r="L853" s="301"/>
      <c r="M853" s="297"/>
      <c r="N853" s="298"/>
      <c r="P853" s="190" t="str">
        <f>IF(R853 = "", "", COUNT(R$4:$R853))</f>
        <v/>
      </c>
      <c r="Q853" s="190" t="str">
        <f t="shared" si="131"/>
        <v/>
      </c>
      <c r="R853" s="191" t="str">
        <f t="shared" si="132"/>
        <v/>
      </c>
      <c r="S853" s="192" t="str">
        <f t="shared" si="134"/>
        <v/>
      </c>
      <c r="T853" s="193" t="str">
        <f t="shared" si="135"/>
        <v/>
      </c>
      <c r="U853" s="194" t="str">
        <f t="shared" si="136"/>
        <v/>
      </c>
      <c r="V853" s="195" t="str">
        <f t="shared" si="133"/>
        <v/>
      </c>
      <c r="W853" s="336" t="str">
        <f t="shared" si="137"/>
        <v/>
      </c>
      <c r="X853" s="338" t="str">
        <f t="shared" si="138"/>
        <v/>
      </c>
      <c r="Y853" s="274"/>
      <c r="AR853" t="str">
        <f t="shared" si="139"/>
        <v/>
      </c>
      <c r="AS853" t="str">
        <f t="shared" si="140"/>
        <v/>
      </c>
    </row>
    <row r="854" spans="1:45">
      <c r="A854" s="291"/>
      <c r="B854" s="292"/>
      <c r="C854" s="293"/>
      <c r="D854" s="293"/>
      <c r="E854" s="293"/>
      <c r="F854" s="293"/>
      <c r="G854" s="294"/>
      <c r="H854" s="300"/>
      <c r="I854" s="295"/>
      <c r="J854" s="295"/>
      <c r="K854" s="296"/>
      <c r="L854" s="301"/>
      <c r="M854" s="297"/>
      <c r="N854" s="298"/>
      <c r="P854" s="190" t="str">
        <f>IF(R854 = "", "", COUNT(R$4:$R854))</f>
        <v/>
      </c>
      <c r="Q854" s="190" t="str">
        <f t="shared" si="131"/>
        <v/>
      </c>
      <c r="R854" s="191" t="str">
        <f t="shared" si="132"/>
        <v/>
      </c>
      <c r="S854" s="192" t="str">
        <f t="shared" si="134"/>
        <v/>
      </c>
      <c r="T854" s="193" t="str">
        <f t="shared" si="135"/>
        <v/>
      </c>
      <c r="U854" s="194" t="str">
        <f t="shared" si="136"/>
        <v/>
      </c>
      <c r="V854" s="195" t="str">
        <f t="shared" si="133"/>
        <v/>
      </c>
      <c r="W854" s="336" t="str">
        <f t="shared" si="137"/>
        <v/>
      </c>
      <c r="X854" s="338" t="str">
        <f t="shared" si="138"/>
        <v/>
      </c>
      <c r="Y854" s="274"/>
      <c r="AR854" t="str">
        <f t="shared" si="139"/>
        <v/>
      </c>
      <c r="AS854" t="str">
        <f t="shared" si="140"/>
        <v/>
      </c>
    </row>
    <row r="855" spans="1:45">
      <c r="A855" s="291"/>
      <c r="B855" s="292"/>
      <c r="C855" s="293"/>
      <c r="D855" s="293"/>
      <c r="E855" s="293"/>
      <c r="F855" s="293"/>
      <c r="G855" s="294"/>
      <c r="H855" s="300"/>
      <c r="I855" s="295"/>
      <c r="J855" s="295"/>
      <c r="K855" s="296"/>
      <c r="L855" s="301"/>
      <c r="M855" s="297"/>
      <c r="N855" s="298"/>
      <c r="P855" s="190" t="str">
        <f>IF(R855 = "", "", COUNT(R$4:$R855))</f>
        <v/>
      </c>
      <c r="Q855" s="190" t="str">
        <f t="shared" si="131"/>
        <v/>
      </c>
      <c r="R855" s="191" t="str">
        <f t="shared" si="132"/>
        <v/>
      </c>
      <c r="S855" s="192" t="str">
        <f t="shared" si="134"/>
        <v/>
      </c>
      <c r="T855" s="193" t="str">
        <f t="shared" si="135"/>
        <v/>
      </c>
      <c r="U855" s="194" t="str">
        <f t="shared" si="136"/>
        <v/>
      </c>
      <c r="V855" s="195" t="str">
        <f t="shared" si="133"/>
        <v/>
      </c>
      <c r="W855" s="336" t="str">
        <f t="shared" si="137"/>
        <v/>
      </c>
      <c r="X855" s="338" t="str">
        <f t="shared" si="138"/>
        <v/>
      </c>
      <c r="Y855" s="274"/>
      <c r="AR855" t="str">
        <f t="shared" si="139"/>
        <v/>
      </c>
      <c r="AS855" t="str">
        <f t="shared" si="140"/>
        <v/>
      </c>
    </row>
    <row r="856" spans="1:45">
      <c r="A856" s="291"/>
      <c r="B856" s="292"/>
      <c r="C856" s="293"/>
      <c r="D856" s="293"/>
      <c r="E856" s="293"/>
      <c r="F856" s="293"/>
      <c r="G856" s="294"/>
      <c r="H856" s="300"/>
      <c r="I856" s="295"/>
      <c r="J856" s="295"/>
      <c r="K856" s="296"/>
      <c r="L856" s="301"/>
      <c r="M856" s="297"/>
      <c r="N856" s="298"/>
      <c r="P856" s="190" t="str">
        <f>IF(R856 = "", "", COUNT(R$4:$R856))</f>
        <v/>
      </c>
      <c r="Q856" s="190" t="str">
        <f t="shared" si="131"/>
        <v/>
      </c>
      <c r="R856" s="191" t="str">
        <f t="shared" si="132"/>
        <v/>
      </c>
      <c r="S856" s="192" t="str">
        <f t="shared" si="134"/>
        <v/>
      </c>
      <c r="T856" s="193" t="str">
        <f t="shared" si="135"/>
        <v/>
      </c>
      <c r="U856" s="194" t="str">
        <f t="shared" si="136"/>
        <v/>
      </c>
      <c r="V856" s="195" t="str">
        <f t="shared" si="133"/>
        <v/>
      </c>
      <c r="W856" s="336" t="str">
        <f t="shared" si="137"/>
        <v/>
      </c>
      <c r="X856" s="338" t="str">
        <f t="shared" si="138"/>
        <v/>
      </c>
      <c r="Y856" s="274"/>
      <c r="AR856" t="str">
        <f t="shared" si="139"/>
        <v/>
      </c>
      <c r="AS856" t="str">
        <f t="shared" si="140"/>
        <v/>
      </c>
    </row>
    <row r="857" spans="1:45">
      <c r="A857" s="291"/>
      <c r="B857" s="292"/>
      <c r="C857" s="293"/>
      <c r="D857" s="293"/>
      <c r="E857" s="293"/>
      <c r="F857" s="293"/>
      <c r="G857" s="294"/>
      <c r="H857" s="300"/>
      <c r="I857" s="295"/>
      <c r="J857" s="295"/>
      <c r="K857" s="296"/>
      <c r="L857" s="301"/>
      <c r="M857" s="297"/>
      <c r="N857" s="298"/>
      <c r="P857" s="190" t="str">
        <f>IF(R857 = "", "", COUNT(R$4:$R857))</f>
        <v/>
      </c>
      <c r="Q857" s="190" t="str">
        <f t="shared" si="131"/>
        <v/>
      </c>
      <c r="R857" s="191" t="str">
        <f t="shared" si="132"/>
        <v/>
      </c>
      <c r="S857" s="192" t="str">
        <f t="shared" si="134"/>
        <v/>
      </c>
      <c r="T857" s="193" t="str">
        <f t="shared" si="135"/>
        <v/>
      </c>
      <c r="U857" s="194" t="str">
        <f t="shared" si="136"/>
        <v/>
      </c>
      <c r="V857" s="195" t="str">
        <f t="shared" si="133"/>
        <v/>
      </c>
      <c r="W857" s="336" t="str">
        <f t="shared" si="137"/>
        <v/>
      </c>
      <c r="X857" s="338" t="str">
        <f t="shared" si="138"/>
        <v/>
      </c>
      <c r="Y857" s="274"/>
      <c r="AR857" t="str">
        <f t="shared" si="139"/>
        <v/>
      </c>
      <c r="AS857" t="str">
        <f t="shared" si="140"/>
        <v/>
      </c>
    </row>
    <row r="858" spans="1:45">
      <c r="A858" s="291"/>
      <c r="B858" s="292"/>
      <c r="C858" s="293"/>
      <c r="D858" s="293"/>
      <c r="E858" s="293"/>
      <c r="F858" s="293"/>
      <c r="G858" s="294"/>
      <c r="H858" s="300"/>
      <c r="I858" s="295"/>
      <c r="J858" s="295"/>
      <c r="K858" s="296"/>
      <c r="L858" s="301"/>
      <c r="M858" s="297"/>
      <c r="N858" s="298"/>
      <c r="P858" s="190" t="str">
        <f>IF(R858 = "", "", COUNT(R$4:$R858))</f>
        <v/>
      </c>
      <c r="Q858" s="190" t="str">
        <f t="shared" si="131"/>
        <v/>
      </c>
      <c r="R858" s="191" t="str">
        <f t="shared" si="132"/>
        <v/>
      </c>
      <c r="S858" s="192" t="str">
        <f t="shared" si="134"/>
        <v/>
      </c>
      <c r="T858" s="193" t="str">
        <f t="shared" si="135"/>
        <v/>
      </c>
      <c r="U858" s="194" t="str">
        <f t="shared" si="136"/>
        <v/>
      </c>
      <c r="V858" s="195" t="str">
        <f t="shared" si="133"/>
        <v/>
      </c>
      <c r="W858" s="336" t="str">
        <f t="shared" si="137"/>
        <v/>
      </c>
      <c r="X858" s="338" t="str">
        <f t="shared" si="138"/>
        <v/>
      </c>
      <c r="Y858" s="274"/>
      <c r="AR858" t="str">
        <f t="shared" si="139"/>
        <v/>
      </c>
      <c r="AS858" t="str">
        <f t="shared" si="140"/>
        <v/>
      </c>
    </row>
    <row r="859" spans="1:45">
      <c r="A859" s="291"/>
      <c r="B859" s="292"/>
      <c r="C859" s="293"/>
      <c r="D859" s="293"/>
      <c r="E859" s="293"/>
      <c r="F859" s="293"/>
      <c r="G859" s="294"/>
      <c r="H859" s="300"/>
      <c r="I859" s="295"/>
      <c r="J859" s="295"/>
      <c r="K859" s="296"/>
      <c r="L859" s="301"/>
      <c r="M859" s="297"/>
      <c r="N859" s="298"/>
      <c r="P859" s="190" t="str">
        <f>IF(R859 = "", "", COUNT(R$4:$R859))</f>
        <v/>
      </c>
      <c r="Q859" s="190" t="str">
        <f t="shared" si="131"/>
        <v/>
      </c>
      <c r="R859" s="191" t="str">
        <f t="shared" si="132"/>
        <v/>
      </c>
      <c r="S859" s="192" t="str">
        <f t="shared" si="134"/>
        <v/>
      </c>
      <c r="T859" s="193" t="str">
        <f t="shared" si="135"/>
        <v/>
      </c>
      <c r="U859" s="194" t="str">
        <f t="shared" si="136"/>
        <v/>
      </c>
      <c r="V859" s="195" t="str">
        <f t="shared" si="133"/>
        <v/>
      </c>
      <c r="W859" s="336" t="str">
        <f t="shared" si="137"/>
        <v/>
      </c>
      <c r="X859" s="338" t="str">
        <f t="shared" si="138"/>
        <v/>
      </c>
      <c r="Y859" s="274"/>
      <c r="AR859" t="str">
        <f t="shared" si="139"/>
        <v/>
      </c>
      <c r="AS859" t="str">
        <f t="shared" si="140"/>
        <v/>
      </c>
    </row>
    <row r="860" spans="1:45">
      <c r="A860" s="291"/>
      <c r="B860" s="292"/>
      <c r="C860" s="293"/>
      <c r="D860" s="293"/>
      <c r="E860" s="293"/>
      <c r="F860" s="293"/>
      <c r="G860" s="294"/>
      <c r="H860" s="300"/>
      <c r="I860" s="295"/>
      <c r="J860" s="295"/>
      <c r="K860" s="296"/>
      <c r="L860" s="301"/>
      <c r="M860" s="297"/>
      <c r="N860" s="298"/>
      <c r="P860" s="190" t="str">
        <f>IF(R860 = "", "", COUNT(R$4:$R860))</f>
        <v/>
      </c>
      <c r="Q860" s="190" t="str">
        <f t="shared" si="131"/>
        <v/>
      </c>
      <c r="R860" s="191" t="str">
        <f t="shared" si="132"/>
        <v/>
      </c>
      <c r="S860" s="192" t="str">
        <f t="shared" si="134"/>
        <v/>
      </c>
      <c r="T860" s="193" t="str">
        <f t="shared" si="135"/>
        <v/>
      </c>
      <c r="U860" s="194" t="str">
        <f t="shared" si="136"/>
        <v/>
      </c>
      <c r="V860" s="195" t="str">
        <f t="shared" si="133"/>
        <v/>
      </c>
      <c r="W860" s="336" t="str">
        <f t="shared" si="137"/>
        <v/>
      </c>
      <c r="X860" s="338" t="str">
        <f t="shared" si="138"/>
        <v/>
      </c>
      <c r="Y860" s="274"/>
      <c r="AR860" t="str">
        <f t="shared" si="139"/>
        <v/>
      </c>
      <c r="AS860" t="str">
        <f t="shared" si="140"/>
        <v/>
      </c>
    </row>
    <row r="861" spans="1:45">
      <c r="A861" s="291"/>
      <c r="B861" s="292"/>
      <c r="C861" s="293"/>
      <c r="D861" s="293"/>
      <c r="E861" s="293"/>
      <c r="F861" s="293"/>
      <c r="G861" s="294"/>
      <c r="H861" s="300"/>
      <c r="I861" s="295"/>
      <c r="J861" s="295"/>
      <c r="K861" s="296"/>
      <c r="L861" s="301"/>
      <c r="M861" s="297"/>
      <c r="N861" s="298"/>
      <c r="P861" s="190" t="str">
        <f>IF(R861 = "", "", COUNT(R$4:$R861))</f>
        <v/>
      </c>
      <c r="Q861" s="190" t="str">
        <f t="shared" si="131"/>
        <v/>
      </c>
      <c r="R861" s="191" t="str">
        <f t="shared" si="132"/>
        <v/>
      </c>
      <c r="S861" s="192" t="str">
        <f t="shared" si="134"/>
        <v/>
      </c>
      <c r="T861" s="193" t="str">
        <f t="shared" si="135"/>
        <v/>
      </c>
      <c r="U861" s="194" t="str">
        <f t="shared" si="136"/>
        <v/>
      </c>
      <c r="V861" s="195" t="str">
        <f t="shared" si="133"/>
        <v/>
      </c>
      <c r="W861" s="336" t="str">
        <f t="shared" si="137"/>
        <v/>
      </c>
      <c r="X861" s="338" t="str">
        <f t="shared" si="138"/>
        <v/>
      </c>
      <c r="Y861" s="274"/>
      <c r="AR861" t="str">
        <f t="shared" si="139"/>
        <v/>
      </c>
      <c r="AS861" t="str">
        <f t="shared" si="140"/>
        <v/>
      </c>
    </row>
    <row r="862" spans="1:45">
      <c r="A862" s="291"/>
      <c r="B862" s="292"/>
      <c r="C862" s="293"/>
      <c r="D862" s="293"/>
      <c r="E862" s="293"/>
      <c r="F862" s="293"/>
      <c r="G862" s="294"/>
      <c r="H862" s="300"/>
      <c r="I862" s="295"/>
      <c r="J862" s="295"/>
      <c r="K862" s="296"/>
      <c r="L862" s="301"/>
      <c r="M862" s="297"/>
      <c r="N862" s="298"/>
      <c r="P862" s="190" t="str">
        <f>IF(R862 = "", "", COUNT(R$4:$R862))</f>
        <v/>
      </c>
      <c r="Q862" s="190" t="str">
        <f t="shared" si="131"/>
        <v/>
      </c>
      <c r="R862" s="191" t="str">
        <f t="shared" si="132"/>
        <v/>
      </c>
      <c r="S862" s="192" t="str">
        <f t="shared" si="134"/>
        <v/>
      </c>
      <c r="T862" s="193" t="str">
        <f t="shared" si="135"/>
        <v/>
      </c>
      <c r="U862" s="194" t="str">
        <f t="shared" si="136"/>
        <v/>
      </c>
      <c r="V862" s="195" t="str">
        <f t="shared" si="133"/>
        <v/>
      </c>
      <c r="W862" s="336" t="str">
        <f t="shared" si="137"/>
        <v/>
      </c>
      <c r="X862" s="338" t="str">
        <f t="shared" si="138"/>
        <v/>
      </c>
      <c r="Y862" s="274"/>
      <c r="AR862" t="str">
        <f t="shared" si="139"/>
        <v/>
      </c>
      <c r="AS862" t="str">
        <f t="shared" si="140"/>
        <v/>
      </c>
    </row>
    <row r="863" spans="1:45">
      <c r="A863" s="291"/>
      <c r="B863" s="292"/>
      <c r="C863" s="293"/>
      <c r="D863" s="293"/>
      <c r="E863" s="293"/>
      <c r="F863" s="293"/>
      <c r="G863" s="294"/>
      <c r="H863" s="300"/>
      <c r="I863" s="295"/>
      <c r="J863" s="295"/>
      <c r="K863" s="296"/>
      <c r="L863" s="301"/>
      <c r="M863" s="297"/>
      <c r="N863" s="298"/>
      <c r="P863" s="190" t="str">
        <f>IF(R863 = "", "", COUNT(R$4:$R863))</f>
        <v/>
      </c>
      <c r="Q863" s="190" t="str">
        <f t="shared" si="131"/>
        <v/>
      </c>
      <c r="R863" s="191" t="str">
        <f t="shared" si="132"/>
        <v/>
      </c>
      <c r="S863" s="192" t="str">
        <f t="shared" si="134"/>
        <v/>
      </c>
      <c r="T863" s="193" t="str">
        <f t="shared" si="135"/>
        <v/>
      </c>
      <c r="U863" s="194" t="str">
        <f t="shared" si="136"/>
        <v/>
      </c>
      <c r="V863" s="195" t="str">
        <f t="shared" si="133"/>
        <v/>
      </c>
      <c r="W863" s="336" t="str">
        <f t="shared" si="137"/>
        <v/>
      </c>
      <c r="X863" s="338" t="str">
        <f t="shared" si="138"/>
        <v/>
      </c>
      <c r="Y863" s="274"/>
      <c r="AR863" t="str">
        <f t="shared" si="139"/>
        <v/>
      </c>
      <c r="AS863" t="str">
        <f t="shared" si="140"/>
        <v/>
      </c>
    </row>
    <row r="864" spans="1:45">
      <c r="A864" s="291"/>
      <c r="B864" s="292"/>
      <c r="C864" s="293"/>
      <c r="D864" s="293"/>
      <c r="E864" s="293"/>
      <c r="F864" s="293"/>
      <c r="G864" s="294"/>
      <c r="H864" s="300"/>
      <c r="I864" s="295"/>
      <c r="J864" s="295"/>
      <c r="K864" s="296"/>
      <c r="L864" s="301"/>
      <c r="M864" s="297"/>
      <c r="N864" s="298"/>
      <c r="P864" s="190" t="str">
        <f>IF(R864 = "", "", COUNT(R$4:$R864))</f>
        <v/>
      </c>
      <c r="Q864" s="190" t="str">
        <f t="shared" si="131"/>
        <v/>
      </c>
      <c r="R864" s="191" t="str">
        <f t="shared" si="132"/>
        <v/>
      </c>
      <c r="S864" s="192" t="str">
        <f t="shared" si="134"/>
        <v/>
      </c>
      <c r="T864" s="193" t="str">
        <f t="shared" si="135"/>
        <v/>
      </c>
      <c r="U864" s="194" t="str">
        <f t="shared" si="136"/>
        <v/>
      </c>
      <c r="V864" s="195" t="str">
        <f t="shared" si="133"/>
        <v/>
      </c>
      <c r="W864" s="336" t="str">
        <f t="shared" si="137"/>
        <v/>
      </c>
      <c r="X864" s="338" t="str">
        <f t="shared" si="138"/>
        <v/>
      </c>
      <c r="Y864" s="274"/>
      <c r="AR864" t="str">
        <f t="shared" si="139"/>
        <v/>
      </c>
      <c r="AS864" t="str">
        <f t="shared" si="140"/>
        <v/>
      </c>
    </row>
    <row r="865" spans="1:45">
      <c r="A865" s="291"/>
      <c r="B865" s="292"/>
      <c r="C865" s="293"/>
      <c r="D865" s="293"/>
      <c r="E865" s="293"/>
      <c r="F865" s="293"/>
      <c r="G865" s="294"/>
      <c r="H865" s="300"/>
      <c r="I865" s="295"/>
      <c r="J865" s="295"/>
      <c r="K865" s="296"/>
      <c r="L865" s="301"/>
      <c r="M865" s="297"/>
      <c r="N865" s="298"/>
      <c r="P865" s="190" t="str">
        <f>IF(R865 = "", "", COUNT(R$4:$R865))</f>
        <v/>
      </c>
      <c r="Q865" s="190" t="str">
        <f t="shared" si="131"/>
        <v/>
      </c>
      <c r="R865" s="191" t="str">
        <f t="shared" si="132"/>
        <v/>
      </c>
      <c r="S865" s="192" t="str">
        <f t="shared" si="134"/>
        <v/>
      </c>
      <c r="T865" s="193" t="str">
        <f t="shared" si="135"/>
        <v/>
      </c>
      <c r="U865" s="194" t="str">
        <f t="shared" si="136"/>
        <v/>
      </c>
      <c r="V865" s="195" t="str">
        <f t="shared" si="133"/>
        <v/>
      </c>
      <c r="W865" s="336" t="str">
        <f t="shared" si="137"/>
        <v/>
      </c>
      <c r="X865" s="338" t="str">
        <f t="shared" si="138"/>
        <v/>
      </c>
      <c r="Y865" s="274"/>
      <c r="AR865" t="str">
        <f t="shared" si="139"/>
        <v/>
      </c>
      <c r="AS865" t="str">
        <f t="shared" si="140"/>
        <v/>
      </c>
    </row>
    <row r="866" spans="1:45">
      <c r="A866" s="291"/>
      <c r="B866" s="292"/>
      <c r="C866" s="293"/>
      <c r="D866" s="293"/>
      <c r="E866" s="293"/>
      <c r="F866" s="293"/>
      <c r="G866" s="294"/>
      <c r="H866" s="300"/>
      <c r="I866" s="295"/>
      <c r="J866" s="295"/>
      <c r="K866" s="296"/>
      <c r="L866" s="301"/>
      <c r="M866" s="297"/>
      <c r="N866" s="298"/>
      <c r="P866" s="190" t="str">
        <f>IF(R866 = "", "", COUNT(R$4:$R866))</f>
        <v/>
      </c>
      <c r="Q866" s="190" t="str">
        <f t="shared" si="131"/>
        <v/>
      </c>
      <c r="R866" s="191" t="str">
        <f t="shared" si="132"/>
        <v/>
      </c>
      <c r="S866" s="192" t="str">
        <f t="shared" si="134"/>
        <v/>
      </c>
      <c r="T866" s="193" t="str">
        <f t="shared" si="135"/>
        <v/>
      </c>
      <c r="U866" s="194" t="str">
        <f t="shared" si="136"/>
        <v/>
      </c>
      <c r="V866" s="195" t="str">
        <f t="shared" si="133"/>
        <v/>
      </c>
      <c r="W866" s="336" t="str">
        <f t="shared" si="137"/>
        <v/>
      </c>
      <c r="X866" s="338" t="str">
        <f t="shared" si="138"/>
        <v/>
      </c>
      <c r="Y866" s="274"/>
      <c r="AR866" t="str">
        <f t="shared" si="139"/>
        <v/>
      </c>
      <c r="AS866" t="str">
        <f t="shared" si="140"/>
        <v/>
      </c>
    </row>
    <row r="867" spans="1:45">
      <c r="A867" s="291"/>
      <c r="B867" s="292"/>
      <c r="C867" s="293"/>
      <c r="D867" s="293"/>
      <c r="E867" s="293"/>
      <c r="F867" s="293"/>
      <c r="G867" s="294"/>
      <c r="H867" s="300"/>
      <c r="I867" s="295"/>
      <c r="J867" s="295"/>
      <c r="K867" s="296"/>
      <c r="L867" s="301"/>
      <c r="M867" s="297"/>
      <c r="N867" s="298"/>
      <c r="P867" s="190" t="str">
        <f>IF(R867 = "", "", COUNT(R$4:$R867))</f>
        <v/>
      </c>
      <c r="Q867" s="190" t="str">
        <f t="shared" si="131"/>
        <v/>
      </c>
      <c r="R867" s="191" t="str">
        <f t="shared" si="132"/>
        <v/>
      </c>
      <c r="S867" s="192" t="str">
        <f t="shared" si="134"/>
        <v/>
      </c>
      <c r="T867" s="193" t="str">
        <f t="shared" si="135"/>
        <v/>
      </c>
      <c r="U867" s="194" t="str">
        <f t="shared" si="136"/>
        <v/>
      </c>
      <c r="V867" s="195" t="str">
        <f t="shared" si="133"/>
        <v/>
      </c>
      <c r="W867" s="336" t="str">
        <f t="shared" si="137"/>
        <v/>
      </c>
      <c r="X867" s="338" t="str">
        <f t="shared" si="138"/>
        <v/>
      </c>
      <c r="Y867" s="274"/>
      <c r="AR867" t="str">
        <f t="shared" si="139"/>
        <v/>
      </c>
      <c r="AS867" t="str">
        <f t="shared" si="140"/>
        <v/>
      </c>
    </row>
    <row r="868" spans="1:45">
      <c r="A868" s="291"/>
      <c r="B868" s="292"/>
      <c r="C868" s="293"/>
      <c r="D868" s="293"/>
      <c r="E868" s="293"/>
      <c r="F868" s="293"/>
      <c r="G868" s="294"/>
      <c r="H868" s="300"/>
      <c r="I868" s="295"/>
      <c r="J868" s="295"/>
      <c r="K868" s="296"/>
      <c r="L868" s="301"/>
      <c r="M868" s="297"/>
      <c r="N868" s="298"/>
      <c r="P868" s="190" t="str">
        <f>IF(R868 = "", "", COUNT(R$4:$R868))</f>
        <v/>
      </c>
      <c r="Q868" s="190" t="str">
        <f t="shared" si="131"/>
        <v/>
      </c>
      <c r="R868" s="191" t="str">
        <f t="shared" si="132"/>
        <v/>
      </c>
      <c r="S868" s="192" t="str">
        <f t="shared" si="134"/>
        <v/>
      </c>
      <c r="T868" s="193" t="str">
        <f t="shared" si="135"/>
        <v/>
      </c>
      <c r="U868" s="194" t="str">
        <f t="shared" si="136"/>
        <v/>
      </c>
      <c r="V868" s="195" t="str">
        <f t="shared" si="133"/>
        <v/>
      </c>
      <c r="W868" s="336" t="str">
        <f t="shared" si="137"/>
        <v/>
      </c>
      <c r="X868" s="338" t="str">
        <f t="shared" si="138"/>
        <v/>
      </c>
      <c r="Y868" s="274"/>
      <c r="AR868" t="str">
        <f t="shared" si="139"/>
        <v/>
      </c>
      <c r="AS868" t="str">
        <f t="shared" si="140"/>
        <v/>
      </c>
    </row>
    <row r="869" spans="1:45">
      <c r="A869" s="291"/>
      <c r="B869" s="292"/>
      <c r="C869" s="293"/>
      <c r="D869" s="293"/>
      <c r="E869" s="293"/>
      <c r="F869" s="293"/>
      <c r="G869" s="294"/>
      <c r="H869" s="300"/>
      <c r="I869" s="295"/>
      <c r="J869" s="295"/>
      <c r="K869" s="296"/>
      <c r="L869" s="301"/>
      <c r="M869" s="297"/>
      <c r="N869" s="298"/>
      <c r="P869" s="190" t="str">
        <f>IF(R869 = "", "", COUNT(R$4:$R869))</f>
        <v/>
      </c>
      <c r="Q869" s="190" t="str">
        <f t="shared" si="131"/>
        <v/>
      </c>
      <c r="R869" s="191" t="str">
        <f t="shared" si="132"/>
        <v/>
      </c>
      <c r="S869" s="192" t="str">
        <f t="shared" si="134"/>
        <v/>
      </c>
      <c r="T869" s="193" t="str">
        <f t="shared" si="135"/>
        <v/>
      </c>
      <c r="U869" s="194" t="str">
        <f t="shared" si="136"/>
        <v/>
      </c>
      <c r="V869" s="195" t="str">
        <f t="shared" si="133"/>
        <v/>
      </c>
      <c r="W869" s="336" t="str">
        <f t="shared" si="137"/>
        <v/>
      </c>
      <c r="X869" s="338" t="str">
        <f t="shared" si="138"/>
        <v/>
      </c>
      <c r="Y869" s="274"/>
      <c r="AR869" t="str">
        <f t="shared" si="139"/>
        <v/>
      </c>
      <c r="AS869" t="str">
        <f t="shared" si="140"/>
        <v/>
      </c>
    </row>
    <row r="870" spans="1:45">
      <c r="A870" s="291"/>
      <c r="B870" s="292"/>
      <c r="C870" s="293"/>
      <c r="D870" s="293"/>
      <c r="E870" s="293"/>
      <c r="F870" s="293"/>
      <c r="G870" s="294"/>
      <c r="H870" s="300"/>
      <c r="I870" s="295"/>
      <c r="J870" s="295"/>
      <c r="K870" s="296"/>
      <c r="L870" s="301"/>
      <c r="M870" s="297"/>
      <c r="N870" s="298"/>
      <c r="P870" s="190" t="str">
        <f>IF(R870 = "", "", COUNT(R$4:$R870))</f>
        <v/>
      </c>
      <c r="Q870" s="190" t="str">
        <f t="shared" si="131"/>
        <v/>
      </c>
      <c r="R870" s="191" t="str">
        <f t="shared" si="132"/>
        <v/>
      </c>
      <c r="S870" s="192" t="str">
        <f t="shared" si="134"/>
        <v/>
      </c>
      <c r="T870" s="193" t="str">
        <f t="shared" si="135"/>
        <v/>
      </c>
      <c r="U870" s="194" t="str">
        <f t="shared" si="136"/>
        <v/>
      </c>
      <c r="V870" s="195" t="str">
        <f t="shared" si="133"/>
        <v/>
      </c>
      <c r="W870" s="336" t="str">
        <f t="shared" si="137"/>
        <v/>
      </c>
      <c r="X870" s="338" t="str">
        <f t="shared" si="138"/>
        <v/>
      </c>
      <c r="Y870" s="274"/>
      <c r="AR870" t="str">
        <f t="shared" si="139"/>
        <v/>
      </c>
      <c r="AS870" t="str">
        <f t="shared" si="140"/>
        <v/>
      </c>
    </row>
    <row r="871" spans="1:45">
      <c r="A871" s="291"/>
      <c r="B871" s="292"/>
      <c r="C871" s="293"/>
      <c r="D871" s="293"/>
      <c r="E871" s="293"/>
      <c r="F871" s="293"/>
      <c r="G871" s="294"/>
      <c r="H871" s="300"/>
      <c r="I871" s="295"/>
      <c r="J871" s="295"/>
      <c r="K871" s="296"/>
      <c r="L871" s="301"/>
      <c r="M871" s="297"/>
      <c r="N871" s="298"/>
      <c r="P871" s="190" t="str">
        <f>IF(R871 = "", "", COUNT(R$4:$R871))</f>
        <v/>
      </c>
      <c r="Q871" s="190" t="str">
        <f t="shared" si="131"/>
        <v/>
      </c>
      <c r="R871" s="191" t="str">
        <f t="shared" si="132"/>
        <v/>
      </c>
      <c r="S871" s="192" t="str">
        <f t="shared" si="134"/>
        <v/>
      </c>
      <c r="T871" s="193" t="str">
        <f t="shared" si="135"/>
        <v/>
      </c>
      <c r="U871" s="194" t="str">
        <f t="shared" si="136"/>
        <v/>
      </c>
      <c r="V871" s="195" t="str">
        <f t="shared" si="133"/>
        <v/>
      </c>
      <c r="W871" s="336" t="str">
        <f t="shared" si="137"/>
        <v/>
      </c>
      <c r="X871" s="338" t="str">
        <f t="shared" si="138"/>
        <v/>
      </c>
      <c r="Y871" s="274"/>
      <c r="AR871" t="str">
        <f t="shared" si="139"/>
        <v/>
      </c>
      <c r="AS871" t="str">
        <f t="shared" si="140"/>
        <v/>
      </c>
    </row>
    <row r="872" spans="1:45">
      <c r="A872" s="291"/>
      <c r="B872" s="292"/>
      <c r="C872" s="293"/>
      <c r="D872" s="293"/>
      <c r="E872" s="293"/>
      <c r="F872" s="293"/>
      <c r="G872" s="294"/>
      <c r="H872" s="300"/>
      <c r="I872" s="295"/>
      <c r="J872" s="295"/>
      <c r="K872" s="296"/>
      <c r="L872" s="301"/>
      <c r="M872" s="297"/>
      <c r="N872" s="298"/>
      <c r="P872" s="190" t="str">
        <f>IF(R872 = "", "", COUNT(R$4:$R872))</f>
        <v/>
      </c>
      <c r="Q872" s="190" t="str">
        <f t="shared" si="131"/>
        <v/>
      </c>
      <c r="R872" s="191" t="str">
        <f t="shared" si="132"/>
        <v/>
      </c>
      <c r="S872" s="192" t="str">
        <f t="shared" si="134"/>
        <v/>
      </c>
      <c r="T872" s="193" t="str">
        <f t="shared" si="135"/>
        <v/>
      </c>
      <c r="U872" s="194" t="str">
        <f t="shared" si="136"/>
        <v/>
      </c>
      <c r="V872" s="195" t="str">
        <f t="shared" si="133"/>
        <v/>
      </c>
      <c r="W872" s="336" t="str">
        <f t="shared" si="137"/>
        <v/>
      </c>
      <c r="X872" s="338" t="str">
        <f t="shared" si="138"/>
        <v/>
      </c>
      <c r="Y872" s="274"/>
      <c r="AR872" t="str">
        <f t="shared" si="139"/>
        <v/>
      </c>
      <c r="AS872" t="str">
        <f t="shared" si="140"/>
        <v/>
      </c>
    </row>
    <row r="873" spans="1:45">
      <c r="A873" s="291"/>
      <c r="B873" s="292"/>
      <c r="C873" s="293"/>
      <c r="D873" s="293"/>
      <c r="E873" s="293"/>
      <c r="F873" s="293"/>
      <c r="G873" s="294"/>
      <c r="H873" s="300"/>
      <c r="I873" s="295"/>
      <c r="J873" s="295"/>
      <c r="K873" s="296"/>
      <c r="L873" s="301"/>
      <c r="M873" s="297"/>
      <c r="N873" s="298"/>
      <c r="P873" s="190" t="str">
        <f>IF(R873 = "", "", COUNT(R$4:$R873))</f>
        <v/>
      </c>
      <c r="Q873" s="190" t="str">
        <f t="shared" si="131"/>
        <v/>
      </c>
      <c r="R873" s="191" t="str">
        <f t="shared" si="132"/>
        <v/>
      </c>
      <c r="S873" s="192" t="str">
        <f t="shared" si="134"/>
        <v/>
      </c>
      <c r="T873" s="193" t="str">
        <f t="shared" si="135"/>
        <v/>
      </c>
      <c r="U873" s="194" t="str">
        <f t="shared" si="136"/>
        <v/>
      </c>
      <c r="V873" s="195" t="str">
        <f t="shared" si="133"/>
        <v/>
      </c>
      <c r="W873" s="336" t="str">
        <f t="shared" si="137"/>
        <v/>
      </c>
      <c r="X873" s="338" t="str">
        <f t="shared" si="138"/>
        <v/>
      </c>
      <c r="Y873" s="274"/>
      <c r="AR873" t="str">
        <f t="shared" si="139"/>
        <v/>
      </c>
      <c r="AS873" t="str">
        <f t="shared" si="140"/>
        <v/>
      </c>
    </row>
    <row r="874" spans="1:45">
      <c r="A874" s="291"/>
      <c r="B874" s="292"/>
      <c r="C874" s="293"/>
      <c r="D874" s="293"/>
      <c r="E874" s="293"/>
      <c r="F874" s="293"/>
      <c r="G874" s="294"/>
      <c r="H874" s="300"/>
      <c r="I874" s="295"/>
      <c r="J874" s="295"/>
      <c r="K874" s="296"/>
      <c r="L874" s="301"/>
      <c r="M874" s="297"/>
      <c r="N874" s="298"/>
      <c r="P874" s="190" t="str">
        <f>IF(R874 = "", "", COUNT(R$4:$R874))</f>
        <v/>
      </c>
      <c r="Q874" s="190" t="str">
        <f t="shared" si="131"/>
        <v/>
      </c>
      <c r="R874" s="191" t="str">
        <f t="shared" si="132"/>
        <v/>
      </c>
      <c r="S874" s="192" t="str">
        <f t="shared" si="134"/>
        <v/>
      </c>
      <c r="T874" s="193" t="str">
        <f t="shared" si="135"/>
        <v/>
      </c>
      <c r="U874" s="194" t="str">
        <f t="shared" si="136"/>
        <v/>
      </c>
      <c r="V874" s="195" t="str">
        <f t="shared" si="133"/>
        <v/>
      </c>
      <c r="W874" s="336" t="str">
        <f t="shared" si="137"/>
        <v/>
      </c>
      <c r="X874" s="338" t="str">
        <f t="shared" si="138"/>
        <v/>
      </c>
      <c r="Y874" s="274"/>
      <c r="AR874" t="str">
        <f t="shared" si="139"/>
        <v/>
      </c>
      <c r="AS874" t="str">
        <f t="shared" si="140"/>
        <v/>
      </c>
    </row>
    <row r="875" spans="1:45">
      <c r="A875" s="291"/>
      <c r="B875" s="292"/>
      <c r="C875" s="293"/>
      <c r="D875" s="293"/>
      <c r="E875" s="293"/>
      <c r="F875" s="293"/>
      <c r="G875" s="294"/>
      <c r="H875" s="300"/>
      <c r="I875" s="295"/>
      <c r="J875" s="295"/>
      <c r="K875" s="296"/>
      <c r="L875" s="301"/>
      <c r="M875" s="297"/>
      <c r="N875" s="298"/>
      <c r="P875" s="190" t="str">
        <f>IF(R875 = "", "", COUNT(R$4:$R875))</f>
        <v/>
      </c>
      <c r="Q875" s="190" t="str">
        <f t="shared" si="131"/>
        <v/>
      </c>
      <c r="R875" s="191" t="str">
        <f t="shared" si="132"/>
        <v/>
      </c>
      <c r="S875" s="192" t="str">
        <f t="shared" si="134"/>
        <v/>
      </c>
      <c r="T875" s="193" t="str">
        <f t="shared" si="135"/>
        <v/>
      </c>
      <c r="U875" s="194" t="str">
        <f t="shared" si="136"/>
        <v/>
      </c>
      <c r="V875" s="195" t="str">
        <f t="shared" si="133"/>
        <v/>
      </c>
      <c r="W875" s="336" t="str">
        <f t="shared" si="137"/>
        <v/>
      </c>
      <c r="X875" s="338" t="str">
        <f t="shared" si="138"/>
        <v/>
      </c>
      <c r="Y875" s="274"/>
      <c r="AR875" t="str">
        <f t="shared" si="139"/>
        <v/>
      </c>
      <c r="AS875" t="str">
        <f t="shared" si="140"/>
        <v/>
      </c>
    </row>
    <row r="876" spans="1:45">
      <c r="A876" s="291"/>
      <c r="B876" s="292"/>
      <c r="C876" s="293"/>
      <c r="D876" s="293"/>
      <c r="E876" s="293"/>
      <c r="F876" s="293"/>
      <c r="G876" s="294"/>
      <c r="H876" s="300"/>
      <c r="I876" s="295"/>
      <c r="J876" s="295"/>
      <c r="K876" s="296"/>
      <c r="L876" s="301"/>
      <c r="M876" s="297"/>
      <c r="N876" s="298"/>
      <c r="P876" s="190" t="str">
        <f>IF(R876 = "", "", COUNT(R$4:$R876))</f>
        <v/>
      </c>
      <c r="Q876" s="190" t="str">
        <f t="shared" si="131"/>
        <v/>
      </c>
      <c r="R876" s="191" t="str">
        <f t="shared" si="132"/>
        <v/>
      </c>
      <c r="S876" s="192" t="str">
        <f t="shared" si="134"/>
        <v/>
      </c>
      <c r="T876" s="193" t="str">
        <f t="shared" si="135"/>
        <v/>
      </c>
      <c r="U876" s="194" t="str">
        <f t="shared" si="136"/>
        <v/>
      </c>
      <c r="V876" s="195" t="str">
        <f t="shared" si="133"/>
        <v/>
      </c>
      <c r="W876" s="336" t="str">
        <f t="shared" si="137"/>
        <v/>
      </c>
      <c r="X876" s="338" t="str">
        <f t="shared" si="138"/>
        <v/>
      </c>
      <c r="Y876" s="274"/>
      <c r="AR876" t="str">
        <f t="shared" si="139"/>
        <v/>
      </c>
      <c r="AS876" t="str">
        <f t="shared" si="140"/>
        <v/>
      </c>
    </row>
    <row r="877" spans="1:45">
      <c r="A877" s="291"/>
      <c r="B877" s="292"/>
      <c r="C877" s="293"/>
      <c r="D877" s="293"/>
      <c r="E877" s="293"/>
      <c r="F877" s="293"/>
      <c r="G877" s="294"/>
      <c r="H877" s="300"/>
      <c r="I877" s="295"/>
      <c r="J877" s="295"/>
      <c r="K877" s="296"/>
      <c r="L877" s="301"/>
      <c r="M877" s="297"/>
      <c r="N877" s="298"/>
      <c r="P877" s="190" t="str">
        <f>IF(R877 = "", "", COUNT(R$4:$R877))</f>
        <v/>
      </c>
      <c r="Q877" s="190" t="str">
        <f t="shared" si="131"/>
        <v/>
      </c>
      <c r="R877" s="191" t="str">
        <f t="shared" si="132"/>
        <v/>
      </c>
      <c r="S877" s="192" t="str">
        <f t="shared" si="134"/>
        <v/>
      </c>
      <c r="T877" s="193" t="str">
        <f t="shared" si="135"/>
        <v/>
      </c>
      <c r="U877" s="194" t="str">
        <f t="shared" si="136"/>
        <v/>
      </c>
      <c r="V877" s="195" t="str">
        <f t="shared" si="133"/>
        <v/>
      </c>
      <c r="W877" s="336" t="str">
        <f t="shared" si="137"/>
        <v/>
      </c>
      <c r="X877" s="338" t="str">
        <f t="shared" si="138"/>
        <v/>
      </c>
      <c r="Y877" s="274"/>
      <c r="AR877" t="str">
        <f t="shared" si="139"/>
        <v/>
      </c>
      <c r="AS877" t="str">
        <f t="shared" si="140"/>
        <v/>
      </c>
    </row>
    <row r="878" spans="1:45">
      <c r="A878" s="291"/>
      <c r="B878" s="292"/>
      <c r="C878" s="293"/>
      <c r="D878" s="293"/>
      <c r="E878" s="293"/>
      <c r="F878" s="293"/>
      <c r="G878" s="294"/>
      <c r="H878" s="300"/>
      <c r="I878" s="295"/>
      <c r="J878" s="295"/>
      <c r="K878" s="296"/>
      <c r="L878" s="301"/>
      <c r="M878" s="297"/>
      <c r="N878" s="298"/>
      <c r="P878" s="190" t="str">
        <f>IF(R878 = "", "", COUNT(R$4:$R878))</f>
        <v/>
      </c>
      <c r="Q878" s="190" t="str">
        <f t="shared" si="131"/>
        <v/>
      </c>
      <c r="R878" s="191" t="str">
        <f t="shared" si="132"/>
        <v/>
      </c>
      <c r="S878" s="192" t="str">
        <f t="shared" si="134"/>
        <v/>
      </c>
      <c r="T878" s="193" t="str">
        <f t="shared" si="135"/>
        <v/>
      </c>
      <c r="U878" s="194" t="str">
        <f t="shared" si="136"/>
        <v/>
      </c>
      <c r="V878" s="195" t="str">
        <f t="shared" si="133"/>
        <v/>
      </c>
      <c r="W878" s="336" t="str">
        <f t="shared" si="137"/>
        <v/>
      </c>
      <c r="X878" s="338" t="str">
        <f t="shared" si="138"/>
        <v/>
      </c>
      <c r="Y878" s="274"/>
      <c r="AR878" t="str">
        <f t="shared" si="139"/>
        <v/>
      </c>
      <c r="AS878" t="str">
        <f t="shared" si="140"/>
        <v/>
      </c>
    </row>
    <row r="879" spans="1:45">
      <c r="A879" s="291"/>
      <c r="B879" s="292"/>
      <c r="C879" s="293"/>
      <c r="D879" s="293"/>
      <c r="E879" s="293"/>
      <c r="F879" s="293"/>
      <c r="G879" s="294"/>
      <c r="H879" s="300"/>
      <c r="I879" s="295"/>
      <c r="J879" s="295"/>
      <c r="K879" s="296"/>
      <c r="L879" s="301"/>
      <c r="M879" s="297"/>
      <c r="N879" s="298"/>
      <c r="P879" s="190" t="str">
        <f>IF(R879 = "", "", COUNT(R$4:$R879))</f>
        <v/>
      </c>
      <c r="Q879" s="190" t="str">
        <f t="shared" si="131"/>
        <v/>
      </c>
      <c r="R879" s="191" t="str">
        <f t="shared" si="132"/>
        <v/>
      </c>
      <c r="S879" s="192" t="str">
        <f t="shared" si="134"/>
        <v/>
      </c>
      <c r="T879" s="193" t="str">
        <f t="shared" si="135"/>
        <v/>
      </c>
      <c r="U879" s="194" t="str">
        <f t="shared" si="136"/>
        <v/>
      </c>
      <c r="V879" s="195" t="str">
        <f t="shared" si="133"/>
        <v/>
      </c>
      <c r="W879" s="336" t="str">
        <f t="shared" si="137"/>
        <v/>
      </c>
      <c r="X879" s="338" t="str">
        <f t="shared" si="138"/>
        <v/>
      </c>
      <c r="Y879" s="274"/>
      <c r="AR879" t="str">
        <f t="shared" si="139"/>
        <v/>
      </c>
      <c r="AS879" t="str">
        <f t="shared" si="140"/>
        <v/>
      </c>
    </row>
    <row r="880" spans="1:45">
      <c r="A880" s="291"/>
      <c r="B880" s="292"/>
      <c r="C880" s="293"/>
      <c r="D880" s="293"/>
      <c r="E880" s="293"/>
      <c r="F880" s="293"/>
      <c r="G880" s="294"/>
      <c r="H880" s="300"/>
      <c r="I880" s="295"/>
      <c r="J880" s="295"/>
      <c r="K880" s="296"/>
      <c r="L880" s="301"/>
      <c r="M880" s="297"/>
      <c r="N880" s="298"/>
      <c r="P880" s="190" t="str">
        <f>IF(R880 = "", "", COUNT(R$4:$R880))</f>
        <v/>
      </c>
      <c r="Q880" s="190" t="str">
        <f t="shared" si="131"/>
        <v/>
      </c>
      <c r="R880" s="191" t="str">
        <f t="shared" si="132"/>
        <v/>
      </c>
      <c r="S880" s="192" t="str">
        <f t="shared" si="134"/>
        <v/>
      </c>
      <c r="T880" s="193" t="str">
        <f t="shared" si="135"/>
        <v/>
      </c>
      <c r="U880" s="194" t="str">
        <f t="shared" si="136"/>
        <v/>
      </c>
      <c r="V880" s="195" t="str">
        <f t="shared" si="133"/>
        <v/>
      </c>
      <c r="W880" s="336" t="str">
        <f t="shared" si="137"/>
        <v/>
      </c>
      <c r="X880" s="338" t="str">
        <f t="shared" si="138"/>
        <v/>
      </c>
      <c r="Y880" s="274"/>
      <c r="AR880" t="str">
        <f t="shared" si="139"/>
        <v/>
      </c>
      <c r="AS880" t="str">
        <f t="shared" si="140"/>
        <v/>
      </c>
    </row>
    <row r="881" spans="1:45">
      <c r="A881" s="291"/>
      <c r="B881" s="292"/>
      <c r="C881" s="293"/>
      <c r="D881" s="293"/>
      <c r="E881" s="293"/>
      <c r="F881" s="293"/>
      <c r="G881" s="294"/>
      <c r="H881" s="300"/>
      <c r="I881" s="295"/>
      <c r="J881" s="295"/>
      <c r="K881" s="296"/>
      <c r="L881" s="301"/>
      <c r="M881" s="297"/>
      <c r="N881" s="298"/>
      <c r="P881" s="190" t="str">
        <f>IF(R881 = "", "", COUNT(R$4:$R881))</f>
        <v/>
      </c>
      <c r="Q881" s="190" t="str">
        <f t="shared" si="131"/>
        <v/>
      </c>
      <c r="R881" s="191" t="str">
        <f t="shared" si="132"/>
        <v/>
      </c>
      <c r="S881" s="192" t="str">
        <f t="shared" si="134"/>
        <v/>
      </c>
      <c r="T881" s="193" t="str">
        <f t="shared" si="135"/>
        <v/>
      </c>
      <c r="U881" s="194" t="str">
        <f t="shared" si="136"/>
        <v/>
      </c>
      <c r="V881" s="195" t="str">
        <f t="shared" si="133"/>
        <v/>
      </c>
      <c r="W881" s="336" t="str">
        <f t="shared" si="137"/>
        <v/>
      </c>
      <c r="X881" s="338" t="str">
        <f t="shared" si="138"/>
        <v/>
      </c>
      <c r="Y881" s="274"/>
      <c r="AR881" t="str">
        <f t="shared" si="139"/>
        <v/>
      </c>
      <c r="AS881" t="str">
        <f t="shared" si="140"/>
        <v/>
      </c>
    </row>
    <row r="882" spans="1:45">
      <c r="A882" s="291"/>
      <c r="B882" s="292"/>
      <c r="C882" s="293"/>
      <c r="D882" s="293"/>
      <c r="E882" s="293"/>
      <c r="F882" s="293"/>
      <c r="G882" s="294"/>
      <c r="H882" s="300"/>
      <c r="I882" s="295"/>
      <c r="J882" s="295"/>
      <c r="K882" s="296"/>
      <c r="L882" s="301"/>
      <c r="M882" s="297"/>
      <c r="N882" s="298"/>
      <c r="P882" s="190" t="str">
        <f>IF(R882 = "", "", COUNT(R$4:$R882))</f>
        <v/>
      </c>
      <c r="Q882" s="190" t="str">
        <f t="shared" si="131"/>
        <v/>
      </c>
      <c r="R882" s="191" t="str">
        <f t="shared" si="132"/>
        <v/>
      </c>
      <c r="S882" s="192" t="str">
        <f t="shared" si="134"/>
        <v/>
      </c>
      <c r="T882" s="193" t="str">
        <f t="shared" si="135"/>
        <v/>
      </c>
      <c r="U882" s="194" t="str">
        <f t="shared" si="136"/>
        <v/>
      </c>
      <c r="V882" s="195" t="str">
        <f t="shared" si="133"/>
        <v/>
      </c>
      <c r="W882" s="336" t="str">
        <f t="shared" si="137"/>
        <v/>
      </c>
      <c r="X882" s="338" t="str">
        <f t="shared" si="138"/>
        <v/>
      </c>
      <c r="Y882" s="274"/>
      <c r="AR882" t="str">
        <f t="shared" si="139"/>
        <v/>
      </c>
      <c r="AS882" t="str">
        <f t="shared" si="140"/>
        <v/>
      </c>
    </row>
    <row r="883" spans="1:45">
      <c r="A883" s="291"/>
      <c r="B883" s="292"/>
      <c r="C883" s="293"/>
      <c r="D883" s="293"/>
      <c r="E883" s="293"/>
      <c r="F883" s="293"/>
      <c r="G883" s="294"/>
      <c r="H883" s="300"/>
      <c r="I883" s="295"/>
      <c r="J883" s="295"/>
      <c r="K883" s="296"/>
      <c r="L883" s="301"/>
      <c r="M883" s="297"/>
      <c r="N883" s="298"/>
      <c r="P883" s="190" t="str">
        <f>IF(R883 = "", "", COUNT(R$4:$R883))</f>
        <v/>
      </c>
      <c r="Q883" s="190" t="str">
        <f t="shared" si="131"/>
        <v/>
      </c>
      <c r="R883" s="191" t="str">
        <f t="shared" si="132"/>
        <v/>
      </c>
      <c r="S883" s="192" t="str">
        <f t="shared" si="134"/>
        <v/>
      </c>
      <c r="T883" s="193" t="str">
        <f t="shared" si="135"/>
        <v/>
      </c>
      <c r="U883" s="194" t="str">
        <f t="shared" si="136"/>
        <v/>
      </c>
      <c r="V883" s="195" t="str">
        <f t="shared" si="133"/>
        <v/>
      </c>
      <c r="W883" s="336" t="str">
        <f t="shared" si="137"/>
        <v/>
      </c>
      <c r="X883" s="338" t="str">
        <f t="shared" si="138"/>
        <v/>
      </c>
      <c r="Y883" s="274"/>
      <c r="AR883" t="str">
        <f t="shared" si="139"/>
        <v/>
      </c>
      <c r="AS883" t="str">
        <f t="shared" si="140"/>
        <v/>
      </c>
    </row>
    <row r="884" spans="1:45">
      <c r="A884" s="291"/>
      <c r="B884" s="292"/>
      <c r="C884" s="293"/>
      <c r="D884" s="293"/>
      <c r="E884" s="293"/>
      <c r="F884" s="293"/>
      <c r="G884" s="294"/>
      <c r="H884" s="300"/>
      <c r="I884" s="295"/>
      <c r="J884" s="295"/>
      <c r="K884" s="296"/>
      <c r="L884" s="301"/>
      <c r="M884" s="297"/>
      <c r="N884" s="298"/>
      <c r="P884" s="190" t="str">
        <f>IF(R884 = "", "", COUNT(R$4:$R884))</f>
        <v/>
      </c>
      <c r="Q884" s="190" t="str">
        <f t="shared" si="131"/>
        <v/>
      </c>
      <c r="R884" s="191" t="str">
        <f t="shared" si="132"/>
        <v/>
      </c>
      <c r="S884" s="192" t="str">
        <f t="shared" si="134"/>
        <v/>
      </c>
      <c r="T884" s="193" t="str">
        <f t="shared" si="135"/>
        <v/>
      </c>
      <c r="U884" s="194" t="str">
        <f t="shared" si="136"/>
        <v/>
      </c>
      <c r="V884" s="195" t="str">
        <f t="shared" si="133"/>
        <v/>
      </c>
      <c r="W884" s="336" t="str">
        <f t="shared" si="137"/>
        <v/>
      </c>
      <c r="X884" s="338" t="str">
        <f t="shared" si="138"/>
        <v/>
      </c>
      <c r="Y884" s="274"/>
      <c r="AR884" t="str">
        <f t="shared" si="139"/>
        <v/>
      </c>
      <c r="AS884" t="str">
        <f t="shared" si="140"/>
        <v/>
      </c>
    </row>
    <row r="885" spans="1:45">
      <c r="A885" s="291"/>
      <c r="B885" s="292"/>
      <c r="C885" s="293"/>
      <c r="D885" s="293"/>
      <c r="E885" s="293"/>
      <c r="F885" s="293"/>
      <c r="G885" s="294"/>
      <c r="H885" s="300"/>
      <c r="I885" s="295"/>
      <c r="J885" s="295"/>
      <c r="K885" s="296"/>
      <c r="L885" s="301"/>
      <c r="M885" s="297"/>
      <c r="N885" s="298"/>
      <c r="P885" s="190" t="str">
        <f>IF(R885 = "", "", COUNT(R$4:$R885))</f>
        <v/>
      </c>
      <c r="Q885" s="190" t="str">
        <f t="shared" si="131"/>
        <v/>
      </c>
      <c r="R885" s="191" t="str">
        <f t="shared" si="132"/>
        <v/>
      </c>
      <c r="S885" s="192" t="str">
        <f t="shared" si="134"/>
        <v/>
      </c>
      <c r="T885" s="193" t="str">
        <f t="shared" si="135"/>
        <v/>
      </c>
      <c r="U885" s="194" t="str">
        <f t="shared" si="136"/>
        <v/>
      </c>
      <c r="V885" s="195" t="str">
        <f t="shared" si="133"/>
        <v/>
      </c>
      <c r="W885" s="336" t="str">
        <f t="shared" si="137"/>
        <v/>
      </c>
      <c r="X885" s="338" t="str">
        <f t="shared" si="138"/>
        <v/>
      </c>
      <c r="Y885" s="274"/>
      <c r="AR885" t="str">
        <f t="shared" si="139"/>
        <v/>
      </c>
      <c r="AS885" t="str">
        <f t="shared" si="140"/>
        <v/>
      </c>
    </row>
    <row r="886" spans="1:45">
      <c r="A886" s="291"/>
      <c r="B886" s="292"/>
      <c r="C886" s="293"/>
      <c r="D886" s="293"/>
      <c r="E886" s="293"/>
      <c r="F886" s="293"/>
      <c r="G886" s="294"/>
      <c r="H886" s="300"/>
      <c r="I886" s="295"/>
      <c r="J886" s="295"/>
      <c r="K886" s="296"/>
      <c r="L886" s="301"/>
      <c r="M886" s="297"/>
      <c r="N886" s="298"/>
      <c r="P886" s="190" t="str">
        <f>IF(R886 = "", "", COUNT(R$4:$R886))</f>
        <v/>
      </c>
      <c r="Q886" s="190" t="str">
        <f t="shared" si="131"/>
        <v/>
      </c>
      <c r="R886" s="191" t="str">
        <f t="shared" si="132"/>
        <v/>
      </c>
      <c r="S886" s="192" t="str">
        <f t="shared" si="134"/>
        <v/>
      </c>
      <c r="T886" s="193" t="str">
        <f t="shared" si="135"/>
        <v/>
      </c>
      <c r="U886" s="194" t="str">
        <f t="shared" si="136"/>
        <v/>
      </c>
      <c r="V886" s="195" t="str">
        <f t="shared" si="133"/>
        <v/>
      </c>
      <c r="W886" s="336" t="str">
        <f t="shared" si="137"/>
        <v/>
      </c>
      <c r="X886" s="338" t="str">
        <f t="shared" si="138"/>
        <v/>
      </c>
      <c r="Y886" s="274"/>
      <c r="AR886" t="str">
        <f t="shared" si="139"/>
        <v/>
      </c>
      <c r="AS886" t="str">
        <f t="shared" si="140"/>
        <v/>
      </c>
    </row>
    <row r="887" spans="1:45">
      <c r="A887" s="291"/>
      <c r="B887" s="292"/>
      <c r="C887" s="293"/>
      <c r="D887" s="293"/>
      <c r="E887" s="293"/>
      <c r="F887" s="293"/>
      <c r="G887" s="294"/>
      <c r="H887" s="300"/>
      <c r="I887" s="295"/>
      <c r="J887" s="295"/>
      <c r="K887" s="296"/>
      <c r="L887" s="301"/>
      <c r="M887" s="297"/>
      <c r="N887" s="298"/>
      <c r="P887" s="190" t="str">
        <f>IF(R887 = "", "", COUNT(R$4:$R887))</f>
        <v/>
      </c>
      <c r="Q887" s="190" t="str">
        <f t="shared" si="131"/>
        <v/>
      </c>
      <c r="R887" s="191" t="str">
        <f t="shared" si="132"/>
        <v/>
      </c>
      <c r="S887" s="192" t="str">
        <f t="shared" si="134"/>
        <v/>
      </c>
      <c r="T887" s="193" t="str">
        <f t="shared" si="135"/>
        <v/>
      </c>
      <c r="U887" s="194" t="str">
        <f t="shared" si="136"/>
        <v/>
      </c>
      <c r="V887" s="195" t="str">
        <f t="shared" si="133"/>
        <v/>
      </c>
      <c r="W887" s="336" t="str">
        <f t="shared" si="137"/>
        <v/>
      </c>
      <c r="X887" s="338" t="str">
        <f t="shared" si="138"/>
        <v/>
      </c>
      <c r="Y887" s="274"/>
      <c r="AR887" t="str">
        <f t="shared" si="139"/>
        <v/>
      </c>
      <c r="AS887" t="str">
        <f t="shared" si="140"/>
        <v/>
      </c>
    </row>
    <row r="888" spans="1:45">
      <c r="A888" s="291"/>
      <c r="B888" s="292"/>
      <c r="C888" s="293"/>
      <c r="D888" s="293"/>
      <c r="E888" s="293"/>
      <c r="F888" s="293"/>
      <c r="G888" s="294"/>
      <c r="H888" s="300"/>
      <c r="I888" s="295"/>
      <c r="J888" s="295"/>
      <c r="K888" s="296"/>
      <c r="L888" s="301"/>
      <c r="M888" s="297"/>
      <c r="N888" s="298"/>
      <c r="P888" s="190" t="str">
        <f>IF(R888 = "", "", COUNT(R$4:$R888))</f>
        <v/>
      </c>
      <c r="Q888" s="190" t="str">
        <f t="shared" si="131"/>
        <v/>
      </c>
      <c r="R888" s="191" t="str">
        <f t="shared" si="132"/>
        <v/>
      </c>
      <c r="S888" s="192" t="str">
        <f t="shared" si="134"/>
        <v/>
      </c>
      <c r="T888" s="193" t="str">
        <f t="shared" si="135"/>
        <v/>
      </c>
      <c r="U888" s="194" t="str">
        <f t="shared" si="136"/>
        <v/>
      </c>
      <c r="V888" s="195" t="str">
        <f t="shared" si="133"/>
        <v/>
      </c>
      <c r="W888" s="336" t="str">
        <f t="shared" si="137"/>
        <v/>
      </c>
      <c r="X888" s="338" t="str">
        <f t="shared" si="138"/>
        <v/>
      </c>
      <c r="Y888" s="274"/>
      <c r="AR888" t="str">
        <f t="shared" si="139"/>
        <v/>
      </c>
      <c r="AS888" t="str">
        <f t="shared" si="140"/>
        <v/>
      </c>
    </row>
    <row r="889" spans="1:45">
      <c r="A889" s="291"/>
      <c r="B889" s="292"/>
      <c r="C889" s="293"/>
      <c r="D889" s="293"/>
      <c r="E889" s="293"/>
      <c r="F889" s="293"/>
      <c r="G889" s="294"/>
      <c r="H889" s="300"/>
      <c r="I889" s="295"/>
      <c r="J889" s="295"/>
      <c r="K889" s="296"/>
      <c r="L889" s="301"/>
      <c r="M889" s="297"/>
      <c r="N889" s="298"/>
      <c r="P889" s="190" t="str">
        <f>IF(R889 = "", "", COUNT(R$4:$R889))</f>
        <v/>
      </c>
      <c r="Q889" s="190" t="str">
        <f t="shared" si="131"/>
        <v/>
      </c>
      <c r="R889" s="191" t="str">
        <f t="shared" si="132"/>
        <v/>
      </c>
      <c r="S889" s="192" t="str">
        <f t="shared" si="134"/>
        <v/>
      </c>
      <c r="T889" s="193" t="str">
        <f t="shared" si="135"/>
        <v/>
      </c>
      <c r="U889" s="194" t="str">
        <f t="shared" si="136"/>
        <v/>
      </c>
      <c r="V889" s="195" t="str">
        <f t="shared" si="133"/>
        <v/>
      </c>
      <c r="W889" s="336" t="str">
        <f t="shared" si="137"/>
        <v/>
      </c>
      <c r="X889" s="338" t="str">
        <f t="shared" si="138"/>
        <v/>
      </c>
      <c r="Y889" s="274"/>
      <c r="AR889" t="str">
        <f t="shared" si="139"/>
        <v/>
      </c>
      <c r="AS889" t="str">
        <f t="shared" si="140"/>
        <v/>
      </c>
    </row>
    <row r="890" spans="1:45">
      <c r="A890" s="291"/>
      <c r="B890" s="292"/>
      <c r="C890" s="293"/>
      <c r="D890" s="293"/>
      <c r="E890" s="293"/>
      <c r="F890" s="293"/>
      <c r="G890" s="294"/>
      <c r="H890" s="300"/>
      <c r="I890" s="295"/>
      <c r="J890" s="295"/>
      <c r="K890" s="296"/>
      <c r="L890" s="301"/>
      <c r="M890" s="297"/>
      <c r="N890" s="298"/>
      <c r="P890" s="190" t="str">
        <f>IF(R890 = "", "", COUNT(R$4:$R890))</f>
        <v/>
      </c>
      <c r="Q890" s="190" t="str">
        <f t="shared" si="131"/>
        <v/>
      </c>
      <c r="R890" s="191" t="str">
        <f t="shared" si="132"/>
        <v/>
      </c>
      <c r="S890" s="192" t="str">
        <f t="shared" si="134"/>
        <v/>
      </c>
      <c r="T890" s="193" t="str">
        <f t="shared" si="135"/>
        <v/>
      </c>
      <c r="U890" s="194" t="str">
        <f t="shared" si="136"/>
        <v/>
      </c>
      <c r="V890" s="195" t="str">
        <f t="shared" si="133"/>
        <v/>
      </c>
      <c r="W890" s="336" t="str">
        <f t="shared" si="137"/>
        <v/>
      </c>
      <c r="X890" s="338" t="str">
        <f t="shared" si="138"/>
        <v/>
      </c>
      <c r="Y890" s="274"/>
      <c r="AR890" t="str">
        <f t="shared" si="139"/>
        <v/>
      </c>
      <c r="AS890" t="str">
        <f t="shared" si="140"/>
        <v/>
      </c>
    </row>
    <row r="891" spans="1:45">
      <c r="A891" s="291"/>
      <c r="B891" s="292"/>
      <c r="C891" s="293"/>
      <c r="D891" s="293"/>
      <c r="E891" s="293"/>
      <c r="F891" s="293"/>
      <c r="G891" s="294"/>
      <c r="H891" s="300"/>
      <c r="I891" s="295"/>
      <c r="J891" s="295"/>
      <c r="K891" s="296"/>
      <c r="L891" s="301"/>
      <c r="M891" s="297"/>
      <c r="N891" s="298"/>
      <c r="P891" s="190" t="str">
        <f>IF(R891 = "", "", COUNT(R$4:$R891))</f>
        <v/>
      </c>
      <c r="Q891" s="190" t="str">
        <f t="shared" si="131"/>
        <v/>
      </c>
      <c r="R891" s="191" t="str">
        <f t="shared" si="132"/>
        <v/>
      </c>
      <c r="S891" s="192" t="str">
        <f t="shared" si="134"/>
        <v/>
      </c>
      <c r="T891" s="193" t="str">
        <f t="shared" si="135"/>
        <v/>
      </c>
      <c r="U891" s="194" t="str">
        <f t="shared" si="136"/>
        <v/>
      </c>
      <c r="V891" s="195" t="str">
        <f t="shared" si="133"/>
        <v/>
      </c>
      <c r="W891" s="336" t="str">
        <f t="shared" si="137"/>
        <v/>
      </c>
      <c r="X891" s="338" t="str">
        <f t="shared" si="138"/>
        <v/>
      </c>
      <c r="Y891" s="274"/>
      <c r="AR891" t="str">
        <f t="shared" si="139"/>
        <v/>
      </c>
      <c r="AS891" t="str">
        <f t="shared" si="140"/>
        <v/>
      </c>
    </row>
    <row r="892" spans="1:45">
      <c r="A892" s="291"/>
      <c r="B892" s="292"/>
      <c r="C892" s="293"/>
      <c r="D892" s="293"/>
      <c r="E892" s="293"/>
      <c r="F892" s="293"/>
      <c r="G892" s="294"/>
      <c r="H892" s="300"/>
      <c r="I892" s="295"/>
      <c r="J892" s="295"/>
      <c r="K892" s="296"/>
      <c r="L892" s="301"/>
      <c r="M892" s="297"/>
      <c r="N892" s="298"/>
      <c r="P892" s="190" t="str">
        <f>IF(R892 = "", "", COUNT(R$4:$R892))</f>
        <v/>
      </c>
      <c r="Q892" s="190" t="str">
        <f t="shared" si="131"/>
        <v/>
      </c>
      <c r="R892" s="191" t="str">
        <f t="shared" si="132"/>
        <v/>
      </c>
      <c r="S892" s="192" t="str">
        <f t="shared" si="134"/>
        <v/>
      </c>
      <c r="T892" s="193" t="str">
        <f t="shared" si="135"/>
        <v/>
      </c>
      <c r="U892" s="194" t="str">
        <f t="shared" si="136"/>
        <v/>
      </c>
      <c r="V892" s="195" t="str">
        <f t="shared" si="133"/>
        <v/>
      </c>
      <c r="W892" s="336" t="str">
        <f t="shared" si="137"/>
        <v/>
      </c>
      <c r="X892" s="338" t="str">
        <f t="shared" si="138"/>
        <v/>
      </c>
      <c r="Y892" s="274"/>
      <c r="AR892" t="str">
        <f t="shared" si="139"/>
        <v/>
      </c>
      <c r="AS892" t="str">
        <f t="shared" si="140"/>
        <v/>
      </c>
    </row>
    <row r="893" spans="1:45">
      <c r="A893" s="291"/>
      <c r="B893" s="292"/>
      <c r="C893" s="293"/>
      <c r="D893" s="293"/>
      <c r="E893" s="293"/>
      <c r="F893" s="293"/>
      <c r="G893" s="294"/>
      <c r="H893" s="300"/>
      <c r="I893" s="295"/>
      <c r="J893" s="295"/>
      <c r="K893" s="296"/>
      <c r="L893" s="301"/>
      <c r="M893" s="297"/>
      <c r="N893" s="298"/>
      <c r="P893" s="190" t="str">
        <f>IF(R893 = "", "", COUNT(R$4:$R893))</f>
        <v/>
      </c>
      <c r="Q893" s="190" t="str">
        <f t="shared" si="131"/>
        <v/>
      </c>
      <c r="R893" s="191" t="str">
        <f t="shared" si="132"/>
        <v/>
      </c>
      <c r="S893" s="192" t="str">
        <f t="shared" si="134"/>
        <v/>
      </c>
      <c r="T893" s="193" t="str">
        <f t="shared" si="135"/>
        <v/>
      </c>
      <c r="U893" s="194" t="str">
        <f t="shared" si="136"/>
        <v/>
      </c>
      <c r="V893" s="195" t="str">
        <f t="shared" si="133"/>
        <v/>
      </c>
      <c r="W893" s="336" t="str">
        <f t="shared" si="137"/>
        <v/>
      </c>
      <c r="X893" s="338" t="str">
        <f t="shared" si="138"/>
        <v/>
      </c>
      <c r="Y893" s="274"/>
      <c r="AR893" t="str">
        <f t="shared" si="139"/>
        <v/>
      </c>
      <c r="AS893" t="str">
        <f t="shared" si="140"/>
        <v/>
      </c>
    </row>
    <row r="894" spans="1:45">
      <c r="A894" s="291"/>
      <c r="B894" s="292"/>
      <c r="C894" s="293"/>
      <c r="D894" s="293"/>
      <c r="E894" s="293"/>
      <c r="F894" s="293"/>
      <c r="G894" s="294"/>
      <c r="H894" s="300"/>
      <c r="I894" s="295"/>
      <c r="J894" s="295"/>
      <c r="K894" s="296"/>
      <c r="L894" s="301"/>
      <c r="M894" s="297"/>
      <c r="N894" s="298"/>
      <c r="P894" s="190" t="str">
        <f>IF(R894 = "", "", COUNT(R$4:$R894))</f>
        <v/>
      </c>
      <c r="Q894" s="190" t="str">
        <f t="shared" si="131"/>
        <v/>
      </c>
      <c r="R894" s="191" t="str">
        <f t="shared" si="132"/>
        <v/>
      </c>
      <c r="S894" s="192" t="str">
        <f t="shared" si="134"/>
        <v/>
      </c>
      <c r="T894" s="193" t="str">
        <f t="shared" si="135"/>
        <v/>
      </c>
      <c r="U894" s="194" t="str">
        <f t="shared" si="136"/>
        <v/>
      </c>
      <c r="V894" s="195" t="str">
        <f t="shared" si="133"/>
        <v/>
      </c>
      <c r="W894" s="336" t="str">
        <f t="shared" si="137"/>
        <v/>
      </c>
      <c r="X894" s="338" t="str">
        <f t="shared" si="138"/>
        <v/>
      </c>
      <c r="Y894" s="274"/>
      <c r="AR894" t="str">
        <f t="shared" si="139"/>
        <v/>
      </c>
      <c r="AS894" t="str">
        <f t="shared" si="140"/>
        <v/>
      </c>
    </row>
    <row r="895" spans="1:45">
      <c r="A895" s="291"/>
      <c r="B895" s="292"/>
      <c r="C895" s="293"/>
      <c r="D895" s="293"/>
      <c r="E895" s="293"/>
      <c r="F895" s="293"/>
      <c r="G895" s="294"/>
      <c r="H895" s="300"/>
      <c r="I895" s="295"/>
      <c r="J895" s="295"/>
      <c r="K895" s="296"/>
      <c r="L895" s="301"/>
      <c r="M895" s="297"/>
      <c r="N895" s="298"/>
      <c r="P895" s="190" t="str">
        <f>IF(R895 = "", "", COUNT(R$4:$R895))</f>
        <v/>
      </c>
      <c r="Q895" s="190" t="str">
        <f t="shared" si="131"/>
        <v/>
      </c>
      <c r="R895" s="191" t="str">
        <f t="shared" si="132"/>
        <v/>
      </c>
      <c r="S895" s="192" t="str">
        <f t="shared" si="134"/>
        <v/>
      </c>
      <c r="T895" s="193" t="str">
        <f t="shared" si="135"/>
        <v/>
      </c>
      <c r="U895" s="194" t="str">
        <f t="shared" si="136"/>
        <v/>
      </c>
      <c r="V895" s="195" t="str">
        <f t="shared" si="133"/>
        <v/>
      </c>
      <c r="W895" s="336" t="str">
        <f t="shared" si="137"/>
        <v/>
      </c>
      <c r="X895" s="338" t="str">
        <f t="shared" si="138"/>
        <v/>
      </c>
      <c r="Y895" s="274"/>
      <c r="AR895" t="str">
        <f t="shared" si="139"/>
        <v/>
      </c>
      <c r="AS895" t="str">
        <f t="shared" si="140"/>
        <v/>
      </c>
    </row>
    <row r="896" spans="1:45">
      <c r="A896" s="291"/>
      <c r="B896" s="292"/>
      <c r="C896" s="293"/>
      <c r="D896" s="293"/>
      <c r="E896" s="293"/>
      <c r="F896" s="293"/>
      <c r="G896" s="294"/>
      <c r="H896" s="300"/>
      <c r="I896" s="295"/>
      <c r="J896" s="295"/>
      <c r="K896" s="296"/>
      <c r="L896" s="301"/>
      <c r="M896" s="297"/>
      <c r="N896" s="298"/>
      <c r="P896" s="190" t="str">
        <f>IF(R896 = "", "", COUNT(R$4:$R896))</f>
        <v/>
      </c>
      <c r="Q896" s="190" t="str">
        <f t="shared" si="131"/>
        <v/>
      </c>
      <c r="R896" s="191" t="str">
        <f t="shared" si="132"/>
        <v/>
      </c>
      <c r="S896" s="192" t="str">
        <f t="shared" si="134"/>
        <v/>
      </c>
      <c r="T896" s="193" t="str">
        <f t="shared" si="135"/>
        <v/>
      </c>
      <c r="U896" s="194" t="str">
        <f t="shared" si="136"/>
        <v/>
      </c>
      <c r="V896" s="195" t="str">
        <f t="shared" si="133"/>
        <v/>
      </c>
      <c r="W896" s="336" t="str">
        <f t="shared" si="137"/>
        <v/>
      </c>
      <c r="X896" s="338" t="str">
        <f t="shared" si="138"/>
        <v/>
      </c>
      <c r="Y896" s="274"/>
      <c r="AR896" t="str">
        <f t="shared" si="139"/>
        <v/>
      </c>
      <c r="AS896" t="str">
        <f t="shared" si="140"/>
        <v/>
      </c>
    </row>
    <row r="897" spans="1:45">
      <c r="A897" s="291"/>
      <c r="B897" s="292"/>
      <c r="C897" s="293"/>
      <c r="D897" s="293"/>
      <c r="E897" s="293"/>
      <c r="F897" s="293"/>
      <c r="G897" s="294"/>
      <c r="H897" s="300"/>
      <c r="I897" s="295"/>
      <c r="J897" s="295"/>
      <c r="K897" s="296"/>
      <c r="L897" s="301"/>
      <c r="M897" s="297"/>
      <c r="N897" s="298"/>
      <c r="P897" s="190" t="str">
        <f>IF(R897 = "", "", COUNT(R$4:$R897))</f>
        <v/>
      </c>
      <c r="Q897" s="190" t="str">
        <f t="shared" si="131"/>
        <v/>
      </c>
      <c r="R897" s="191" t="str">
        <f t="shared" si="132"/>
        <v/>
      </c>
      <c r="S897" s="192" t="str">
        <f t="shared" si="134"/>
        <v/>
      </c>
      <c r="T897" s="193" t="str">
        <f t="shared" si="135"/>
        <v/>
      </c>
      <c r="U897" s="194" t="str">
        <f t="shared" si="136"/>
        <v/>
      </c>
      <c r="V897" s="195" t="str">
        <f t="shared" si="133"/>
        <v/>
      </c>
      <c r="W897" s="336" t="str">
        <f t="shared" si="137"/>
        <v/>
      </c>
      <c r="X897" s="338" t="str">
        <f t="shared" si="138"/>
        <v/>
      </c>
      <c r="Y897" s="274"/>
      <c r="AR897" t="str">
        <f t="shared" si="139"/>
        <v/>
      </c>
      <c r="AS897" t="str">
        <f t="shared" si="140"/>
        <v/>
      </c>
    </row>
    <row r="898" spans="1:45">
      <c r="A898" s="291"/>
      <c r="B898" s="292"/>
      <c r="C898" s="293"/>
      <c r="D898" s="293"/>
      <c r="E898" s="293"/>
      <c r="F898" s="293"/>
      <c r="G898" s="294"/>
      <c r="H898" s="300"/>
      <c r="I898" s="295"/>
      <c r="J898" s="295"/>
      <c r="K898" s="296"/>
      <c r="L898" s="301"/>
      <c r="M898" s="297"/>
      <c r="N898" s="298"/>
      <c r="P898" s="190" t="str">
        <f>IF(R898 = "", "", COUNT(R$4:$R898))</f>
        <v/>
      </c>
      <c r="Q898" s="190" t="str">
        <f t="shared" si="131"/>
        <v/>
      </c>
      <c r="R898" s="191" t="str">
        <f t="shared" si="132"/>
        <v/>
      </c>
      <c r="S898" s="192" t="str">
        <f t="shared" si="134"/>
        <v/>
      </c>
      <c r="T898" s="193" t="str">
        <f t="shared" si="135"/>
        <v/>
      </c>
      <c r="U898" s="194" t="str">
        <f t="shared" si="136"/>
        <v/>
      </c>
      <c r="V898" s="195" t="str">
        <f t="shared" si="133"/>
        <v/>
      </c>
      <c r="W898" s="336" t="str">
        <f t="shared" si="137"/>
        <v/>
      </c>
      <c r="X898" s="338" t="str">
        <f t="shared" si="138"/>
        <v/>
      </c>
      <c r="Y898" s="274"/>
      <c r="AR898" t="str">
        <f t="shared" si="139"/>
        <v/>
      </c>
      <c r="AS898" t="str">
        <f t="shared" si="140"/>
        <v/>
      </c>
    </row>
    <row r="899" spans="1:45">
      <c r="A899" s="291"/>
      <c r="B899" s="292"/>
      <c r="C899" s="293"/>
      <c r="D899" s="293"/>
      <c r="E899" s="293"/>
      <c r="F899" s="293"/>
      <c r="G899" s="294"/>
      <c r="H899" s="300"/>
      <c r="I899" s="295"/>
      <c r="J899" s="295"/>
      <c r="K899" s="296"/>
      <c r="L899" s="301"/>
      <c r="M899" s="297"/>
      <c r="N899" s="298"/>
      <c r="P899" s="190" t="str">
        <f>IF(R899 = "", "", COUNT(R$4:$R899))</f>
        <v/>
      </c>
      <c r="Q899" s="190" t="str">
        <f t="shared" si="131"/>
        <v/>
      </c>
      <c r="R899" s="191" t="str">
        <f t="shared" si="132"/>
        <v/>
      </c>
      <c r="S899" s="192" t="str">
        <f t="shared" si="134"/>
        <v/>
      </c>
      <c r="T899" s="193" t="str">
        <f t="shared" si="135"/>
        <v/>
      </c>
      <c r="U899" s="194" t="str">
        <f t="shared" si="136"/>
        <v/>
      </c>
      <c r="V899" s="195" t="str">
        <f t="shared" si="133"/>
        <v/>
      </c>
      <c r="W899" s="336" t="str">
        <f t="shared" si="137"/>
        <v/>
      </c>
      <c r="X899" s="338" t="str">
        <f t="shared" si="138"/>
        <v/>
      </c>
      <c r="Y899" s="274"/>
      <c r="AR899" t="str">
        <f t="shared" si="139"/>
        <v/>
      </c>
      <c r="AS899" t="str">
        <f t="shared" si="140"/>
        <v/>
      </c>
    </row>
    <row r="900" spans="1:45">
      <c r="A900" s="291"/>
      <c r="B900" s="292"/>
      <c r="C900" s="293"/>
      <c r="D900" s="293"/>
      <c r="E900" s="293"/>
      <c r="F900" s="293"/>
      <c r="G900" s="294"/>
      <c r="H900" s="300"/>
      <c r="I900" s="295"/>
      <c r="J900" s="295"/>
      <c r="K900" s="296"/>
      <c r="L900" s="301"/>
      <c r="M900" s="297"/>
      <c r="N900" s="298"/>
      <c r="P900" s="190" t="str">
        <f>IF(R900 = "", "", COUNT(R$4:$R900))</f>
        <v/>
      </c>
      <c r="Q900" s="190" t="str">
        <f t="shared" ref="Q900:Q963" si="141">IF(C900 &gt; 0, YEAR(B900), "")</f>
        <v/>
      </c>
      <c r="R900" s="191" t="str">
        <f t="shared" ref="R900:R963" si="142">IF(A900="", "", IF(G900="",1,IF(G900="O",1,IF(G900="C",8.4,IF(G900="B",8.4,IF(G900="A",76.8,IF(G900="K",76.8,"ERR")))))))</f>
        <v/>
      </c>
      <c r="S900" s="192" t="str">
        <f t="shared" si="134"/>
        <v/>
      </c>
      <c r="T900" s="193" t="str">
        <f t="shared" si="135"/>
        <v/>
      </c>
      <c r="U900" s="194" t="str">
        <f t="shared" si="136"/>
        <v/>
      </c>
      <c r="V900" s="195" t="str">
        <f t="shared" ref="V900:V963" si="143">IF(IF(M900&lt;&gt;"",G900,"")=0, "O", IF(M900&lt;&gt;"",G900,""))</f>
        <v/>
      </c>
      <c r="W900" s="336" t="str">
        <f t="shared" si="137"/>
        <v/>
      </c>
      <c r="X900" s="338" t="str">
        <f t="shared" si="138"/>
        <v/>
      </c>
      <c r="Y900" s="274"/>
      <c r="AR900" t="str">
        <f t="shared" si="139"/>
        <v/>
      </c>
      <c r="AS900" t="str">
        <f t="shared" si="140"/>
        <v/>
      </c>
    </row>
    <row r="901" spans="1:45">
      <c r="A901" s="291"/>
      <c r="B901" s="292"/>
      <c r="C901" s="293"/>
      <c r="D901" s="293"/>
      <c r="E901" s="293"/>
      <c r="F901" s="293"/>
      <c r="G901" s="294"/>
      <c r="H901" s="300"/>
      <c r="I901" s="295"/>
      <c r="J901" s="295"/>
      <c r="K901" s="296"/>
      <c r="L901" s="301"/>
      <c r="M901" s="297"/>
      <c r="N901" s="298"/>
      <c r="P901" s="190" t="str">
        <f>IF(R901 = "", "", COUNT(R$4:$R901))</f>
        <v/>
      </c>
      <c r="Q901" s="190" t="str">
        <f t="shared" si="141"/>
        <v/>
      </c>
      <c r="R901" s="191" t="str">
        <f t="shared" si="142"/>
        <v/>
      </c>
      <c r="S901" s="192" t="str">
        <f t="shared" ref="S901:S964" si="144">IF(L901&lt;&gt;"",R901,"")</f>
        <v/>
      </c>
      <c r="T901" s="193" t="str">
        <f t="shared" ref="T901:T964" si="145">IF(IF(L901&lt;&gt;"",G901,"")=0, "O", IF(L901&lt;&gt;"",G901,""))</f>
        <v/>
      </c>
      <c r="U901" s="194" t="str">
        <f t="shared" ref="U901:U964" si="146">IF(M901&lt;&gt;"",R901,"")</f>
        <v/>
      </c>
      <c r="V901" s="195" t="str">
        <f t="shared" si="143"/>
        <v/>
      </c>
      <c r="W901" s="336" t="str">
        <f t="shared" ref="W901:W964" si="147">IF(N901&lt;&gt;"",R901,"")</f>
        <v/>
      </c>
      <c r="X901" s="338" t="str">
        <f t="shared" ref="X901:X964" si="148">IF(IF(N901&lt;&gt;"",G901,"")=0, "O", IF(N901&lt;&gt;"",G901,""))</f>
        <v/>
      </c>
      <c r="Y901" s="274"/>
      <c r="AR901" t="str">
        <f t="shared" ref="AR901:AR964" si="149">IF(P901&gt;0, P901, "")</f>
        <v/>
      </c>
      <c r="AS901" t="str">
        <f t="shared" ref="AS901:AS964" si="150">IF(OR(L901="Y",M901="Y",N901="Y"),"Y","")</f>
        <v/>
      </c>
    </row>
    <row r="902" spans="1:45">
      <c r="A902" s="291"/>
      <c r="B902" s="292"/>
      <c r="C902" s="293"/>
      <c r="D902" s="293"/>
      <c r="E902" s="293"/>
      <c r="F902" s="293"/>
      <c r="G902" s="294"/>
      <c r="H902" s="300"/>
      <c r="I902" s="295"/>
      <c r="J902" s="295"/>
      <c r="K902" s="296"/>
      <c r="L902" s="301"/>
      <c r="M902" s="297"/>
      <c r="N902" s="298"/>
      <c r="P902" s="190" t="str">
        <f>IF(R902 = "", "", COUNT(R$4:$R902))</f>
        <v/>
      </c>
      <c r="Q902" s="190" t="str">
        <f t="shared" si="141"/>
        <v/>
      </c>
      <c r="R902" s="191" t="str">
        <f t="shared" si="142"/>
        <v/>
      </c>
      <c r="S902" s="192" t="str">
        <f t="shared" si="144"/>
        <v/>
      </c>
      <c r="T902" s="193" t="str">
        <f t="shared" si="145"/>
        <v/>
      </c>
      <c r="U902" s="194" t="str">
        <f t="shared" si="146"/>
        <v/>
      </c>
      <c r="V902" s="195" t="str">
        <f t="shared" si="143"/>
        <v/>
      </c>
      <c r="W902" s="336" t="str">
        <f t="shared" si="147"/>
        <v/>
      </c>
      <c r="X902" s="338" t="str">
        <f t="shared" si="148"/>
        <v/>
      </c>
      <c r="Y902" s="274"/>
      <c r="AR902" t="str">
        <f t="shared" si="149"/>
        <v/>
      </c>
      <c r="AS902" t="str">
        <f t="shared" si="150"/>
        <v/>
      </c>
    </row>
    <row r="903" spans="1:45">
      <c r="A903" s="291"/>
      <c r="B903" s="292"/>
      <c r="C903" s="293"/>
      <c r="D903" s="293"/>
      <c r="E903" s="293"/>
      <c r="F903" s="293"/>
      <c r="G903" s="294"/>
      <c r="H903" s="300"/>
      <c r="I903" s="295"/>
      <c r="J903" s="295"/>
      <c r="K903" s="296"/>
      <c r="L903" s="301"/>
      <c r="M903" s="297"/>
      <c r="N903" s="298"/>
      <c r="P903" s="190" t="str">
        <f>IF(R903 = "", "", COUNT(R$4:$R903))</f>
        <v/>
      </c>
      <c r="Q903" s="190" t="str">
        <f t="shared" si="141"/>
        <v/>
      </c>
      <c r="R903" s="191" t="str">
        <f t="shared" si="142"/>
        <v/>
      </c>
      <c r="S903" s="192" t="str">
        <f t="shared" si="144"/>
        <v/>
      </c>
      <c r="T903" s="193" t="str">
        <f t="shared" si="145"/>
        <v/>
      </c>
      <c r="U903" s="194" t="str">
        <f t="shared" si="146"/>
        <v/>
      </c>
      <c r="V903" s="195" t="str">
        <f t="shared" si="143"/>
        <v/>
      </c>
      <c r="W903" s="336" t="str">
        <f t="shared" si="147"/>
        <v/>
      </c>
      <c r="X903" s="338" t="str">
        <f t="shared" si="148"/>
        <v/>
      </c>
      <c r="Y903" s="274"/>
      <c r="AR903" t="str">
        <f t="shared" si="149"/>
        <v/>
      </c>
      <c r="AS903" t="str">
        <f t="shared" si="150"/>
        <v/>
      </c>
    </row>
    <row r="904" spans="1:45">
      <c r="A904" s="291"/>
      <c r="B904" s="292"/>
      <c r="C904" s="293"/>
      <c r="D904" s="293"/>
      <c r="E904" s="293"/>
      <c r="F904" s="293"/>
      <c r="G904" s="294"/>
      <c r="H904" s="300"/>
      <c r="I904" s="295"/>
      <c r="J904" s="295"/>
      <c r="K904" s="296"/>
      <c r="L904" s="301"/>
      <c r="M904" s="297"/>
      <c r="N904" s="298"/>
      <c r="P904" s="190" t="str">
        <f>IF(R904 = "", "", COUNT(R$4:$R904))</f>
        <v/>
      </c>
      <c r="Q904" s="190" t="str">
        <f t="shared" si="141"/>
        <v/>
      </c>
      <c r="R904" s="191" t="str">
        <f t="shared" si="142"/>
        <v/>
      </c>
      <c r="S904" s="192" t="str">
        <f t="shared" si="144"/>
        <v/>
      </c>
      <c r="T904" s="193" t="str">
        <f t="shared" si="145"/>
        <v/>
      </c>
      <c r="U904" s="194" t="str">
        <f t="shared" si="146"/>
        <v/>
      </c>
      <c r="V904" s="195" t="str">
        <f t="shared" si="143"/>
        <v/>
      </c>
      <c r="W904" s="336" t="str">
        <f t="shared" si="147"/>
        <v/>
      </c>
      <c r="X904" s="338" t="str">
        <f t="shared" si="148"/>
        <v/>
      </c>
      <c r="Y904" s="274"/>
      <c r="AR904" t="str">
        <f t="shared" si="149"/>
        <v/>
      </c>
      <c r="AS904" t="str">
        <f t="shared" si="150"/>
        <v/>
      </c>
    </row>
    <row r="905" spans="1:45">
      <c r="A905" s="291"/>
      <c r="B905" s="292"/>
      <c r="C905" s="293"/>
      <c r="D905" s="293"/>
      <c r="E905" s="293"/>
      <c r="F905" s="293"/>
      <c r="G905" s="294"/>
      <c r="H905" s="300"/>
      <c r="I905" s="295"/>
      <c r="J905" s="295"/>
      <c r="K905" s="296"/>
      <c r="L905" s="301"/>
      <c r="M905" s="297"/>
      <c r="N905" s="298"/>
      <c r="P905" s="190" t="str">
        <f>IF(R905 = "", "", COUNT(R$4:$R905))</f>
        <v/>
      </c>
      <c r="Q905" s="190" t="str">
        <f t="shared" si="141"/>
        <v/>
      </c>
      <c r="R905" s="191" t="str">
        <f t="shared" si="142"/>
        <v/>
      </c>
      <c r="S905" s="192" t="str">
        <f t="shared" si="144"/>
        <v/>
      </c>
      <c r="T905" s="193" t="str">
        <f t="shared" si="145"/>
        <v/>
      </c>
      <c r="U905" s="194" t="str">
        <f t="shared" si="146"/>
        <v/>
      </c>
      <c r="V905" s="195" t="str">
        <f t="shared" si="143"/>
        <v/>
      </c>
      <c r="W905" s="336" t="str">
        <f t="shared" si="147"/>
        <v/>
      </c>
      <c r="X905" s="338" t="str">
        <f t="shared" si="148"/>
        <v/>
      </c>
      <c r="Y905" s="274"/>
      <c r="AR905" t="str">
        <f t="shared" si="149"/>
        <v/>
      </c>
      <c r="AS905" t="str">
        <f t="shared" si="150"/>
        <v/>
      </c>
    </row>
    <row r="906" spans="1:45">
      <c r="A906" s="291"/>
      <c r="B906" s="292"/>
      <c r="C906" s="293"/>
      <c r="D906" s="293"/>
      <c r="E906" s="293"/>
      <c r="F906" s="293"/>
      <c r="G906" s="294"/>
      <c r="H906" s="300"/>
      <c r="I906" s="295"/>
      <c r="J906" s="295"/>
      <c r="K906" s="296"/>
      <c r="L906" s="301"/>
      <c r="M906" s="297"/>
      <c r="N906" s="298"/>
      <c r="P906" s="190" t="str">
        <f>IF(R906 = "", "", COUNT(R$4:$R906))</f>
        <v/>
      </c>
      <c r="Q906" s="190" t="str">
        <f t="shared" si="141"/>
        <v/>
      </c>
      <c r="R906" s="191" t="str">
        <f t="shared" si="142"/>
        <v/>
      </c>
      <c r="S906" s="192" t="str">
        <f t="shared" si="144"/>
        <v/>
      </c>
      <c r="T906" s="193" t="str">
        <f t="shared" si="145"/>
        <v/>
      </c>
      <c r="U906" s="194" t="str">
        <f t="shared" si="146"/>
        <v/>
      </c>
      <c r="V906" s="195" t="str">
        <f t="shared" si="143"/>
        <v/>
      </c>
      <c r="W906" s="336" t="str">
        <f t="shared" si="147"/>
        <v/>
      </c>
      <c r="X906" s="338" t="str">
        <f t="shared" si="148"/>
        <v/>
      </c>
      <c r="Y906" s="274"/>
      <c r="AR906" t="str">
        <f t="shared" si="149"/>
        <v/>
      </c>
      <c r="AS906" t="str">
        <f t="shared" si="150"/>
        <v/>
      </c>
    </row>
    <row r="907" spans="1:45">
      <c r="A907" s="291"/>
      <c r="B907" s="292"/>
      <c r="C907" s="293"/>
      <c r="D907" s="293"/>
      <c r="E907" s="293"/>
      <c r="F907" s="293"/>
      <c r="G907" s="294"/>
      <c r="H907" s="300"/>
      <c r="I907" s="295"/>
      <c r="J907" s="295"/>
      <c r="K907" s="296"/>
      <c r="L907" s="301"/>
      <c r="M907" s="297"/>
      <c r="N907" s="298"/>
      <c r="P907" s="190" t="str">
        <f>IF(R907 = "", "", COUNT(R$4:$R907))</f>
        <v/>
      </c>
      <c r="Q907" s="190" t="str">
        <f t="shared" si="141"/>
        <v/>
      </c>
      <c r="R907" s="191" t="str">
        <f t="shared" si="142"/>
        <v/>
      </c>
      <c r="S907" s="192" t="str">
        <f t="shared" si="144"/>
        <v/>
      </c>
      <c r="T907" s="193" t="str">
        <f t="shared" si="145"/>
        <v/>
      </c>
      <c r="U907" s="194" t="str">
        <f t="shared" si="146"/>
        <v/>
      </c>
      <c r="V907" s="195" t="str">
        <f t="shared" si="143"/>
        <v/>
      </c>
      <c r="W907" s="336" t="str">
        <f t="shared" si="147"/>
        <v/>
      </c>
      <c r="X907" s="338" t="str">
        <f t="shared" si="148"/>
        <v/>
      </c>
      <c r="Y907" s="274"/>
      <c r="AR907" t="str">
        <f t="shared" si="149"/>
        <v/>
      </c>
      <c r="AS907" t="str">
        <f t="shared" si="150"/>
        <v/>
      </c>
    </row>
    <row r="908" spans="1:45">
      <c r="A908" s="291"/>
      <c r="B908" s="292"/>
      <c r="C908" s="293"/>
      <c r="D908" s="293"/>
      <c r="E908" s="293"/>
      <c r="F908" s="293"/>
      <c r="G908" s="294"/>
      <c r="H908" s="300"/>
      <c r="I908" s="295"/>
      <c r="J908" s="295"/>
      <c r="K908" s="296"/>
      <c r="L908" s="301"/>
      <c r="M908" s="297"/>
      <c r="N908" s="298"/>
      <c r="P908" s="190" t="str">
        <f>IF(R908 = "", "", COUNT(R$4:$R908))</f>
        <v/>
      </c>
      <c r="Q908" s="190" t="str">
        <f t="shared" si="141"/>
        <v/>
      </c>
      <c r="R908" s="191" t="str">
        <f t="shared" si="142"/>
        <v/>
      </c>
      <c r="S908" s="192" t="str">
        <f t="shared" si="144"/>
        <v/>
      </c>
      <c r="T908" s="193" t="str">
        <f t="shared" si="145"/>
        <v/>
      </c>
      <c r="U908" s="194" t="str">
        <f t="shared" si="146"/>
        <v/>
      </c>
      <c r="V908" s="195" t="str">
        <f t="shared" si="143"/>
        <v/>
      </c>
      <c r="W908" s="336" t="str">
        <f t="shared" si="147"/>
        <v/>
      </c>
      <c r="X908" s="338" t="str">
        <f t="shared" si="148"/>
        <v/>
      </c>
      <c r="Y908" s="274"/>
      <c r="AR908" t="str">
        <f t="shared" si="149"/>
        <v/>
      </c>
      <c r="AS908" t="str">
        <f t="shared" si="150"/>
        <v/>
      </c>
    </row>
    <row r="909" spans="1:45">
      <c r="A909" s="291"/>
      <c r="B909" s="292"/>
      <c r="C909" s="293"/>
      <c r="D909" s="293"/>
      <c r="E909" s="293"/>
      <c r="F909" s="293"/>
      <c r="G909" s="294"/>
      <c r="H909" s="300"/>
      <c r="I909" s="295"/>
      <c r="J909" s="295"/>
      <c r="K909" s="296"/>
      <c r="L909" s="301"/>
      <c r="M909" s="297"/>
      <c r="N909" s="298"/>
      <c r="P909" s="190" t="str">
        <f>IF(R909 = "", "", COUNT(R$4:$R909))</f>
        <v/>
      </c>
      <c r="Q909" s="190" t="str">
        <f t="shared" si="141"/>
        <v/>
      </c>
      <c r="R909" s="191" t="str">
        <f t="shared" si="142"/>
        <v/>
      </c>
      <c r="S909" s="192" t="str">
        <f t="shared" si="144"/>
        <v/>
      </c>
      <c r="T909" s="193" t="str">
        <f t="shared" si="145"/>
        <v/>
      </c>
      <c r="U909" s="194" t="str">
        <f t="shared" si="146"/>
        <v/>
      </c>
      <c r="V909" s="195" t="str">
        <f t="shared" si="143"/>
        <v/>
      </c>
      <c r="W909" s="336" t="str">
        <f t="shared" si="147"/>
        <v/>
      </c>
      <c r="X909" s="338" t="str">
        <f t="shared" si="148"/>
        <v/>
      </c>
      <c r="Y909" s="274"/>
      <c r="AR909" t="str">
        <f t="shared" si="149"/>
        <v/>
      </c>
      <c r="AS909" t="str">
        <f t="shared" si="150"/>
        <v/>
      </c>
    </row>
    <row r="910" spans="1:45">
      <c r="A910" s="291"/>
      <c r="B910" s="292"/>
      <c r="C910" s="293"/>
      <c r="D910" s="293"/>
      <c r="E910" s="293"/>
      <c r="F910" s="293"/>
      <c r="G910" s="294"/>
      <c r="H910" s="300"/>
      <c r="I910" s="295"/>
      <c r="J910" s="295"/>
      <c r="K910" s="296"/>
      <c r="L910" s="301"/>
      <c r="M910" s="297"/>
      <c r="N910" s="298"/>
      <c r="P910" s="190" t="str">
        <f>IF(R910 = "", "", COUNT(R$4:$R910))</f>
        <v/>
      </c>
      <c r="Q910" s="190" t="str">
        <f t="shared" si="141"/>
        <v/>
      </c>
      <c r="R910" s="191" t="str">
        <f t="shared" si="142"/>
        <v/>
      </c>
      <c r="S910" s="192" t="str">
        <f t="shared" si="144"/>
        <v/>
      </c>
      <c r="T910" s="193" t="str">
        <f t="shared" si="145"/>
        <v/>
      </c>
      <c r="U910" s="194" t="str">
        <f t="shared" si="146"/>
        <v/>
      </c>
      <c r="V910" s="195" t="str">
        <f t="shared" si="143"/>
        <v/>
      </c>
      <c r="W910" s="336" t="str">
        <f t="shared" si="147"/>
        <v/>
      </c>
      <c r="X910" s="338" t="str">
        <f t="shared" si="148"/>
        <v/>
      </c>
      <c r="Y910" s="274"/>
      <c r="AR910" t="str">
        <f t="shared" si="149"/>
        <v/>
      </c>
      <c r="AS910" t="str">
        <f t="shared" si="150"/>
        <v/>
      </c>
    </row>
    <row r="911" spans="1:45">
      <c r="A911" s="291"/>
      <c r="B911" s="292"/>
      <c r="C911" s="293"/>
      <c r="D911" s="293"/>
      <c r="E911" s="293"/>
      <c r="F911" s="293"/>
      <c r="G911" s="294"/>
      <c r="H911" s="300"/>
      <c r="I911" s="295"/>
      <c r="J911" s="295"/>
      <c r="K911" s="296"/>
      <c r="L911" s="301"/>
      <c r="M911" s="297"/>
      <c r="N911" s="298"/>
      <c r="P911" s="190" t="str">
        <f>IF(R911 = "", "", COUNT(R$4:$R911))</f>
        <v/>
      </c>
      <c r="Q911" s="190" t="str">
        <f t="shared" si="141"/>
        <v/>
      </c>
      <c r="R911" s="191" t="str">
        <f t="shared" si="142"/>
        <v/>
      </c>
      <c r="S911" s="192" t="str">
        <f t="shared" si="144"/>
        <v/>
      </c>
      <c r="T911" s="193" t="str">
        <f t="shared" si="145"/>
        <v/>
      </c>
      <c r="U911" s="194" t="str">
        <f t="shared" si="146"/>
        <v/>
      </c>
      <c r="V911" s="195" t="str">
        <f t="shared" si="143"/>
        <v/>
      </c>
      <c r="W911" s="336" t="str">
        <f t="shared" si="147"/>
        <v/>
      </c>
      <c r="X911" s="338" t="str">
        <f t="shared" si="148"/>
        <v/>
      </c>
      <c r="Y911" s="274"/>
      <c r="AR911" t="str">
        <f t="shared" si="149"/>
        <v/>
      </c>
      <c r="AS911" t="str">
        <f t="shared" si="150"/>
        <v/>
      </c>
    </row>
    <row r="912" spans="1:45">
      <c r="A912" s="291"/>
      <c r="B912" s="292"/>
      <c r="C912" s="293"/>
      <c r="D912" s="293"/>
      <c r="E912" s="293"/>
      <c r="F912" s="293"/>
      <c r="G912" s="294"/>
      <c r="H912" s="300"/>
      <c r="I912" s="295"/>
      <c r="J912" s="295"/>
      <c r="K912" s="296"/>
      <c r="L912" s="301"/>
      <c r="M912" s="297"/>
      <c r="N912" s="298"/>
      <c r="P912" s="190" t="str">
        <f>IF(R912 = "", "", COUNT(R$4:$R912))</f>
        <v/>
      </c>
      <c r="Q912" s="190" t="str">
        <f t="shared" si="141"/>
        <v/>
      </c>
      <c r="R912" s="191" t="str">
        <f t="shared" si="142"/>
        <v/>
      </c>
      <c r="S912" s="192" t="str">
        <f t="shared" si="144"/>
        <v/>
      </c>
      <c r="T912" s="193" t="str">
        <f t="shared" si="145"/>
        <v/>
      </c>
      <c r="U912" s="194" t="str">
        <f t="shared" si="146"/>
        <v/>
      </c>
      <c r="V912" s="195" t="str">
        <f t="shared" si="143"/>
        <v/>
      </c>
      <c r="W912" s="336" t="str">
        <f t="shared" si="147"/>
        <v/>
      </c>
      <c r="X912" s="338" t="str">
        <f t="shared" si="148"/>
        <v/>
      </c>
      <c r="Y912" s="274"/>
      <c r="AR912" t="str">
        <f t="shared" si="149"/>
        <v/>
      </c>
      <c r="AS912" t="str">
        <f t="shared" si="150"/>
        <v/>
      </c>
    </row>
    <row r="913" spans="1:45">
      <c r="A913" s="291"/>
      <c r="B913" s="292"/>
      <c r="C913" s="293"/>
      <c r="D913" s="293"/>
      <c r="E913" s="293"/>
      <c r="F913" s="293"/>
      <c r="G913" s="294"/>
      <c r="H913" s="300"/>
      <c r="I913" s="295"/>
      <c r="J913" s="295"/>
      <c r="K913" s="296"/>
      <c r="L913" s="301"/>
      <c r="M913" s="297"/>
      <c r="N913" s="298"/>
      <c r="P913" s="190" t="str">
        <f>IF(R913 = "", "", COUNT(R$4:$R913))</f>
        <v/>
      </c>
      <c r="Q913" s="190" t="str">
        <f t="shared" si="141"/>
        <v/>
      </c>
      <c r="R913" s="191" t="str">
        <f t="shared" si="142"/>
        <v/>
      </c>
      <c r="S913" s="192" t="str">
        <f t="shared" si="144"/>
        <v/>
      </c>
      <c r="T913" s="193" t="str">
        <f t="shared" si="145"/>
        <v/>
      </c>
      <c r="U913" s="194" t="str">
        <f t="shared" si="146"/>
        <v/>
      </c>
      <c r="V913" s="195" t="str">
        <f t="shared" si="143"/>
        <v/>
      </c>
      <c r="W913" s="336" t="str">
        <f t="shared" si="147"/>
        <v/>
      </c>
      <c r="X913" s="338" t="str">
        <f t="shared" si="148"/>
        <v/>
      </c>
      <c r="Y913" s="274"/>
      <c r="AR913" t="str">
        <f t="shared" si="149"/>
        <v/>
      </c>
      <c r="AS913" t="str">
        <f t="shared" si="150"/>
        <v/>
      </c>
    </row>
    <row r="914" spans="1:45">
      <c r="A914" s="291"/>
      <c r="B914" s="292"/>
      <c r="C914" s="293"/>
      <c r="D914" s="293"/>
      <c r="E914" s="293"/>
      <c r="F914" s="293"/>
      <c r="G914" s="294"/>
      <c r="H914" s="300"/>
      <c r="I914" s="295"/>
      <c r="J914" s="295"/>
      <c r="K914" s="296"/>
      <c r="L914" s="301"/>
      <c r="M914" s="297"/>
      <c r="N914" s="298"/>
      <c r="P914" s="190" t="str">
        <f>IF(R914 = "", "", COUNT(R$4:$R914))</f>
        <v/>
      </c>
      <c r="Q914" s="190" t="str">
        <f t="shared" si="141"/>
        <v/>
      </c>
      <c r="R914" s="191" t="str">
        <f t="shared" si="142"/>
        <v/>
      </c>
      <c r="S914" s="192" t="str">
        <f t="shared" si="144"/>
        <v/>
      </c>
      <c r="T914" s="193" t="str">
        <f t="shared" si="145"/>
        <v/>
      </c>
      <c r="U914" s="194" t="str">
        <f t="shared" si="146"/>
        <v/>
      </c>
      <c r="V914" s="195" t="str">
        <f t="shared" si="143"/>
        <v/>
      </c>
      <c r="W914" s="336" t="str">
        <f t="shared" si="147"/>
        <v/>
      </c>
      <c r="X914" s="338" t="str">
        <f t="shared" si="148"/>
        <v/>
      </c>
      <c r="Y914" s="274"/>
      <c r="AR914" t="str">
        <f t="shared" si="149"/>
        <v/>
      </c>
      <c r="AS914" t="str">
        <f t="shared" si="150"/>
        <v/>
      </c>
    </row>
    <row r="915" spans="1:45">
      <c r="A915" s="291"/>
      <c r="B915" s="292"/>
      <c r="C915" s="293"/>
      <c r="D915" s="293"/>
      <c r="E915" s="293"/>
      <c r="F915" s="293"/>
      <c r="G915" s="294"/>
      <c r="H915" s="300"/>
      <c r="I915" s="295"/>
      <c r="J915" s="295"/>
      <c r="K915" s="296"/>
      <c r="L915" s="301"/>
      <c r="M915" s="297"/>
      <c r="N915" s="298"/>
      <c r="P915" s="190" t="str">
        <f>IF(R915 = "", "", COUNT(R$4:$R915))</f>
        <v/>
      </c>
      <c r="Q915" s="190" t="str">
        <f t="shared" si="141"/>
        <v/>
      </c>
      <c r="R915" s="191" t="str">
        <f t="shared" si="142"/>
        <v/>
      </c>
      <c r="S915" s="192" t="str">
        <f t="shared" si="144"/>
        <v/>
      </c>
      <c r="T915" s="193" t="str">
        <f t="shared" si="145"/>
        <v/>
      </c>
      <c r="U915" s="194" t="str">
        <f t="shared" si="146"/>
        <v/>
      </c>
      <c r="V915" s="195" t="str">
        <f t="shared" si="143"/>
        <v/>
      </c>
      <c r="W915" s="336" t="str">
        <f t="shared" si="147"/>
        <v/>
      </c>
      <c r="X915" s="338" t="str">
        <f t="shared" si="148"/>
        <v/>
      </c>
      <c r="Y915" s="274"/>
      <c r="AR915" t="str">
        <f t="shared" si="149"/>
        <v/>
      </c>
      <c r="AS915" t="str">
        <f t="shared" si="150"/>
        <v/>
      </c>
    </row>
    <row r="916" spans="1:45">
      <c r="A916" s="291"/>
      <c r="B916" s="292"/>
      <c r="C916" s="293"/>
      <c r="D916" s="293"/>
      <c r="E916" s="293"/>
      <c r="F916" s="293"/>
      <c r="G916" s="294"/>
      <c r="H916" s="300"/>
      <c r="I916" s="295"/>
      <c r="J916" s="295"/>
      <c r="K916" s="296"/>
      <c r="L916" s="301"/>
      <c r="M916" s="297"/>
      <c r="N916" s="298"/>
      <c r="P916" s="190" t="str">
        <f>IF(R916 = "", "", COUNT(R$4:$R916))</f>
        <v/>
      </c>
      <c r="Q916" s="190" t="str">
        <f t="shared" si="141"/>
        <v/>
      </c>
      <c r="R916" s="191" t="str">
        <f t="shared" si="142"/>
        <v/>
      </c>
      <c r="S916" s="192" t="str">
        <f t="shared" si="144"/>
        <v/>
      </c>
      <c r="T916" s="193" t="str">
        <f t="shared" si="145"/>
        <v/>
      </c>
      <c r="U916" s="194" t="str">
        <f t="shared" si="146"/>
        <v/>
      </c>
      <c r="V916" s="195" t="str">
        <f t="shared" si="143"/>
        <v/>
      </c>
      <c r="W916" s="336" t="str">
        <f t="shared" si="147"/>
        <v/>
      </c>
      <c r="X916" s="338" t="str">
        <f t="shared" si="148"/>
        <v/>
      </c>
      <c r="Y916" s="274"/>
      <c r="AR916" t="str">
        <f t="shared" si="149"/>
        <v/>
      </c>
      <c r="AS916" t="str">
        <f t="shared" si="150"/>
        <v/>
      </c>
    </row>
    <row r="917" spans="1:45">
      <c r="A917" s="291"/>
      <c r="B917" s="292"/>
      <c r="C917" s="293"/>
      <c r="D917" s="293"/>
      <c r="E917" s="293"/>
      <c r="F917" s="293"/>
      <c r="G917" s="294"/>
      <c r="H917" s="300"/>
      <c r="I917" s="295"/>
      <c r="J917" s="295"/>
      <c r="K917" s="296"/>
      <c r="L917" s="301"/>
      <c r="M917" s="297"/>
      <c r="N917" s="298"/>
      <c r="P917" s="190" t="str">
        <f>IF(R917 = "", "", COUNT(R$4:$R917))</f>
        <v/>
      </c>
      <c r="Q917" s="190" t="str">
        <f t="shared" si="141"/>
        <v/>
      </c>
      <c r="R917" s="191" t="str">
        <f t="shared" si="142"/>
        <v/>
      </c>
      <c r="S917" s="192" t="str">
        <f t="shared" si="144"/>
        <v/>
      </c>
      <c r="T917" s="193" t="str">
        <f t="shared" si="145"/>
        <v/>
      </c>
      <c r="U917" s="194" t="str">
        <f t="shared" si="146"/>
        <v/>
      </c>
      <c r="V917" s="195" t="str">
        <f t="shared" si="143"/>
        <v/>
      </c>
      <c r="W917" s="336" t="str">
        <f t="shared" si="147"/>
        <v/>
      </c>
      <c r="X917" s="338" t="str">
        <f t="shared" si="148"/>
        <v/>
      </c>
      <c r="Y917" s="274"/>
      <c r="AR917" t="str">
        <f t="shared" si="149"/>
        <v/>
      </c>
      <c r="AS917" t="str">
        <f t="shared" si="150"/>
        <v/>
      </c>
    </row>
    <row r="918" spans="1:45">
      <c r="A918" s="291"/>
      <c r="B918" s="292"/>
      <c r="C918" s="293"/>
      <c r="D918" s="293"/>
      <c r="E918" s="293"/>
      <c r="F918" s="293"/>
      <c r="G918" s="294"/>
      <c r="H918" s="300"/>
      <c r="I918" s="295"/>
      <c r="J918" s="295"/>
      <c r="K918" s="296"/>
      <c r="L918" s="301"/>
      <c r="M918" s="297"/>
      <c r="N918" s="298"/>
      <c r="P918" s="190" t="str">
        <f>IF(R918 = "", "", COUNT(R$4:$R918))</f>
        <v/>
      </c>
      <c r="Q918" s="190" t="str">
        <f t="shared" si="141"/>
        <v/>
      </c>
      <c r="R918" s="191" t="str">
        <f t="shared" si="142"/>
        <v/>
      </c>
      <c r="S918" s="192" t="str">
        <f t="shared" si="144"/>
        <v/>
      </c>
      <c r="T918" s="193" t="str">
        <f t="shared" si="145"/>
        <v/>
      </c>
      <c r="U918" s="194" t="str">
        <f t="shared" si="146"/>
        <v/>
      </c>
      <c r="V918" s="195" t="str">
        <f t="shared" si="143"/>
        <v/>
      </c>
      <c r="W918" s="336" t="str">
        <f t="shared" si="147"/>
        <v/>
      </c>
      <c r="X918" s="338" t="str">
        <f t="shared" si="148"/>
        <v/>
      </c>
      <c r="Y918" s="274"/>
      <c r="AR918" t="str">
        <f t="shared" si="149"/>
        <v/>
      </c>
      <c r="AS918" t="str">
        <f t="shared" si="150"/>
        <v/>
      </c>
    </row>
    <row r="919" spans="1:45">
      <c r="A919" s="291"/>
      <c r="B919" s="292"/>
      <c r="C919" s="293"/>
      <c r="D919" s="293"/>
      <c r="E919" s="293"/>
      <c r="F919" s="293"/>
      <c r="G919" s="294"/>
      <c r="H919" s="300"/>
      <c r="I919" s="295"/>
      <c r="J919" s="295"/>
      <c r="K919" s="296"/>
      <c r="L919" s="301"/>
      <c r="M919" s="297"/>
      <c r="N919" s="298"/>
      <c r="P919" s="190" t="str">
        <f>IF(R919 = "", "", COUNT(R$4:$R919))</f>
        <v/>
      </c>
      <c r="Q919" s="190" t="str">
        <f t="shared" si="141"/>
        <v/>
      </c>
      <c r="R919" s="191" t="str">
        <f t="shared" si="142"/>
        <v/>
      </c>
      <c r="S919" s="192" t="str">
        <f t="shared" si="144"/>
        <v/>
      </c>
      <c r="T919" s="193" t="str">
        <f t="shared" si="145"/>
        <v/>
      </c>
      <c r="U919" s="194" t="str">
        <f t="shared" si="146"/>
        <v/>
      </c>
      <c r="V919" s="195" t="str">
        <f t="shared" si="143"/>
        <v/>
      </c>
      <c r="W919" s="336" t="str">
        <f t="shared" si="147"/>
        <v/>
      </c>
      <c r="X919" s="338" t="str">
        <f t="shared" si="148"/>
        <v/>
      </c>
      <c r="Y919" s="274"/>
      <c r="AR919" t="str">
        <f t="shared" si="149"/>
        <v/>
      </c>
      <c r="AS919" t="str">
        <f t="shared" si="150"/>
        <v/>
      </c>
    </row>
    <row r="920" spans="1:45">
      <c r="A920" s="291"/>
      <c r="B920" s="292"/>
      <c r="C920" s="293"/>
      <c r="D920" s="293"/>
      <c r="E920" s="293"/>
      <c r="F920" s="293"/>
      <c r="G920" s="294"/>
      <c r="H920" s="300"/>
      <c r="I920" s="295"/>
      <c r="J920" s="295"/>
      <c r="K920" s="296"/>
      <c r="L920" s="301"/>
      <c r="M920" s="297"/>
      <c r="N920" s="298"/>
      <c r="P920" s="190" t="str">
        <f>IF(R920 = "", "", COUNT(R$4:$R920))</f>
        <v/>
      </c>
      <c r="Q920" s="190" t="str">
        <f t="shared" si="141"/>
        <v/>
      </c>
      <c r="R920" s="191" t="str">
        <f t="shared" si="142"/>
        <v/>
      </c>
      <c r="S920" s="192" t="str">
        <f t="shared" si="144"/>
        <v/>
      </c>
      <c r="T920" s="193" t="str">
        <f t="shared" si="145"/>
        <v/>
      </c>
      <c r="U920" s="194" t="str">
        <f t="shared" si="146"/>
        <v/>
      </c>
      <c r="V920" s="195" t="str">
        <f t="shared" si="143"/>
        <v/>
      </c>
      <c r="W920" s="336" t="str">
        <f t="shared" si="147"/>
        <v/>
      </c>
      <c r="X920" s="338" t="str">
        <f t="shared" si="148"/>
        <v/>
      </c>
      <c r="Y920" s="274"/>
      <c r="AR920" t="str">
        <f t="shared" si="149"/>
        <v/>
      </c>
      <c r="AS920" t="str">
        <f t="shared" si="150"/>
        <v/>
      </c>
    </row>
    <row r="921" spans="1:45">
      <c r="A921" s="291"/>
      <c r="B921" s="292"/>
      <c r="C921" s="293"/>
      <c r="D921" s="293"/>
      <c r="E921" s="293"/>
      <c r="F921" s="293"/>
      <c r="G921" s="294"/>
      <c r="H921" s="300"/>
      <c r="I921" s="295"/>
      <c r="J921" s="295"/>
      <c r="K921" s="296"/>
      <c r="L921" s="301"/>
      <c r="M921" s="297"/>
      <c r="N921" s="298"/>
      <c r="P921" s="190" t="str">
        <f>IF(R921 = "", "", COUNT(R$4:$R921))</f>
        <v/>
      </c>
      <c r="Q921" s="190" t="str">
        <f t="shared" si="141"/>
        <v/>
      </c>
      <c r="R921" s="191" t="str">
        <f t="shared" si="142"/>
        <v/>
      </c>
      <c r="S921" s="192" t="str">
        <f t="shared" si="144"/>
        <v/>
      </c>
      <c r="T921" s="193" t="str">
        <f t="shared" si="145"/>
        <v/>
      </c>
      <c r="U921" s="194" t="str">
        <f t="shared" si="146"/>
        <v/>
      </c>
      <c r="V921" s="195" t="str">
        <f t="shared" si="143"/>
        <v/>
      </c>
      <c r="W921" s="336" t="str">
        <f t="shared" si="147"/>
        <v/>
      </c>
      <c r="X921" s="338" t="str">
        <f t="shared" si="148"/>
        <v/>
      </c>
      <c r="Y921" s="274"/>
      <c r="AR921" t="str">
        <f t="shared" si="149"/>
        <v/>
      </c>
      <c r="AS921" t="str">
        <f t="shared" si="150"/>
        <v/>
      </c>
    </row>
    <row r="922" spans="1:45">
      <c r="A922" s="291"/>
      <c r="B922" s="292"/>
      <c r="C922" s="293"/>
      <c r="D922" s="293"/>
      <c r="E922" s="293"/>
      <c r="F922" s="293"/>
      <c r="G922" s="294"/>
      <c r="H922" s="300"/>
      <c r="I922" s="295"/>
      <c r="J922" s="295"/>
      <c r="K922" s="296"/>
      <c r="L922" s="301"/>
      <c r="M922" s="297"/>
      <c r="N922" s="298"/>
      <c r="P922" s="190" t="str">
        <f>IF(R922 = "", "", COUNT(R$4:$R922))</f>
        <v/>
      </c>
      <c r="Q922" s="190" t="str">
        <f t="shared" si="141"/>
        <v/>
      </c>
      <c r="R922" s="191" t="str">
        <f t="shared" si="142"/>
        <v/>
      </c>
      <c r="S922" s="192" t="str">
        <f t="shared" si="144"/>
        <v/>
      </c>
      <c r="T922" s="193" t="str">
        <f t="shared" si="145"/>
        <v/>
      </c>
      <c r="U922" s="194" t="str">
        <f t="shared" si="146"/>
        <v/>
      </c>
      <c r="V922" s="195" t="str">
        <f t="shared" si="143"/>
        <v/>
      </c>
      <c r="W922" s="336" t="str">
        <f t="shared" si="147"/>
        <v/>
      </c>
      <c r="X922" s="338" t="str">
        <f t="shared" si="148"/>
        <v/>
      </c>
      <c r="Y922" s="274"/>
      <c r="AR922" t="str">
        <f t="shared" si="149"/>
        <v/>
      </c>
      <c r="AS922" t="str">
        <f t="shared" si="150"/>
        <v/>
      </c>
    </row>
    <row r="923" spans="1:45">
      <c r="A923" s="291"/>
      <c r="B923" s="292"/>
      <c r="C923" s="293"/>
      <c r="D923" s="293"/>
      <c r="E923" s="293"/>
      <c r="F923" s="293"/>
      <c r="G923" s="294"/>
      <c r="H923" s="300"/>
      <c r="I923" s="295"/>
      <c r="J923" s="295"/>
      <c r="K923" s="296"/>
      <c r="L923" s="301"/>
      <c r="M923" s="297"/>
      <c r="N923" s="298"/>
      <c r="P923" s="190" t="str">
        <f>IF(R923 = "", "", COUNT(R$4:$R923))</f>
        <v/>
      </c>
      <c r="Q923" s="190" t="str">
        <f t="shared" si="141"/>
        <v/>
      </c>
      <c r="R923" s="191" t="str">
        <f t="shared" si="142"/>
        <v/>
      </c>
      <c r="S923" s="192" t="str">
        <f t="shared" si="144"/>
        <v/>
      </c>
      <c r="T923" s="193" t="str">
        <f t="shared" si="145"/>
        <v/>
      </c>
      <c r="U923" s="194" t="str">
        <f t="shared" si="146"/>
        <v/>
      </c>
      <c r="V923" s="195" t="str">
        <f t="shared" si="143"/>
        <v/>
      </c>
      <c r="W923" s="336" t="str">
        <f t="shared" si="147"/>
        <v/>
      </c>
      <c r="X923" s="338" t="str">
        <f t="shared" si="148"/>
        <v/>
      </c>
      <c r="Y923" s="274"/>
      <c r="AR923" t="str">
        <f t="shared" si="149"/>
        <v/>
      </c>
      <c r="AS923" t="str">
        <f t="shared" si="150"/>
        <v/>
      </c>
    </row>
    <row r="924" spans="1:45">
      <c r="A924" s="291"/>
      <c r="B924" s="292"/>
      <c r="C924" s="293"/>
      <c r="D924" s="293"/>
      <c r="E924" s="293"/>
      <c r="F924" s="293"/>
      <c r="G924" s="294"/>
      <c r="H924" s="300"/>
      <c r="I924" s="295"/>
      <c r="J924" s="295"/>
      <c r="K924" s="296"/>
      <c r="L924" s="301"/>
      <c r="M924" s="297"/>
      <c r="N924" s="298"/>
      <c r="P924" s="190" t="str">
        <f>IF(R924 = "", "", COUNT(R$4:$R924))</f>
        <v/>
      </c>
      <c r="Q924" s="190" t="str">
        <f t="shared" si="141"/>
        <v/>
      </c>
      <c r="R924" s="191" t="str">
        <f t="shared" si="142"/>
        <v/>
      </c>
      <c r="S924" s="192" t="str">
        <f t="shared" si="144"/>
        <v/>
      </c>
      <c r="T924" s="193" t="str">
        <f t="shared" si="145"/>
        <v/>
      </c>
      <c r="U924" s="194" t="str">
        <f t="shared" si="146"/>
        <v/>
      </c>
      <c r="V924" s="195" t="str">
        <f t="shared" si="143"/>
        <v/>
      </c>
      <c r="W924" s="336" t="str">
        <f t="shared" si="147"/>
        <v/>
      </c>
      <c r="X924" s="338" t="str">
        <f t="shared" si="148"/>
        <v/>
      </c>
      <c r="Y924" s="274"/>
      <c r="AR924" t="str">
        <f t="shared" si="149"/>
        <v/>
      </c>
      <c r="AS924" t="str">
        <f t="shared" si="150"/>
        <v/>
      </c>
    </row>
    <row r="925" spans="1:45">
      <c r="A925" s="291"/>
      <c r="B925" s="292"/>
      <c r="C925" s="293"/>
      <c r="D925" s="293"/>
      <c r="E925" s="293"/>
      <c r="F925" s="293"/>
      <c r="G925" s="294"/>
      <c r="H925" s="300"/>
      <c r="I925" s="295"/>
      <c r="J925" s="295"/>
      <c r="K925" s="296"/>
      <c r="L925" s="301"/>
      <c r="M925" s="297"/>
      <c r="N925" s="298"/>
      <c r="P925" s="190" t="str">
        <f>IF(R925 = "", "", COUNT(R$4:$R925))</f>
        <v/>
      </c>
      <c r="Q925" s="190" t="str">
        <f t="shared" si="141"/>
        <v/>
      </c>
      <c r="R925" s="191" t="str">
        <f t="shared" si="142"/>
        <v/>
      </c>
      <c r="S925" s="192" t="str">
        <f t="shared" si="144"/>
        <v/>
      </c>
      <c r="T925" s="193" t="str">
        <f t="shared" si="145"/>
        <v/>
      </c>
      <c r="U925" s="194" t="str">
        <f t="shared" si="146"/>
        <v/>
      </c>
      <c r="V925" s="195" t="str">
        <f t="shared" si="143"/>
        <v/>
      </c>
      <c r="W925" s="336" t="str">
        <f t="shared" si="147"/>
        <v/>
      </c>
      <c r="X925" s="338" t="str">
        <f t="shared" si="148"/>
        <v/>
      </c>
      <c r="Y925" s="274"/>
      <c r="AR925" t="str">
        <f t="shared" si="149"/>
        <v/>
      </c>
      <c r="AS925" t="str">
        <f t="shared" si="150"/>
        <v/>
      </c>
    </row>
    <row r="926" spans="1:45">
      <c r="A926" s="291"/>
      <c r="B926" s="292"/>
      <c r="C926" s="293"/>
      <c r="D926" s="293"/>
      <c r="E926" s="293"/>
      <c r="F926" s="293"/>
      <c r="G926" s="294"/>
      <c r="H926" s="300"/>
      <c r="I926" s="295"/>
      <c r="J926" s="295"/>
      <c r="K926" s="296"/>
      <c r="L926" s="301"/>
      <c r="M926" s="297"/>
      <c r="N926" s="298"/>
      <c r="P926" s="190" t="str">
        <f>IF(R926 = "", "", COUNT(R$4:$R926))</f>
        <v/>
      </c>
      <c r="Q926" s="190" t="str">
        <f t="shared" si="141"/>
        <v/>
      </c>
      <c r="R926" s="191" t="str">
        <f t="shared" si="142"/>
        <v/>
      </c>
      <c r="S926" s="192" t="str">
        <f t="shared" si="144"/>
        <v/>
      </c>
      <c r="T926" s="193" t="str">
        <f t="shared" si="145"/>
        <v/>
      </c>
      <c r="U926" s="194" t="str">
        <f t="shared" si="146"/>
        <v/>
      </c>
      <c r="V926" s="195" t="str">
        <f t="shared" si="143"/>
        <v/>
      </c>
      <c r="W926" s="336" t="str">
        <f t="shared" si="147"/>
        <v/>
      </c>
      <c r="X926" s="338" t="str">
        <f t="shared" si="148"/>
        <v/>
      </c>
      <c r="Y926" s="274"/>
      <c r="AR926" t="str">
        <f t="shared" si="149"/>
        <v/>
      </c>
      <c r="AS926" t="str">
        <f t="shared" si="150"/>
        <v/>
      </c>
    </row>
    <row r="927" spans="1:45">
      <c r="A927" s="291"/>
      <c r="B927" s="292"/>
      <c r="C927" s="293"/>
      <c r="D927" s="293"/>
      <c r="E927" s="293"/>
      <c r="F927" s="293"/>
      <c r="G927" s="294"/>
      <c r="H927" s="300"/>
      <c r="I927" s="295"/>
      <c r="J927" s="295"/>
      <c r="K927" s="296"/>
      <c r="L927" s="301"/>
      <c r="M927" s="297"/>
      <c r="N927" s="298"/>
      <c r="P927" s="190" t="str">
        <f>IF(R927 = "", "", COUNT(R$4:$R927))</f>
        <v/>
      </c>
      <c r="Q927" s="190" t="str">
        <f t="shared" si="141"/>
        <v/>
      </c>
      <c r="R927" s="191" t="str">
        <f t="shared" si="142"/>
        <v/>
      </c>
      <c r="S927" s="192" t="str">
        <f t="shared" si="144"/>
        <v/>
      </c>
      <c r="T927" s="193" t="str">
        <f t="shared" si="145"/>
        <v/>
      </c>
      <c r="U927" s="194" t="str">
        <f t="shared" si="146"/>
        <v/>
      </c>
      <c r="V927" s="195" t="str">
        <f t="shared" si="143"/>
        <v/>
      </c>
      <c r="W927" s="336" t="str">
        <f t="shared" si="147"/>
        <v/>
      </c>
      <c r="X927" s="338" t="str">
        <f t="shared" si="148"/>
        <v/>
      </c>
      <c r="Y927" s="274"/>
      <c r="AR927" t="str">
        <f t="shared" si="149"/>
        <v/>
      </c>
      <c r="AS927" t="str">
        <f t="shared" si="150"/>
        <v/>
      </c>
    </row>
    <row r="928" spans="1:45">
      <c r="A928" s="291"/>
      <c r="B928" s="292"/>
      <c r="C928" s="293"/>
      <c r="D928" s="293"/>
      <c r="E928" s="293"/>
      <c r="F928" s="293"/>
      <c r="G928" s="294"/>
      <c r="H928" s="300"/>
      <c r="I928" s="295"/>
      <c r="J928" s="295"/>
      <c r="K928" s="296"/>
      <c r="L928" s="301"/>
      <c r="M928" s="297"/>
      <c r="N928" s="298"/>
      <c r="P928" s="190" t="str">
        <f>IF(R928 = "", "", COUNT(R$4:$R928))</f>
        <v/>
      </c>
      <c r="Q928" s="190" t="str">
        <f t="shared" si="141"/>
        <v/>
      </c>
      <c r="R928" s="191" t="str">
        <f t="shared" si="142"/>
        <v/>
      </c>
      <c r="S928" s="192" t="str">
        <f t="shared" si="144"/>
        <v/>
      </c>
      <c r="T928" s="193" t="str">
        <f t="shared" si="145"/>
        <v/>
      </c>
      <c r="U928" s="194" t="str">
        <f t="shared" si="146"/>
        <v/>
      </c>
      <c r="V928" s="195" t="str">
        <f t="shared" si="143"/>
        <v/>
      </c>
      <c r="W928" s="336" t="str">
        <f t="shared" si="147"/>
        <v/>
      </c>
      <c r="X928" s="338" t="str">
        <f t="shared" si="148"/>
        <v/>
      </c>
      <c r="Y928" s="274"/>
      <c r="AR928" t="str">
        <f t="shared" si="149"/>
        <v/>
      </c>
      <c r="AS928" t="str">
        <f t="shared" si="150"/>
        <v/>
      </c>
    </row>
    <row r="929" spans="1:45">
      <c r="A929" s="291"/>
      <c r="B929" s="292"/>
      <c r="C929" s="293"/>
      <c r="D929" s="293"/>
      <c r="E929" s="293"/>
      <c r="F929" s="293"/>
      <c r="G929" s="294"/>
      <c r="H929" s="300"/>
      <c r="I929" s="295"/>
      <c r="J929" s="295"/>
      <c r="K929" s="296"/>
      <c r="L929" s="301"/>
      <c r="M929" s="297"/>
      <c r="N929" s="298"/>
      <c r="P929" s="190" t="str">
        <f>IF(R929 = "", "", COUNT(R$4:$R929))</f>
        <v/>
      </c>
      <c r="Q929" s="190" t="str">
        <f t="shared" si="141"/>
        <v/>
      </c>
      <c r="R929" s="191" t="str">
        <f t="shared" si="142"/>
        <v/>
      </c>
      <c r="S929" s="192" t="str">
        <f t="shared" si="144"/>
        <v/>
      </c>
      <c r="T929" s="193" t="str">
        <f t="shared" si="145"/>
        <v/>
      </c>
      <c r="U929" s="194" t="str">
        <f t="shared" si="146"/>
        <v/>
      </c>
      <c r="V929" s="195" t="str">
        <f t="shared" si="143"/>
        <v/>
      </c>
      <c r="W929" s="336" t="str">
        <f t="shared" si="147"/>
        <v/>
      </c>
      <c r="X929" s="338" t="str">
        <f t="shared" si="148"/>
        <v/>
      </c>
      <c r="Y929" s="274"/>
      <c r="AR929" t="str">
        <f t="shared" si="149"/>
        <v/>
      </c>
      <c r="AS929" t="str">
        <f t="shared" si="150"/>
        <v/>
      </c>
    </row>
    <row r="930" spans="1:45">
      <c r="A930" s="291"/>
      <c r="B930" s="292"/>
      <c r="C930" s="293"/>
      <c r="D930" s="293"/>
      <c r="E930" s="293"/>
      <c r="F930" s="293"/>
      <c r="G930" s="294"/>
      <c r="H930" s="300"/>
      <c r="I930" s="295"/>
      <c r="J930" s="295"/>
      <c r="K930" s="296"/>
      <c r="L930" s="301"/>
      <c r="M930" s="297"/>
      <c r="N930" s="298"/>
      <c r="P930" s="190" t="str">
        <f>IF(R930 = "", "", COUNT(R$4:$R930))</f>
        <v/>
      </c>
      <c r="Q930" s="190" t="str">
        <f t="shared" si="141"/>
        <v/>
      </c>
      <c r="R930" s="191" t="str">
        <f t="shared" si="142"/>
        <v/>
      </c>
      <c r="S930" s="192" t="str">
        <f t="shared" si="144"/>
        <v/>
      </c>
      <c r="T930" s="193" t="str">
        <f t="shared" si="145"/>
        <v/>
      </c>
      <c r="U930" s="194" t="str">
        <f t="shared" si="146"/>
        <v/>
      </c>
      <c r="V930" s="195" t="str">
        <f t="shared" si="143"/>
        <v/>
      </c>
      <c r="W930" s="336" t="str">
        <f t="shared" si="147"/>
        <v/>
      </c>
      <c r="X930" s="338" t="str">
        <f t="shared" si="148"/>
        <v/>
      </c>
      <c r="Y930" s="274"/>
      <c r="AR930" t="str">
        <f t="shared" si="149"/>
        <v/>
      </c>
      <c r="AS930" t="str">
        <f t="shared" si="150"/>
        <v/>
      </c>
    </row>
    <row r="931" spans="1:45">
      <c r="A931" s="291"/>
      <c r="B931" s="292"/>
      <c r="C931" s="293"/>
      <c r="D931" s="293"/>
      <c r="E931" s="293"/>
      <c r="F931" s="293"/>
      <c r="G931" s="294"/>
      <c r="H931" s="300"/>
      <c r="I931" s="295"/>
      <c r="J931" s="295"/>
      <c r="K931" s="296"/>
      <c r="L931" s="301"/>
      <c r="M931" s="297"/>
      <c r="N931" s="298"/>
      <c r="P931" s="190" t="str">
        <f>IF(R931 = "", "", COUNT(R$4:$R931))</f>
        <v/>
      </c>
      <c r="Q931" s="190" t="str">
        <f t="shared" si="141"/>
        <v/>
      </c>
      <c r="R931" s="191" t="str">
        <f t="shared" si="142"/>
        <v/>
      </c>
      <c r="S931" s="192" t="str">
        <f t="shared" si="144"/>
        <v/>
      </c>
      <c r="T931" s="193" t="str">
        <f t="shared" si="145"/>
        <v/>
      </c>
      <c r="U931" s="194" t="str">
        <f t="shared" si="146"/>
        <v/>
      </c>
      <c r="V931" s="195" t="str">
        <f t="shared" si="143"/>
        <v/>
      </c>
      <c r="W931" s="336" t="str">
        <f t="shared" si="147"/>
        <v/>
      </c>
      <c r="X931" s="338" t="str">
        <f t="shared" si="148"/>
        <v/>
      </c>
      <c r="Y931" s="274"/>
      <c r="AR931" t="str">
        <f t="shared" si="149"/>
        <v/>
      </c>
      <c r="AS931" t="str">
        <f t="shared" si="150"/>
        <v/>
      </c>
    </row>
    <row r="932" spans="1:45">
      <c r="A932" s="291"/>
      <c r="B932" s="292"/>
      <c r="C932" s="293"/>
      <c r="D932" s="293"/>
      <c r="E932" s="293"/>
      <c r="F932" s="293"/>
      <c r="G932" s="294"/>
      <c r="H932" s="300"/>
      <c r="I932" s="295"/>
      <c r="J932" s="295"/>
      <c r="K932" s="296"/>
      <c r="L932" s="301"/>
      <c r="M932" s="297"/>
      <c r="N932" s="298"/>
      <c r="P932" s="190" t="str">
        <f>IF(R932 = "", "", COUNT(R$4:$R932))</f>
        <v/>
      </c>
      <c r="Q932" s="190" t="str">
        <f t="shared" si="141"/>
        <v/>
      </c>
      <c r="R932" s="191" t="str">
        <f t="shared" si="142"/>
        <v/>
      </c>
      <c r="S932" s="192" t="str">
        <f t="shared" si="144"/>
        <v/>
      </c>
      <c r="T932" s="193" t="str">
        <f t="shared" si="145"/>
        <v/>
      </c>
      <c r="U932" s="194" t="str">
        <f t="shared" si="146"/>
        <v/>
      </c>
      <c r="V932" s="195" t="str">
        <f t="shared" si="143"/>
        <v/>
      </c>
      <c r="W932" s="336" t="str">
        <f t="shared" si="147"/>
        <v/>
      </c>
      <c r="X932" s="338" t="str">
        <f t="shared" si="148"/>
        <v/>
      </c>
      <c r="Y932" s="274"/>
      <c r="AR932" t="str">
        <f t="shared" si="149"/>
        <v/>
      </c>
      <c r="AS932" t="str">
        <f t="shared" si="150"/>
        <v/>
      </c>
    </row>
    <row r="933" spans="1:45">
      <c r="A933" s="291"/>
      <c r="B933" s="292"/>
      <c r="C933" s="293"/>
      <c r="D933" s="293"/>
      <c r="E933" s="293"/>
      <c r="F933" s="293"/>
      <c r="G933" s="294"/>
      <c r="H933" s="300"/>
      <c r="I933" s="295"/>
      <c r="J933" s="295"/>
      <c r="K933" s="296"/>
      <c r="L933" s="301"/>
      <c r="M933" s="297"/>
      <c r="N933" s="298"/>
      <c r="P933" s="190" t="str">
        <f>IF(R933 = "", "", COUNT(R$4:$R933))</f>
        <v/>
      </c>
      <c r="Q933" s="190" t="str">
        <f t="shared" si="141"/>
        <v/>
      </c>
      <c r="R933" s="191" t="str">
        <f t="shared" si="142"/>
        <v/>
      </c>
      <c r="S933" s="192" t="str">
        <f t="shared" si="144"/>
        <v/>
      </c>
      <c r="T933" s="193" t="str">
        <f t="shared" si="145"/>
        <v/>
      </c>
      <c r="U933" s="194" t="str">
        <f t="shared" si="146"/>
        <v/>
      </c>
      <c r="V933" s="195" t="str">
        <f t="shared" si="143"/>
        <v/>
      </c>
      <c r="W933" s="336" t="str">
        <f t="shared" si="147"/>
        <v/>
      </c>
      <c r="X933" s="338" t="str">
        <f t="shared" si="148"/>
        <v/>
      </c>
      <c r="Y933" s="274"/>
      <c r="AR933" t="str">
        <f t="shared" si="149"/>
        <v/>
      </c>
      <c r="AS933" t="str">
        <f t="shared" si="150"/>
        <v/>
      </c>
    </row>
    <row r="934" spans="1:45">
      <c r="A934" s="291"/>
      <c r="B934" s="292"/>
      <c r="C934" s="293"/>
      <c r="D934" s="293"/>
      <c r="E934" s="293"/>
      <c r="F934" s="293"/>
      <c r="G934" s="294"/>
      <c r="H934" s="300"/>
      <c r="I934" s="295"/>
      <c r="J934" s="295"/>
      <c r="K934" s="296"/>
      <c r="L934" s="301"/>
      <c r="M934" s="297"/>
      <c r="N934" s="298"/>
      <c r="P934" s="190" t="str">
        <f>IF(R934 = "", "", COUNT(R$4:$R934))</f>
        <v/>
      </c>
      <c r="Q934" s="190" t="str">
        <f t="shared" si="141"/>
        <v/>
      </c>
      <c r="R934" s="191" t="str">
        <f t="shared" si="142"/>
        <v/>
      </c>
      <c r="S934" s="192" t="str">
        <f t="shared" si="144"/>
        <v/>
      </c>
      <c r="T934" s="193" t="str">
        <f t="shared" si="145"/>
        <v/>
      </c>
      <c r="U934" s="194" t="str">
        <f t="shared" si="146"/>
        <v/>
      </c>
      <c r="V934" s="195" t="str">
        <f t="shared" si="143"/>
        <v/>
      </c>
      <c r="W934" s="336" t="str">
        <f t="shared" si="147"/>
        <v/>
      </c>
      <c r="X934" s="338" t="str">
        <f t="shared" si="148"/>
        <v/>
      </c>
      <c r="Y934" s="274"/>
      <c r="AR934" t="str">
        <f t="shared" si="149"/>
        <v/>
      </c>
      <c r="AS934" t="str">
        <f t="shared" si="150"/>
        <v/>
      </c>
    </row>
    <row r="935" spans="1:45">
      <c r="A935" s="291"/>
      <c r="B935" s="292"/>
      <c r="C935" s="293"/>
      <c r="D935" s="293"/>
      <c r="E935" s="293"/>
      <c r="F935" s="293"/>
      <c r="G935" s="294"/>
      <c r="H935" s="300"/>
      <c r="I935" s="295"/>
      <c r="J935" s="295"/>
      <c r="K935" s="296"/>
      <c r="L935" s="301"/>
      <c r="M935" s="297"/>
      <c r="N935" s="298"/>
      <c r="P935" s="190" t="str">
        <f>IF(R935 = "", "", COUNT(R$4:$R935))</f>
        <v/>
      </c>
      <c r="Q935" s="190" t="str">
        <f t="shared" si="141"/>
        <v/>
      </c>
      <c r="R935" s="191" t="str">
        <f t="shared" si="142"/>
        <v/>
      </c>
      <c r="S935" s="192" t="str">
        <f t="shared" si="144"/>
        <v/>
      </c>
      <c r="T935" s="193" t="str">
        <f t="shared" si="145"/>
        <v/>
      </c>
      <c r="U935" s="194" t="str">
        <f t="shared" si="146"/>
        <v/>
      </c>
      <c r="V935" s="195" t="str">
        <f t="shared" si="143"/>
        <v/>
      </c>
      <c r="W935" s="336" t="str">
        <f t="shared" si="147"/>
        <v/>
      </c>
      <c r="X935" s="338" t="str">
        <f t="shared" si="148"/>
        <v/>
      </c>
      <c r="Y935" s="274"/>
      <c r="AR935" t="str">
        <f t="shared" si="149"/>
        <v/>
      </c>
      <c r="AS935" t="str">
        <f t="shared" si="150"/>
        <v/>
      </c>
    </row>
    <row r="936" spans="1:45">
      <c r="A936" s="291"/>
      <c r="B936" s="292"/>
      <c r="C936" s="293"/>
      <c r="D936" s="293"/>
      <c r="E936" s="293"/>
      <c r="F936" s="293"/>
      <c r="G936" s="294"/>
      <c r="H936" s="300"/>
      <c r="I936" s="295"/>
      <c r="J936" s="295"/>
      <c r="K936" s="296"/>
      <c r="L936" s="301"/>
      <c r="M936" s="297"/>
      <c r="N936" s="298"/>
      <c r="P936" s="190" t="str">
        <f>IF(R936 = "", "", COUNT(R$4:$R936))</f>
        <v/>
      </c>
      <c r="Q936" s="190" t="str">
        <f t="shared" si="141"/>
        <v/>
      </c>
      <c r="R936" s="191" t="str">
        <f t="shared" si="142"/>
        <v/>
      </c>
      <c r="S936" s="192" t="str">
        <f t="shared" si="144"/>
        <v/>
      </c>
      <c r="T936" s="193" t="str">
        <f t="shared" si="145"/>
        <v/>
      </c>
      <c r="U936" s="194" t="str">
        <f t="shared" si="146"/>
        <v/>
      </c>
      <c r="V936" s="195" t="str">
        <f t="shared" si="143"/>
        <v/>
      </c>
      <c r="W936" s="336" t="str">
        <f t="shared" si="147"/>
        <v/>
      </c>
      <c r="X936" s="338" t="str">
        <f t="shared" si="148"/>
        <v/>
      </c>
      <c r="Y936" s="274"/>
      <c r="AR936" t="str">
        <f t="shared" si="149"/>
        <v/>
      </c>
      <c r="AS936" t="str">
        <f t="shared" si="150"/>
        <v/>
      </c>
    </row>
    <row r="937" spans="1:45">
      <c r="A937" s="291"/>
      <c r="B937" s="292"/>
      <c r="C937" s="293"/>
      <c r="D937" s="293"/>
      <c r="E937" s="293"/>
      <c r="F937" s="293"/>
      <c r="G937" s="294"/>
      <c r="H937" s="300"/>
      <c r="I937" s="295"/>
      <c r="J937" s="295"/>
      <c r="K937" s="296"/>
      <c r="L937" s="301"/>
      <c r="M937" s="297"/>
      <c r="N937" s="298"/>
      <c r="P937" s="190" t="str">
        <f>IF(R937 = "", "", COUNT(R$4:$R937))</f>
        <v/>
      </c>
      <c r="Q937" s="190" t="str">
        <f t="shared" si="141"/>
        <v/>
      </c>
      <c r="R937" s="191" t="str">
        <f t="shared" si="142"/>
        <v/>
      </c>
      <c r="S937" s="192" t="str">
        <f t="shared" si="144"/>
        <v/>
      </c>
      <c r="T937" s="193" t="str">
        <f t="shared" si="145"/>
        <v/>
      </c>
      <c r="U937" s="194" t="str">
        <f t="shared" si="146"/>
        <v/>
      </c>
      <c r="V937" s="195" t="str">
        <f t="shared" si="143"/>
        <v/>
      </c>
      <c r="W937" s="336" t="str">
        <f t="shared" si="147"/>
        <v/>
      </c>
      <c r="X937" s="338" t="str">
        <f t="shared" si="148"/>
        <v/>
      </c>
      <c r="Y937" s="274"/>
      <c r="AR937" t="str">
        <f t="shared" si="149"/>
        <v/>
      </c>
      <c r="AS937" t="str">
        <f t="shared" si="150"/>
        <v/>
      </c>
    </row>
    <row r="938" spans="1:45">
      <c r="A938" s="291"/>
      <c r="B938" s="292"/>
      <c r="C938" s="293"/>
      <c r="D938" s="293"/>
      <c r="E938" s="293"/>
      <c r="F938" s="293"/>
      <c r="G938" s="294"/>
      <c r="H938" s="300"/>
      <c r="I938" s="295"/>
      <c r="J938" s="295"/>
      <c r="K938" s="296"/>
      <c r="L938" s="301"/>
      <c r="M938" s="297"/>
      <c r="N938" s="298"/>
      <c r="P938" s="190" t="str">
        <f>IF(R938 = "", "", COUNT(R$4:$R938))</f>
        <v/>
      </c>
      <c r="Q938" s="190" t="str">
        <f t="shared" si="141"/>
        <v/>
      </c>
      <c r="R938" s="191" t="str">
        <f t="shared" si="142"/>
        <v/>
      </c>
      <c r="S938" s="192" t="str">
        <f t="shared" si="144"/>
        <v/>
      </c>
      <c r="T938" s="193" t="str">
        <f t="shared" si="145"/>
        <v/>
      </c>
      <c r="U938" s="194" t="str">
        <f t="shared" si="146"/>
        <v/>
      </c>
      <c r="V938" s="195" t="str">
        <f t="shared" si="143"/>
        <v/>
      </c>
      <c r="W938" s="336" t="str">
        <f t="shared" si="147"/>
        <v/>
      </c>
      <c r="X938" s="338" t="str">
        <f t="shared" si="148"/>
        <v/>
      </c>
      <c r="Y938" s="274"/>
      <c r="AR938" t="str">
        <f t="shared" si="149"/>
        <v/>
      </c>
      <c r="AS938" t="str">
        <f t="shared" si="150"/>
        <v/>
      </c>
    </row>
    <row r="939" spans="1:45">
      <c r="A939" s="291"/>
      <c r="B939" s="292"/>
      <c r="C939" s="293"/>
      <c r="D939" s="293"/>
      <c r="E939" s="293"/>
      <c r="F939" s="293"/>
      <c r="G939" s="294"/>
      <c r="H939" s="300"/>
      <c r="I939" s="295"/>
      <c r="J939" s="295"/>
      <c r="K939" s="296"/>
      <c r="L939" s="301"/>
      <c r="M939" s="297"/>
      <c r="N939" s="298"/>
      <c r="P939" s="190" t="str">
        <f>IF(R939 = "", "", COUNT(R$4:$R939))</f>
        <v/>
      </c>
      <c r="Q939" s="190" t="str">
        <f t="shared" si="141"/>
        <v/>
      </c>
      <c r="R939" s="191" t="str">
        <f t="shared" si="142"/>
        <v/>
      </c>
      <c r="S939" s="192" t="str">
        <f t="shared" si="144"/>
        <v/>
      </c>
      <c r="T939" s="193" t="str">
        <f t="shared" si="145"/>
        <v/>
      </c>
      <c r="U939" s="194" t="str">
        <f t="shared" si="146"/>
        <v/>
      </c>
      <c r="V939" s="195" t="str">
        <f t="shared" si="143"/>
        <v/>
      </c>
      <c r="W939" s="336" t="str">
        <f t="shared" si="147"/>
        <v/>
      </c>
      <c r="X939" s="338" t="str">
        <f t="shared" si="148"/>
        <v/>
      </c>
      <c r="Y939" s="274"/>
      <c r="AR939" t="str">
        <f t="shared" si="149"/>
        <v/>
      </c>
      <c r="AS939" t="str">
        <f t="shared" si="150"/>
        <v/>
      </c>
    </row>
    <row r="940" spans="1:45">
      <c r="A940" s="291"/>
      <c r="B940" s="292"/>
      <c r="C940" s="293"/>
      <c r="D940" s="293"/>
      <c r="E940" s="293"/>
      <c r="F940" s="293"/>
      <c r="G940" s="294"/>
      <c r="H940" s="300"/>
      <c r="I940" s="295"/>
      <c r="J940" s="295"/>
      <c r="K940" s="296"/>
      <c r="L940" s="301"/>
      <c r="M940" s="297"/>
      <c r="N940" s="298"/>
      <c r="P940" s="190" t="str">
        <f>IF(R940 = "", "", COUNT(R$4:$R940))</f>
        <v/>
      </c>
      <c r="Q940" s="190" t="str">
        <f t="shared" si="141"/>
        <v/>
      </c>
      <c r="R940" s="191" t="str">
        <f t="shared" si="142"/>
        <v/>
      </c>
      <c r="S940" s="192" t="str">
        <f t="shared" si="144"/>
        <v/>
      </c>
      <c r="T940" s="193" t="str">
        <f t="shared" si="145"/>
        <v/>
      </c>
      <c r="U940" s="194" t="str">
        <f t="shared" si="146"/>
        <v/>
      </c>
      <c r="V940" s="195" t="str">
        <f t="shared" si="143"/>
        <v/>
      </c>
      <c r="W940" s="336" t="str">
        <f t="shared" si="147"/>
        <v/>
      </c>
      <c r="X940" s="338" t="str">
        <f t="shared" si="148"/>
        <v/>
      </c>
      <c r="Y940" s="274"/>
      <c r="AR940" t="str">
        <f t="shared" si="149"/>
        <v/>
      </c>
      <c r="AS940" t="str">
        <f t="shared" si="150"/>
        <v/>
      </c>
    </row>
    <row r="941" spans="1:45">
      <c r="A941" s="291"/>
      <c r="B941" s="292"/>
      <c r="C941" s="293"/>
      <c r="D941" s="293"/>
      <c r="E941" s="293"/>
      <c r="F941" s="293"/>
      <c r="G941" s="294"/>
      <c r="H941" s="300"/>
      <c r="I941" s="295"/>
      <c r="J941" s="295"/>
      <c r="K941" s="296"/>
      <c r="L941" s="301"/>
      <c r="M941" s="297"/>
      <c r="N941" s="298"/>
      <c r="P941" s="190" t="str">
        <f>IF(R941 = "", "", COUNT(R$4:$R941))</f>
        <v/>
      </c>
      <c r="Q941" s="190" t="str">
        <f t="shared" si="141"/>
        <v/>
      </c>
      <c r="R941" s="191" t="str">
        <f t="shared" si="142"/>
        <v/>
      </c>
      <c r="S941" s="192" t="str">
        <f t="shared" si="144"/>
        <v/>
      </c>
      <c r="T941" s="193" t="str">
        <f t="shared" si="145"/>
        <v/>
      </c>
      <c r="U941" s="194" t="str">
        <f t="shared" si="146"/>
        <v/>
      </c>
      <c r="V941" s="195" t="str">
        <f t="shared" si="143"/>
        <v/>
      </c>
      <c r="W941" s="336" t="str">
        <f t="shared" si="147"/>
        <v/>
      </c>
      <c r="X941" s="338" t="str">
        <f t="shared" si="148"/>
        <v/>
      </c>
      <c r="Y941" s="274"/>
      <c r="AR941" t="str">
        <f t="shared" si="149"/>
        <v/>
      </c>
      <c r="AS941" t="str">
        <f t="shared" si="150"/>
        <v/>
      </c>
    </row>
    <row r="942" spans="1:45">
      <c r="A942" s="291"/>
      <c r="B942" s="292"/>
      <c r="C942" s="293"/>
      <c r="D942" s="293"/>
      <c r="E942" s="293"/>
      <c r="F942" s="293"/>
      <c r="G942" s="294"/>
      <c r="H942" s="300"/>
      <c r="I942" s="295"/>
      <c r="J942" s="295"/>
      <c r="K942" s="296"/>
      <c r="L942" s="301"/>
      <c r="M942" s="297"/>
      <c r="N942" s="298"/>
      <c r="P942" s="190" t="str">
        <f>IF(R942 = "", "", COUNT(R$4:$R942))</f>
        <v/>
      </c>
      <c r="Q942" s="190" t="str">
        <f t="shared" si="141"/>
        <v/>
      </c>
      <c r="R942" s="191" t="str">
        <f t="shared" si="142"/>
        <v/>
      </c>
      <c r="S942" s="192" t="str">
        <f t="shared" si="144"/>
        <v/>
      </c>
      <c r="T942" s="193" t="str">
        <f t="shared" si="145"/>
        <v/>
      </c>
      <c r="U942" s="194" t="str">
        <f t="shared" si="146"/>
        <v/>
      </c>
      <c r="V942" s="195" t="str">
        <f t="shared" si="143"/>
        <v/>
      </c>
      <c r="W942" s="336" t="str">
        <f t="shared" si="147"/>
        <v/>
      </c>
      <c r="X942" s="338" t="str">
        <f t="shared" si="148"/>
        <v/>
      </c>
      <c r="Y942" s="274"/>
      <c r="AR942" t="str">
        <f t="shared" si="149"/>
        <v/>
      </c>
      <c r="AS942" t="str">
        <f t="shared" si="150"/>
        <v/>
      </c>
    </row>
    <row r="943" spans="1:45">
      <c r="A943" s="291"/>
      <c r="B943" s="292"/>
      <c r="C943" s="293"/>
      <c r="D943" s="293"/>
      <c r="E943" s="293"/>
      <c r="F943" s="293"/>
      <c r="G943" s="294"/>
      <c r="H943" s="300"/>
      <c r="I943" s="295"/>
      <c r="J943" s="295"/>
      <c r="K943" s="296"/>
      <c r="L943" s="301"/>
      <c r="M943" s="297"/>
      <c r="N943" s="298"/>
      <c r="P943" s="190" t="str">
        <f>IF(R943 = "", "", COUNT(R$4:$R943))</f>
        <v/>
      </c>
      <c r="Q943" s="190" t="str">
        <f t="shared" si="141"/>
        <v/>
      </c>
      <c r="R943" s="191" t="str">
        <f t="shared" si="142"/>
        <v/>
      </c>
      <c r="S943" s="192" t="str">
        <f t="shared" si="144"/>
        <v/>
      </c>
      <c r="T943" s="193" t="str">
        <f t="shared" si="145"/>
        <v/>
      </c>
      <c r="U943" s="194" t="str">
        <f t="shared" si="146"/>
        <v/>
      </c>
      <c r="V943" s="195" t="str">
        <f t="shared" si="143"/>
        <v/>
      </c>
      <c r="W943" s="336" t="str">
        <f t="shared" si="147"/>
        <v/>
      </c>
      <c r="X943" s="338" t="str">
        <f t="shared" si="148"/>
        <v/>
      </c>
      <c r="Y943" s="274"/>
      <c r="AR943" t="str">
        <f t="shared" si="149"/>
        <v/>
      </c>
      <c r="AS943" t="str">
        <f t="shared" si="150"/>
        <v/>
      </c>
    </row>
    <row r="944" spans="1:45">
      <c r="A944" s="291"/>
      <c r="B944" s="292"/>
      <c r="C944" s="293"/>
      <c r="D944" s="293"/>
      <c r="E944" s="293"/>
      <c r="F944" s="293"/>
      <c r="G944" s="294"/>
      <c r="H944" s="300"/>
      <c r="I944" s="295"/>
      <c r="J944" s="295"/>
      <c r="K944" s="296"/>
      <c r="L944" s="301"/>
      <c r="M944" s="297"/>
      <c r="N944" s="298"/>
      <c r="P944" s="190" t="str">
        <f>IF(R944 = "", "", COUNT(R$4:$R944))</f>
        <v/>
      </c>
      <c r="Q944" s="190" t="str">
        <f t="shared" si="141"/>
        <v/>
      </c>
      <c r="R944" s="191" t="str">
        <f t="shared" si="142"/>
        <v/>
      </c>
      <c r="S944" s="192" t="str">
        <f t="shared" si="144"/>
        <v/>
      </c>
      <c r="T944" s="193" t="str">
        <f t="shared" si="145"/>
        <v/>
      </c>
      <c r="U944" s="194" t="str">
        <f t="shared" si="146"/>
        <v/>
      </c>
      <c r="V944" s="195" t="str">
        <f t="shared" si="143"/>
        <v/>
      </c>
      <c r="W944" s="336" t="str">
        <f t="shared" si="147"/>
        <v/>
      </c>
      <c r="X944" s="338" t="str">
        <f t="shared" si="148"/>
        <v/>
      </c>
      <c r="Y944" s="274"/>
      <c r="AR944" t="str">
        <f t="shared" si="149"/>
        <v/>
      </c>
      <c r="AS944" t="str">
        <f t="shared" si="150"/>
        <v/>
      </c>
    </row>
    <row r="945" spans="1:45">
      <c r="A945" s="291"/>
      <c r="B945" s="292"/>
      <c r="C945" s="293"/>
      <c r="D945" s="293"/>
      <c r="E945" s="293"/>
      <c r="F945" s="293"/>
      <c r="G945" s="294"/>
      <c r="H945" s="300"/>
      <c r="I945" s="295"/>
      <c r="J945" s="295"/>
      <c r="K945" s="296"/>
      <c r="L945" s="301"/>
      <c r="M945" s="297"/>
      <c r="N945" s="298"/>
      <c r="P945" s="190" t="str">
        <f>IF(R945 = "", "", COUNT(R$4:$R945))</f>
        <v/>
      </c>
      <c r="Q945" s="190" t="str">
        <f t="shared" si="141"/>
        <v/>
      </c>
      <c r="R945" s="191" t="str">
        <f t="shared" si="142"/>
        <v/>
      </c>
      <c r="S945" s="192" t="str">
        <f t="shared" si="144"/>
        <v/>
      </c>
      <c r="T945" s="193" t="str">
        <f t="shared" si="145"/>
        <v/>
      </c>
      <c r="U945" s="194" t="str">
        <f t="shared" si="146"/>
        <v/>
      </c>
      <c r="V945" s="195" t="str">
        <f t="shared" si="143"/>
        <v/>
      </c>
      <c r="W945" s="336" t="str">
        <f t="shared" si="147"/>
        <v/>
      </c>
      <c r="X945" s="338" t="str">
        <f t="shared" si="148"/>
        <v/>
      </c>
      <c r="Y945" s="274"/>
      <c r="AR945" t="str">
        <f t="shared" si="149"/>
        <v/>
      </c>
      <c r="AS945" t="str">
        <f t="shared" si="150"/>
        <v/>
      </c>
    </row>
    <row r="946" spans="1:45">
      <c r="A946" s="291"/>
      <c r="B946" s="292"/>
      <c r="C946" s="293"/>
      <c r="D946" s="293"/>
      <c r="E946" s="293"/>
      <c r="F946" s="293"/>
      <c r="G946" s="294"/>
      <c r="H946" s="300"/>
      <c r="I946" s="295"/>
      <c r="J946" s="295"/>
      <c r="K946" s="296"/>
      <c r="L946" s="301"/>
      <c r="M946" s="297"/>
      <c r="N946" s="298"/>
      <c r="P946" s="190" t="str">
        <f>IF(R946 = "", "", COUNT(R$4:$R946))</f>
        <v/>
      </c>
      <c r="Q946" s="190" t="str">
        <f t="shared" si="141"/>
        <v/>
      </c>
      <c r="R946" s="191" t="str">
        <f t="shared" si="142"/>
        <v/>
      </c>
      <c r="S946" s="192" t="str">
        <f t="shared" si="144"/>
        <v/>
      </c>
      <c r="T946" s="193" t="str">
        <f t="shared" si="145"/>
        <v/>
      </c>
      <c r="U946" s="194" t="str">
        <f t="shared" si="146"/>
        <v/>
      </c>
      <c r="V946" s="195" t="str">
        <f t="shared" si="143"/>
        <v/>
      </c>
      <c r="W946" s="336" t="str">
        <f t="shared" si="147"/>
        <v/>
      </c>
      <c r="X946" s="338" t="str">
        <f t="shared" si="148"/>
        <v/>
      </c>
      <c r="Y946" s="274"/>
      <c r="AR946" t="str">
        <f t="shared" si="149"/>
        <v/>
      </c>
      <c r="AS946" t="str">
        <f t="shared" si="150"/>
        <v/>
      </c>
    </row>
    <row r="947" spans="1:45">
      <c r="A947" s="291"/>
      <c r="B947" s="292"/>
      <c r="C947" s="293"/>
      <c r="D947" s="293"/>
      <c r="E947" s="293"/>
      <c r="F947" s="293"/>
      <c r="G947" s="294"/>
      <c r="H947" s="300"/>
      <c r="I947" s="295"/>
      <c r="J947" s="295"/>
      <c r="K947" s="296"/>
      <c r="L947" s="301"/>
      <c r="M947" s="297"/>
      <c r="N947" s="298"/>
      <c r="P947" s="190" t="str">
        <f>IF(R947 = "", "", COUNT(R$4:$R947))</f>
        <v/>
      </c>
      <c r="Q947" s="190" t="str">
        <f t="shared" si="141"/>
        <v/>
      </c>
      <c r="R947" s="191" t="str">
        <f t="shared" si="142"/>
        <v/>
      </c>
      <c r="S947" s="192" t="str">
        <f t="shared" si="144"/>
        <v/>
      </c>
      <c r="T947" s="193" t="str">
        <f t="shared" si="145"/>
        <v/>
      </c>
      <c r="U947" s="194" t="str">
        <f t="shared" si="146"/>
        <v/>
      </c>
      <c r="V947" s="195" t="str">
        <f t="shared" si="143"/>
        <v/>
      </c>
      <c r="W947" s="336" t="str">
        <f t="shared" si="147"/>
        <v/>
      </c>
      <c r="X947" s="338" t="str">
        <f t="shared" si="148"/>
        <v/>
      </c>
      <c r="Y947" s="274"/>
      <c r="AR947" t="str">
        <f t="shared" si="149"/>
        <v/>
      </c>
      <c r="AS947" t="str">
        <f t="shared" si="150"/>
        <v/>
      </c>
    </row>
    <row r="948" spans="1:45">
      <c r="A948" s="291"/>
      <c r="B948" s="292"/>
      <c r="C948" s="293"/>
      <c r="D948" s="293"/>
      <c r="E948" s="293"/>
      <c r="F948" s="293"/>
      <c r="G948" s="294"/>
      <c r="H948" s="300"/>
      <c r="I948" s="295"/>
      <c r="J948" s="295"/>
      <c r="K948" s="296"/>
      <c r="L948" s="301"/>
      <c r="M948" s="297"/>
      <c r="N948" s="298"/>
      <c r="P948" s="190" t="str">
        <f>IF(R948 = "", "", COUNT(R$4:$R948))</f>
        <v/>
      </c>
      <c r="Q948" s="190" t="str">
        <f t="shared" si="141"/>
        <v/>
      </c>
      <c r="R948" s="191" t="str">
        <f t="shared" si="142"/>
        <v/>
      </c>
      <c r="S948" s="192" t="str">
        <f t="shared" si="144"/>
        <v/>
      </c>
      <c r="T948" s="193" t="str">
        <f t="shared" si="145"/>
        <v/>
      </c>
      <c r="U948" s="194" t="str">
        <f t="shared" si="146"/>
        <v/>
      </c>
      <c r="V948" s="195" t="str">
        <f t="shared" si="143"/>
        <v/>
      </c>
      <c r="W948" s="336" t="str">
        <f t="shared" si="147"/>
        <v/>
      </c>
      <c r="X948" s="338" t="str">
        <f t="shared" si="148"/>
        <v/>
      </c>
      <c r="Y948" s="274"/>
      <c r="AR948" t="str">
        <f t="shared" si="149"/>
        <v/>
      </c>
      <c r="AS948" t="str">
        <f t="shared" si="150"/>
        <v/>
      </c>
    </row>
    <row r="949" spans="1:45">
      <c r="A949" s="291"/>
      <c r="B949" s="292"/>
      <c r="C949" s="293"/>
      <c r="D949" s="293"/>
      <c r="E949" s="293"/>
      <c r="F949" s="293"/>
      <c r="G949" s="294"/>
      <c r="H949" s="300"/>
      <c r="I949" s="295"/>
      <c r="J949" s="295"/>
      <c r="K949" s="296"/>
      <c r="L949" s="301"/>
      <c r="M949" s="297"/>
      <c r="N949" s="298"/>
      <c r="P949" s="190" t="str">
        <f>IF(R949 = "", "", COUNT(R$4:$R949))</f>
        <v/>
      </c>
      <c r="Q949" s="190" t="str">
        <f t="shared" si="141"/>
        <v/>
      </c>
      <c r="R949" s="191" t="str">
        <f t="shared" si="142"/>
        <v/>
      </c>
      <c r="S949" s="192" t="str">
        <f t="shared" si="144"/>
        <v/>
      </c>
      <c r="T949" s="193" t="str">
        <f t="shared" si="145"/>
        <v/>
      </c>
      <c r="U949" s="194" t="str">
        <f t="shared" si="146"/>
        <v/>
      </c>
      <c r="V949" s="195" t="str">
        <f t="shared" si="143"/>
        <v/>
      </c>
      <c r="W949" s="336" t="str">
        <f t="shared" si="147"/>
        <v/>
      </c>
      <c r="X949" s="338" t="str">
        <f t="shared" si="148"/>
        <v/>
      </c>
      <c r="Y949" s="274"/>
      <c r="AR949" t="str">
        <f t="shared" si="149"/>
        <v/>
      </c>
      <c r="AS949" t="str">
        <f t="shared" si="150"/>
        <v/>
      </c>
    </row>
    <row r="950" spans="1:45">
      <c r="A950" s="291"/>
      <c r="B950" s="292"/>
      <c r="C950" s="293"/>
      <c r="D950" s="293"/>
      <c r="E950" s="293"/>
      <c r="F950" s="293"/>
      <c r="G950" s="294"/>
      <c r="H950" s="300"/>
      <c r="I950" s="295"/>
      <c r="J950" s="295"/>
      <c r="K950" s="296"/>
      <c r="L950" s="301"/>
      <c r="M950" s="297"/>
      <c r="N950" s="298"/>
      <c r="P950" s="190" t="str">
        <f>IF(R950 = "", "", COUNT(R$4:$R950))</f>
        <v/>
      </c>
      <c r="Q950" s="190" t="str">
        <f t="shared" si="141"/>
        <v/>
      </c>
      <c r="R950" s="191" t="str">
        <f t="shared" si="142"/>
        <v/>
      </c>
      <c r="S950" s="192" t="str">
        <f t="shared" si="144"/>
        <v/>
      </c>
      <c r="T950" s="193" t="str">
        <f t="shared" si="145"/>
        <v/>
      </c>
      <c r="U950" s="194" t="str">
        <f t="shared" si="146"/>
        <v/>
      </c>
      <c r="V950" s="195" t="str">
        <f t="shared" si="143"/>
        <v/>
      </c>
      <c r="W950" s="336" t="str">
        <f t="shared" si="147"/>
        <v/>
      </c>
      <c r="X950" s="338" t="str">
        <f t="shared" si="148"/>
        <v/>
      </c>
      <c r="Y950" s="274"/>
      <c r="AR950" t="str">
        <f t="shared" si="149"/>
        <v/>
      </c>
      <c r="AS950" t="str">
        <f t="shared" si="150"/>
        <v/>
      </c>
    </row>
    <row r="951" spans="1:45">
      <c r="A951" s="291"/>
      <c r="B951" s="292"/>
      <c r="C951" s="293"/>
      <c r="D951" s="293"/>
      <c r="E951" s="293"/>
      <c r="F951" s="293"/>
      <c r="G951" s="294"/>
      <c r="H951" s="300"/>
      <c r="I951" s="295"/>
      <c r="J951" s="295"/>
      <c r="K951" s="296"/>
      <c r="L951" s="301"/>
      <c r="M951" s="297"/>
      <c r="N951" s="298"/>
      <c r="P951" s="190" t="str">
        <f>IF(R951 = "", "", COUNT(R$4:$R951))</f>
        <v/>
      </c>
      <c r="Q951" s="190" t="str">
        <f t="shared" si="141"/>
        <v/>
      </c>
      <c r="R951" s="191" t="str">
        <f t="shared" si="142"/>
        <v/>
      </c>
      <c r="S951" s="192" t="str">
        <f t="shared" si="144"/>
        <v/>
      </c>
      <c r="T951" s="193" t="str">
        <f t="shared" si="145"/>
        <v/>
      </c>
      <c r="U951" s="194" t="str">
        <f t="shared" si="146"/>
        <v/>
      </c>
      <c r="V951" s="195" t="str">
        <f t="shared" si="143"/>
        <v/>
      </c>
      <c r="W951" s="336" t="str">
        <f t="shared" si="147"/>
        <v/>
      </c>
      <c r="X951" s="338" t="str">
        <f t="shared" si="148"/>
        <v/>
      </c>
      <c r="Y951" s="274"/>
      <c r="AR951" t="str">
        <f t="shared" si="149"/>
        <v/>
      </c>
      <c r="AS951" t="str">
        <f t="shared" si="150"/>
        <v/>
      </c>
    </row>
    <row r="952" spans="1:45">
      <c r="A952" s="291"/>
      <c r="B952" s="292"/>
      <c r="C952" s="293"/>
      <c r="D952" s="293"/>
      <c r="E952" s="293"/>
      <c r="F952" s="293"/>
      <c r="G952" s="294"/>
      <c r="H952" s="300"/>
      <c r="I952" s="295"/>
      <c r="J952" s="295"/>
      <c r="K952" s="296"/>
      <c r="L952" s="301"/>
      <c r="M952" s="297"/>
      <c r="N952" s="298"/>
      <c r="P952" s="190" t="str">
        <f>IF(R952 = "", "", COUNT(R$4:$R952))</f>
        <v/>
      </c>
      <c r="Q952" s="190" t="str">
        <f t="shared" si="141"/>
        <v/>
      </c>
      <c r="R952" s="191" t="str">
        <f t="shared" si="142"/>
        <v/>
      </c>
      <c r="S952" s="192" t="str">
        <f t="shared" si="144"/>
        <v/>
      </c>
      <c r="T952" s="193" t="str">
        <f t="shared" si="145"/>
        <v/>
      </c>
      <c r="U952" s="194" t="str">
        <f t="shared" si="146"/>
        <v/>
      </c>
      <c r="V952" s="195" t="str">
        <f t="shared" si="143"/>
        <v/>
      </c>
      <c r="W952" s="336" t="str">
        <f t="shared" si="147"/>
        <v/>
      </c>
      <c r="X952" s="338" t="str">
        <f t="shared" si="148"/>
        <v/>
      </c>
      <c r="Y952" s="274"/>
      <c r="AR952" t="str">
        <f t="shared" si="149"/>
        <v/>
      </c>
      <c r="AS952" t="str">
        <f t="shared" si="150"/>
        <v/>
      </c>
    </row>
    <row r="953" spans="1:45">
      <c r="A953" s="291"/>
      <c r="B953" s="292"/>
      <c r="C953" s="293"/>
      <c r="D953" s="293"/>
      <c r="E953" s="293"/>
      <c r="F953" s="293"/>
      <c r="G953" s="294"/>
      <c r="H953" s="300"/>
      <c r="I953" s="295"/>
      <c r="J953" s="295"/>
      <c r="K953" s="296"/>
      <c r="L953" s="301"/>
      <c r="M953" s="297"/>
      <c r="N953" s="298"/>
      <c r="P953" s="190" t="str">
        <f>IF(R953 = "", "", COUNT(R$4:$R953))</f>
        <v/>
      </c>
      <c r="Q953" s="190" t="str">
        <f t="shared" si="141"/>
        <v/>
      </c>
      <c r="R953" s="191" t="str">
        <f t="shared" si="142"/>
        <v/>
      </c>
      <c r="S953" s="192" t="str">
        <f t="shared" si="144"/>
        <v/>
      </c>
      <c r="T953" s="193" t="str">
        <f t="shared" si="145"/>
        <v/>
      </c>
      <c r="U953" s="194" t="str">
        <f t="shared" si="146"/>
        <v/>
      </c>
      <c r="V953" s="195" t="str">
        <f t="shared" si="143"/>
        <v/>
      </c>
      <c r="W953" s="336" t="str">
        <f t="shared" si="147"/>
        <v/>
      </c>
      <c r="X953" s="338" t="str">
        <f t="shared" si="148"/>
        <v/>
      </c>
      <c r="Y953" s="274"/>
      <c r="AR953" t="str">
        <f t="shared" si="149"/>
        <v/>
      </c>
      <c r="AS953" t="str">
        <f t="shared" si="150"/>
        <v/>
      </c>
    </row>
    <row r="954" spans="1:45">
      <c r="A954" s="291"/>
      <c r="B954" s="292"/>
      <c r="C954" s="293"/>
      <c r="D954" s="293"/>
      <c r="E954" s="293"/>
      <c r="F954" s="293"/>
      <c r="G954" s="294"/>
      <c r="H954" s="300"/>
      <c r="I954" s="295"/>
      <c r="J954" s="295"/>
      <c r="K954" s="296"/>
      <c r="L954" s="301"/>
      <c r="M954" s="297"/>
      <c r="N954" s="298"/>
      <c r="P954" s="190" t="str">
        <f>IF(R954 = "", "", COUNT(R$4:$R954))</f>
        <v/>
      </c>
      <c r="Q954" s="190" t="str">
        <f t="shared" si="141"/>
        <v/>
      </c>
      <c r="R954" s="191" t="str">
        <f t="shared" si="142"/>
        <v/>
      </c>
      <c r="S954" s="192" t="str">
        <f t="shared" si="144"/>
        <v/>
      </c>
      <c r="T954" s="193" t="str">
        <f t="shared" si="145"/>
        <v/>
      </c>
      <c r="U954" s="194" t="str">
        <f t="shared" si="146"/>
        <v/>
      </c>
      <c r="V954" s="195" t="str">
        <f t="shared" si="143"/>
        <v/>
      </c>
      <c r="W954" s="336" t="str">
        <f t="shared" si="147"/>
        <v/>
      </c>
      <c r="X954" s="338" t="str">
        <f t="shared" si="148"/>
        <v/>
      </c>
      <c r="Y954" s="274"/>
      <c r="AR954" t="str">
        <f t="shared" si="149"/>
        <v/>
      </c>
      <c r="AS954" t="str">
        <f t="shared" si="150"/>
        <v/>
      </c>
    </row>
    <row r="955" spans="1:45">
      <c r="A955" s="291"/>
      <c r="B955" s="292"/>
      <c r="C955" s="293"/>
      <c r="D955" s="293"/>
      <c r="E955" s="293"/>
      <c r="F955" s="293"/>
      <c r="G955" s="294"/>
      <c r="H955" s="300"/>
      <c r="I955" s="295"/>
      <c r="J955" s="295"/>
      <c r="K955" s="296"/>
      <c r="L955" s="301"/>
      <c r="M955" s="297"/>
      <c r="N955" s="298"/>
      <c r="P955" s="190" t="str">
        <f>IF(R955 = "", "", COUNT(R$4:$R955))</f>
        <v/>
      </c>
      <c r="Q955" s="190" t="str">
        <f t="shared" si="141"/>
        <v/>
      </c>
      <c r="R955" s="191" t="str">
        <f t="shared" si="142"/>
        <v/>
      </c>
      <c r="S955" s="192" t="str">
        <f t="shared" si="144"/>
        <v/>
      </c>
      <c r="T955" s="193" t="str">
        <f t="shared" si="145"/>
        <v/>
      </c>
      <c r="U955" s="194" t="str">
        <f t="shared" si="146"/>
        <v/>
      </c>
      <c r="V955" s="195" t="str">
        <f t="shared" si="143"/>
        <v/>
      </c>
      <c r="W955" s="336" t="str">
        <f t="shared" si="147"/>
        <v/>
      </c>
      <c r="X955" s="338" t="str">
        <f t="shared" si="148"/>
        <v/>
      </c>
      <c r="Y955" s="274"/>
      <c r="AR955" t="str">
        <f t="shared" si="149"/>
        <v/>
      </c>
      <c r="AS955" t="str">
        <f t="shared" si="150"/>
        <v/>
      </c>
    </row>
    <row r="956" spans="1:45">
      <c r="A956" s="291"/>
      <c r="B956" s="292"/>
      <c r="C956" s="293"/>
      <c r="D956" s="293"/>
      <c r="E956" s="293"/>
      <c r="F956" s="293"/>
      <c r="G956" s="294"/>
      <c r="H956" s="300"/>
      <c r="I956" s="295"/>
      <c r="J956" s="295"/>
      <c r="K956" s="296"/>
      <c r="L956" s="301"/>
      <c r="M956" s="297"/>
      <c r="N956" s="298"/>
      <c r="P956" s="190" t="str">
        <f>IF(R956 = "", "", COUNT(R$4:$R956))</f>
        <v/>
      </c>
      <c r="Q956" s="190" t="str">
        <f t="shared" si="141"/>
        <v/>
      </c>
      <c r="R956" s="191" t="str">
        <f t="shared" si="142"/>
        <v/>
      </c>
      <c r="S956" s="192" t="str">
        <f t="shared" si="144"/>
        <v/>
      </c>
      <c r="T956" s="193" t="str">
        <f t="shared" si="145"/>
        <v/>
      </c>
      <c r="U956" s="194" t="str">
        <f t="shared" si="146"/>
        <v/>
      </c>
      <c r="V956" s="195" t="str">
        <f t="shared" si="143"/>
        <v/>
      </c>
      <c r="W956" s="336" t="str">
        <f t="shared" si="147"/>
        <v/>
      </c>
      <c r="X956" s="338" t="str">
        <f t="shared" si="148"/>
        <v/>
      </c>
      <c r="Y956" s="274"/>
      <c r="AR956" t="str">
        <f t="shared" si="149"/>
        <v/>
      </c>
      <c r="AS956" t="str">
        <f t="shared" si="150"/>
        <v/>
      </c>
    </row>
    <row r="957" spans="1:45">
      <c r="A957" s="291"/>
      <c r="B957" s="292"/>
      <c r="C957" s="293"/>
      <c r="D957" s="293"/>
      <c r="E957" s="293"/>
      <c r="F957" s="293"/>
      <c r="G957" s="294"/>
      <c r="H957" s="300"/>
      <c r="I957" s="295"/>
      <c r="J957" s="295"/>
      <c r="K957" s="296"/>
      <c r="L957" s="301"/>
      <c r="M957" s="297"/>
      <c r="N957" s="298"/>
      <c r="P957" s="190" t="str">
        <f>IF(R957 = "", "", COUNT(R$4:$R957))</f>
        <v/>
      </c>
      <c r="Q957" s="190" t="str">
        <f t="shared" si="141"/>
        <v/>
      </c>
      <c r="R957" s="191" t="str">
        <f t="shared" si="142"/>
        <v/>
      </c>
      <c r="S957" s="192" t="str">
        <f t="shared" si="144"/>
        <v/>
      </c>
      <c r="T957" s="193" t="str">
        <f t="shared" si="145"/>
        <v/>
      </c>
      <c r="U957" s="194" t="str">
        <f t="shared" si="146"/>
        <v/>
      </c>
      <c r="V957" s="195" t="str">
        <f t="shared" si="143"/>
        <v/>
      </c>
      <c r="W957" s="336" t="str">
        <f t="shared" si="147"/>
        <v/>
      </c>
      <c r="X957" s="338" t="str">
        <f t="shared" si="148"/>
        <v/>
      </c>
      <c r="Y957" s="274"/>
      <c r="AR957" t="str">
        <f t="shared" si="149"/>
        <v/>
      </c>
      <c r="AS957" t="str">
        <f t="shared" si="150"/>
        <v/>
      </c>
    </row>
    <row r="958" spans="1:45">
      <c r="A958" s="291"/>
      <c r="B958" s="292"/>
      <c r="C958" s="293"/>
      <c r="D958" s="293"/>
      <c r="E958" s="293"/>
      <c r="F958" s="293"/>
      <c r="G958" s="294"/>
      <c r="H958" s="300"/>
      <c r="I958" s="295"/>
      <c r="J958" s="295"/>
      <c r="K958" s="296"/>
      <c r="L958" s="301"/>
      <c r="M958" s="297"/>
      <c r="N958" s="298"/>
      <c r="P958" s="190" t="str">
        <f>IF(R958 = "", "", COUNT(R$4:$R958))</f>
        <v/>
      </c>
      <c r="Q958" s="190" t="str">
        <f t="shared" si="141"/>
        <v/>
      </c>
      <c r="R958" s="191" t="str">
        <f t="shared" si="142"/>
        <v/>
      </c>
      <c r="S958" s="192" t="str">
        <f t="shared" si="144"/>
        <v/>
      </c>
      <c r="T958" s="193" t="str">
        <f t="shared" si="145"/>
        <v/>
      </c>
      <c r="U958" s="194" t="str">
        <f t="shared" si="146"/>
        <v/>
      </c>
      <c r="V958" s="195" t="str">
        <f t="shared" si="143"/>
        <v/>
      </c>
      <c r="W958" s="336" t="str">
        <f t="shared" si="147"/>
        <v/>
      </c>
      <c r="X958" s="338" t="str">
        <f t="shared" si="148"/>
        <v/>
      </c>
      <c r="Y958" s="274"/>
      <c r="AR958" t="str">
        <f t="shared" si="149"/>
        <v/>
      </c>
      <c r="AS958" t="str">
        <f t="shared" si="150"/>
        <v/>
      </c>
    </row>
    <row r="959" spans="1:45">
      <c r="A959" s="291"/>
      <c r="B959" s="292"/>
      <c r="C959" s="293"/>
      <c r="D959" s="293"/>
      <c r="E959" s="293"/>
      <c r="F959" s="293"/>
      <c r="G959" s="294"/>
      <c r="H959" s="300"/>
      <c r="I959" s="295"/>
      <c r="J959" s="295"/>
      <c r="K959" s="296"/>
      <c r="L959" s="301"/>
      <c r="M959" s="297"/>
      <c r="N959" s="298"/>
      <c r="P959" s="190" t="str">
        <f>IF(R959 = "", "", COUNT(R$4:$R959))</f>
        <v/>
      </c>
      <c r="Q959" s="190" t="str">
        <f t="shared" si="141"/>
        <v/>
      </c>
      <c r="R959" s="191" t="str">
        <f t="shared" si="142"/>
        <v/>
      </c>
      <c r="S959" s="192" t="str">
        <f t="shared" si="144"/>
        <v/>
      </c>
      <c r="T959" s="193" t="str">
        <f t="shared" si="145"/>
        <v/>
      </c>
      <c r="U959" s="194" t="str">
        <f t="shared" si="146"/>
        <v/>
      </c>
      <c r="V959" s="195" t="str">
        <f t="shared" si="143"/>
        <v/>
      </c>
      <c r="W959" s="336" t="str">
        <f t="shared" si="147"/>
        <v/>
      </c>
      <c r="X959" s="338" t="str">
        <f t="shared" si="148"/>
        <v/>
      </c>
      <c r="Y959" s="274"/>
      <c r="AR959" t="str">
        <f t="shared" si="149"/>
        <v/>
      </c>
      <c r="AS959" t="str">
        <f t="shared" si="150"/>
        <v/>
      </c>
    </row>
    <row r="960" spans="1:45">
      <c r="A960" s="291"/>
      <c r="B960" s="292"/>
      <c r="C960" s="293"/>
      <c r="D960" s="293"/>
      <c r="E960" s="293"/>
      <c r="F960" s="293"/>
      <c r="G960" s="294"/>
      <c r="H960" s="300"/>
      <c r="I960" s="295"/>
      <c r="J960" s="295"/>
      <c r="K960" s="296"/>
      <c r="L960" s="301"/>
      <c r="M960" s="297"/>
      <c r="N960" s="298"/>
      <c r="P960" s="190" t="str">
        <f>IF(R960 = "", "", COUNT(R$4:$R960))</f>
        <v/>
      </c>
      <c r="Q960" s="190" t="str">
        <f t="shared" si="141"/>
        <v/>
      </c>
      <c r="R960" s="191" t="str">
        <f t="shared" si="142"/>
        <v/>
      </c>
      <c r="S960" s="192" t="str">
        <f t="shared" si="144"/>
        <v/>
      </c>
      <c r="T960" s="193" t="str">
        <f t="shared" si="145"/>
        <v/>
      </c>
      <c r="U960" s="194" t="str">
        <f t="shared" si="146"/>
        <v/>
      </c>
      <c r="V960" s="195" t="str">
        <f t="shared" si="143"/>
        <v/>
      </c>
      <c r="W960" s="336" t="str">
        <f t="shared" si="147"/>
        <v/>
      </c>
      <c r="X960" s="338" t="str">
        <f t="shared" si="148"/>
        <v/>
      </c>
      <c r="Y960" s="274"/>
      <c r="AR960" t="str">
        <f t="shared" si="149"/>
        <v/>
      </c>
      <c r="AS960" t="str">
        <f t="shared" si="150"/>
        <v/>
      </c>
    </row>
    <row r="961" spans="1:45">
      <c r="A961" s="291"/>
      <c r="B961" s="292"/>
      <c r="C961" s="293"/>
      <c r="D961" s="293"/>
      <c r="E961" s="293"/>
      <c r="F961" s="293"/>
      <c r="G961" s="294"/>
      <c r="H961" s="300"/>
      <c r="I961" s="295"/>
      <c r="J961" s="295"/>
      <c r="K961" s="296"/>
      <c r="L961" s="301"/>
      <c r="M961" s="297"/>
      <c r="N961" s="298"/>
      <c r="P961" s="190" t="str">
        <f>IF(R961 = "", "", COUNT(R$4:$R961))</f>
        <v/>
      </c>
      <c r="Q961" s="190" t="str">
        <f t="shared" si="141"/>
        <v/>
      </c>
      <c r="R961" s="191" t="str">
        <f t="shared" si="142"/>
        <v/>
      </c>
      <c r="S961" s="192" t="str">
        <f t="shared" si="144"/>
        <v/>
      </c>
      <c r="T961" s="193" t="str">
        <f t="shared" si="145"/>
        <v/>
      </c>
      <c r="U961" s="194" t="str">
        <f t="shared" si="146"/>
        <v/>
      </c>
      <c r="V961" s="195" t="str">
        <f t="shared" si="143"/>
        <v/>
      </c>
      <c r="W961" s="336" t="str">
        <f t="shared" si="147"/>
        <v/>
      </c>
      <c r="X961" s="338" t="str">
        <f t="shared" si="148"/>
        <v/>
      </c>
      <c r="Y961" s="274"/>
      <c r="AR961" t="str">
        <f t="shared" si="149"/>
        <v/>
      </c>
      <c r="AS961" t="str">
        <f t="shared" si="150"/>
        <v/>
      </c>
    </row>
    <row r="962" spans="1:45">
      <c r="A962" s="291"/>
      <c r="B962" s="292"/>
      <c r="C962" s="293"/>
      <c r="D962" s="293"/>
      <c r="E962" s="293"/>
      <c r="F962" s="293"/>
      <c r="G962" s="294"/>
      <c r="H962" s="300"/>
      <c r="I962" s="295"/>
      <c r="J962" s="295"/>
      <c r="K962" s="296"/>
      <c r="L962" s="301"/>
      <c r="M962" s="297"/>
      <c r="N962" s="298"/>
      <c r="P962" s="190" t="str">
        <f>IF(R962 = "", "", COUNT(R$4:$R962))</f>
        <v/>
      </c>
      <c r="Q962" s="190" t="str">
        <f t="shared" si="141"/>
        <v/>
      </c>
      <c r="R962" s="191" t="str">
        <f t="shared" si="142"/>
        <v/>
      </c>
      <c r="S962" s="192" t="str">
        <f t="shared" si="144"/>
        <v/>
      </c>
      <c r="T962" s="193" t="str">
        <f t="shared" si="145"/>
        <v/>
      </c>
      <c r="U962" s="194" t="str">
        <f t="shared" si="146"/>
        <v/>
      </c>
      <c r="V962" s="195" t="str">
        <f t="shared" si="143"/>
        <v/>
      </c>
      <c r="W962" s="336" t="str">
        <f t="shared" si="147"/>
        <v/>
      </c>
      <c r="X962" s="338" t="str">
        <f t="shared" si="148"/>
        <v/>
      </c>
      <c r="Y962" s="274"/>
      <c r="AR962" t="str">
        <f t="shared" si="149"/>
        <v/>
      </c>
      <c r="AS962" t="str">
        <f t="shared" si="150"/>
        <v/>
      </c>
    </row>
    <row r="963" spans="1:45">
      <c r="A963" s="291"/>
      <c r="B963" s="292"/>
      <c r="C963" s="293"/>
      <c r="D963" s="293"/>
      <c r="E963" s="293"/>
      <c r="F963" s="293"/>
      <c r="G963" s="294"/>
      <c r="H963" s="300"/>
      <c r="I963" s="295"/>
      <c r="J963" s="295"/>
      <c r="K963" s="296"/>
      <c r="L963" s="301"/>
      <c r="M963" s="297"/>
      <c r="N963" s="298"/>
      <c r="P963" s="190" t="str">
        <f>IF(R963 = "", "", COUNT(R$4:$R963))</f>
        <v/>
      </c>
      <c r="Q963" s="190" t="str">
        <f t="shared" si="141"/>
        <v/>
      </c>
      <c r="R963" s="191" t="str">
        <f t="shared" si="142"/>
        <v/>
      </c>
      <c r="S963" s="192" t="str">
        <f t="shared" si="144"/>
        <v/>
      </c>
      <c r="T963" s="193" t="str">
        <f t="shared" si="145"/>
        <v/>
      </c>
      <c r="U963" s="194" t="str">
        <f t="shared" si="146"/>
        <v/>
      </c>
      <c r="V963" s="195" t="str">
        <f t="shared" si="143"/>
        <v/>
      </c>
      <c r="W963" s="336" t="str">
        <f t="shared" si="147"/>
        <v/>
      </c>
      <c r="X963" s="338" t="str">
        <f t="shared" si="148"/>
        <v/>
      </c>
      <c r="Y963" s="274"/>
      <c r="AR963" t="str">
        <f t="shared" si="149"/>
        <v/>
      </c>
      <c r="AS963" t="str">
        <f t="shared" si="150"/>
        <v/>
      </c>
    </row>
    <row r="964" spans="1:45">
      <c r="A964" s="291"/>
      <c r="B964" s="292"/>
      <c r="C964" s="293"/>
      <c r="D964" s="293"/>
      <c r="E964" s="293"/>
      <c r="F964" s="293"/>
      <c r="G964" s="294"/>
      <c r="H964" s="300"/>
      <c r="I964" s="295"/>
      <c r="J964" s="295"/>
      <c r="K964" s="296"/>
      <c r="L964" s="301"/>
      <c r="M964" s="297"/>
      <c r="N964" s="298"/>
      <c r="P964" s="190" t="str">
        <f>IF(R964 = "", "", COUNT(R$4:$R964))</f>
        <v/>
      </c>
      <c r="Q964" s="190" t="str">
        <f t="shared" ref="Q964:Q1003" si="151">IF(C964 &gt; 0, YEAR(B964), "")</f>
        <v/>
      </c>
      <c r="R964" s="191" t="str">
        <f t="shared" ref="R964:R1003" si="152">IF(A964="", "", IF(G964="",1,IF(G964="O",1,IF(G964="C",8.4,IF(G964="B",8.4,IF(G964="A",76.8,IF(G964="K",76.8,"ERR")))))))</f>
        <v/>
      </c>
      <c r="S964" s="192" t="str">
        <f t="shared" si="144"/>
        <v/>
      </c>
      <c r="T964" s="193" t="str">
        <f t="shared" si="145"/>
        <v/>
      </c>
      <c r="U964" s="194" t="str">
        <f t="shared" si="146"/>
        <v/>
      </c>
      <c r="V964" s="195" t="str">
        <f t="shared" ref="V964:V1003" si="153">IF(IF(M964&lt;&gt;"",G964,"")=0, "O", IF(M964&lt;&gt;"",G964,""))</f>
        <v/>
      </c>
      <c r="W964" s="336" t="str">
        <f t="shared" si="147"/>
        <v/>
      </c>
      <c r="X964" s="338" t="str">
        <f t="shared" si="148"/>
        <v/>
      </c>
      <c r="Y964" s="274"/>
      <c r="AR964" t="str">
        <f t="shared" si="149"/>
        <v/>
      </c>
      <c r="AS964" t="str">
        <f t="shared" si="150"/>
        <v/>
      </c>
    </row>
    <row r="965" spans="1:45">
      <c r="A965" s="291"/>
      <c r="B965" s="292"/>
      <c r="C965" s="293"/>
      <c r="D965" s="293"/>
      <c r="E965" s="293"/>
      <c r="F965" s="293"/>
      <c r="G965" s="294"/>
      <c r="H965" s="300"/>
      <c r="I965" s="295"/>
      <c r="J965" s="295"/>
      <c r="K965" s="296"/>
      <c r="L965" s="301"/>
      <c r="M965" s="297"/>
      <c r="N965" s="298"/>
      <c r="P965" s="190" t="str">
        <f>IF(R965 = "", "", COUNT(R$4:$R965))</f>
        <v/>
      </c>
      <c r="Q965" s="190" t="str">
        <f t="shared" si="151"/>
        <v/>
      </c>
      <c r="R965" s="191" t="str">
        <f t="shared" si="152"/>
        <v/>
      </c>
      <c r="S965" s="192" t="str">
        <f t="shared" ref="S965:S1003" si="154">IF(L965&lt;&gt;"",R965,"")</f>
        <v/>
      </c>
      <c r="T965" s="193" t="str">
        <f t="shared" ref="T965:T1003" si="155">IF(IF(L965&lt;&gt;"",G965,"")=0, "O", IF(L965&lt;&gt;"",G965,""))</f>
        <v/>
      </c>
      <c r="U965" s="194" t="str">
        <f t="shared" ref="U965:U1003" si="156">IF(M965&lt;&gt;"",R965,"")</f>
        <v/>
      </c>
      <c r="V965" s="195" t="str">
        <f t="shared" si="153"/>
        <v/>
      </c>
      <c r="W965" s="336" t="str">
        <f t="shared" ref="W965:W1003" si="157">IF(N965&lt;&gt;"",R965,"")</f>
        <v/>
      </c>
      <c r="X965" s="338" t="str">
        <f t="shared" ref="X965:X1003" si="158">IF(IF(N965&lt;&gt;"",G965,"")=0, "O", IF(N965&lt;&gt;"",G965,""))</f>
        <v/>
      </c>
      <c r="Y965" s="274"/>
      <c r="AR965" t="str">
        <f t="shared" ref="AR965:AR1003" si="159">IF(P965&gt;0, P965, "")</f>
        <v/>
      </c>
      <c r="AS965" t="str">
        <f t="shared" ref="AS965:AS1003" si="160">IF(OR(L965="Y",M965="Y",N965="Y"),"Y","")</f>
        <v/>
      </c>
    </row>
    <row r="966" spans="1:45">
      <c r="A966" s="291"/>
      <c r="B966" s="292"/>
      <c r="C966" s="293"/>
      <c r="D966" s="293"/>
      <c r="E966" s="293"/>
      <c r="F966" s="293"/>
      <c r="G966" s="294"/>
      <c r="H966" s="300"/>
      <c r="I966" s="295"/>
      <c r="J966" s="295"/>
      <c r="K966" s="296"/>
      <c r="L966" s="301"/>
      <c r="M966" s="297"/>
      <c r="N966" s="298"/>
      <c r="P966" s="190" t="str">
        <f>IF(R966 = "", "", COUNT(R$4:$R966))</f>
        <v/>
      </c>
      <c r="Q966" s="190" t="str">
        <f t="shared" si="151"/>
        <v/>
      </c>
      <c r="R966" s="191" t="str">
        <f t="shared" si="152"/>
        <v/>
      </c>
      <c r="S966" s="192" t="str">
        <f t="shared" si="154"/>
        <v/>
      </c>
      <c r="T966" s="193" t="str">
        <f t="shared" si="155"/>
        <v/>
      </c>
      <c r="U966" s="194" t="str">
        <f t="shared" si="156"/>
        <v/>
      </c>
      <c r="V966" s="195" t="str">
        <f t="shared" si="153"/>
        <v/>
      </c>
      <c r="W966" s="336" t="str">
        <f t="shared" si="157"/>
        <v/>
      </c>
      <c r="X966" s="338" t="str">
        <f t="shared" si="158"/>
        <v/>
      </c>
      <c r="Y966" s="274"/>
      <c r="AR966" t="str">
        <f t="shared" si="159"/>
        <v/>
      </c>
      <c r="AS966" t="str">
        <f t="shared" si="160"/>
        <v/>
      </c>
    </row>
    <row r="967" spans="1:45">
      <c r="A967" s="291"/>
      <c r="B967" s="292"/>
      <c r="C967" s="293"/>
      <c r="D967" s="293"/>
      <c r="E967" s="293"/>
      <c r="F967" s="293"/>
      <c r="G967" s="294"/>
      <c r="H967" s="300"/>
      <c r="I967" s="295"/>
      <c r="J967" s="295"/>
      <c r="K967" s="296"/>
      <c r="L967" s="301"/>
      <c r="M967" s="297"/>
      <c r="N967" s="298"/>
      <c r="P967" s="190" t="str">
        <f>IF(R967 = "", "", COUNT(R$4:$R967))</f>
        <v/>
      </c>
      <c r="Q967" s="190" t="str">
        <f t="shared" si="151"/>
        <v/>
      </c>
      <c r="R967" s="191" t="str">
        <f t="shared" si="152"/>
        <v/>
      </c>
      <c r="S967" s="192" t="str">
        <f t="shared" si="154"/>
        <v/>
      </c>
      <c r="T967" s="193" t="str">
        <f t="shared" si="155"/>
        <v/>
      </c>
      <c r="U967" s="194" t="str">
        <f t="shared" si="156"/>
        <v/>
      </c>
      <c r="V967" s="195" t="str">
        <f t="shared" si="153"/>
        <v/>
      </c>
      <c r="W967" s="336" t="str">
        <f t="shared" si="157"/>
        <v/>
      </c>
      <c r="X967" s="338" t="str">
        <f t="shared" si="158"/>
        <v/>
      </c>
      <c r="Y967" s="274"/>
      <c r="AR967" t="str">
        <f t="shared" si="159"/>
        <v/>
      </c>
      <c r="AS967" t="str">
        <f t="shared" si="160"/>
        <v/>
      </c>
    </row>
    <row r="968" spans="1:45">
      <c r="A968" s="291"/>
      <c r="B968" s="292"/>
      <c r="C968" s="293"/>
      <c r="D968" s="293"/>
      <c r="E968" s="293"/>
      <c r="F968" s="293"/>
      <c r="G968" s="294"/>
      <c r="H968" s="300"/>
      <c r="I968" s="295"/>
      <c r="J968" s="295"/>
      <c r="K968" s="296"/>
      <c r="L968" s="301"/>
      <c r="M968" s="297"/>
      <c r="N968" s="298"/>
      <c r="P968" s="190" t="str">
        <f>IF(R968 = "", "", COUNT(R$4:$R968))</f>
        <v/>
      </c>
      <c r="Q968" s="190" t="str">
        <f t="shared" si="151"/>
        <v/>
      </c>
      <c r="R968" s="191" t="str">
        <f t="shared" si="152"/>
        <v/>
      </c>
      <c r="S968" s="192" t="str">
        <f t="shared" si="154"/>
        <v/>
      </c>
      <c r="T968" s="193" t="str">
        <f t="shared" si="155"/>
        <v/>
      </c>
      <c r="U968" s="194" t="str">
        <f t="shared" si="156"/>
        <v/>
      </c>
      <c r="V968" s="195" t="str">
        <f t="shared" si="153"/>
        <v/>
      </c>
      <c r="W968" s="336" t="str">
        <f t="shared" si="157"/>
        <v/>
      </c>
      <c r="X968" s="338" t="str">
        <f t="shared" si="158"/>
        <v/>
      </c>
      <c r="Y968" s="274"/>
      <c r="AR968" t="str">
        <f t="shared" si="159"/>
        <v/>
      </c>
      <c r="AS968" t="str">
        <f t="shared" si="160"/>
        <v/>
      </c>
    </row>
    <row r="969" spans="1:45">
      <c r="A969" s="291"/>
      <c r="B969" s="292"/>
      <c r="C969" s="293"/>
      <c r="D969" s="293"/>
      <c r="E969" s="293"/>
      <c r="F969" s="293"/>
      <c r="G969" s="294"/>
      <c r="H969" s="300"/>
      <c r="I969" s="295"/>
      <c r="J969" s="295"/>
      <c r="K969" s="296"/>
      <c r="L969" s="301"/>
      <c r="M969" s="297"/>
      <c r="N969" s="298"/>
      <c r="P969" s="190" t="str">
        <f>IF(R969 = "", "", COUNT(R$4:$R969))</f>
        <v/>
      </c>
      <c r="Q969" s="190" t="str">
        <f t="shared" si="151"/>
        <v/>
      </c>
      <c r="R969" s="191" t="str">
        <f t="shared" si="152"/>
        <v/>
      </c>
      <c r="S969" s="192" t="str">
        <f t="shared" si="154"/>
        <v/>
      </c>
      <c r="T969" s="193" t="str">
        <f t="shared" si="155"/>
        <v/>
      </c>
      <c r="U969" s="194" t="str">
        <f t="shared" si="156"/>
        <v/>
      </c>
      <c r="V969" s="195" t="str">
        <f t="shared" si="153"/>
        <v/>
      </c>
      <c r="W969" s="336" t="str">
        <f t="shared" si="157"/>
        <v/>
      </c>
      <c r="X969" s="338" t="str">
        <f t="shared" si="158"/>
        <v/>
      </c>
      <c r="Y969" s="274"/>
      <c r="AR969" t="str">
        <f t="shared" si="159"/>
        <v/>
      </c>
      <c r="AS969" t="str">
        <f t="shared" si="160"/>
        <v/>
      </c>
    </row>
    <row r="970" spans="1:45">
      <c r="A970" s="291"/>
      <c r="B970" s="292"/>
      <c r="C970" s="293"/>
      <c r="D970" s="293"/>
      <c r="E970" s="293"/>
      <c r="F970" s="293"/>
      <c r="G970" s="294"/>
      <c r="H970" s="300"/>
      <c r="I970" s="295"/>
      <c r="J970" s="295"/>
      <c r="K970" s="296"/>
      <c r="L970" s="301"/>
      <c r="M970" s="297"/>
      <c r="N970" s="298"/>
      <c r="P970" s="190" t="str">
        <f>IF(R970 = "", "", COUNT(R$4:$R970))</f>
        <v/>
      </c>
      <c r="Q970" s="190" t="str">
        <f t="shared" si="151"/>
        <v/>
      </c>
      <c r="R970" s="191" t="str">
        <f t="shared" si="152"/>
        <v/>
      </c>
      <c r="S970" s="192" t="str">
        <f t="shared" si="154"/>
        <v/>
      </c>
      <c r="T970" s="193" t="str">
        <f t="shared" si="155"/>
        <v/>
      </c>
      <c r="U970" s="194" t="str">
        <f t="shared" si="156"/>
        <v/>
      </c>
      <c r="V970" s="195" t="str">
        <f t="shared" si="153"/>
        <v/>
      </c>
      <c r="W970" s="336" t="str">
        <f t="shared" si="157"/>
        <v/>
      </c>
      <c r="X970" s="338" t="str">
        <f t="shared" si="158"/>
        <v/>
      </c>
      <c r="Y970" s="274"/>
      <c r="AR970" t="str">
        <f t="shared" si="159"/>
        <v/>
      </c>
      <c r="AS970" t="str">
        <f t="shared" si="160"/>
        <v/>
      </c>
    </row>
    <row r="971" spans="1:45">
      <c r="A971" s="291"/>
      <c r="B971" s="292"/>
      <c r="C971" s="293"/>
      <c r="D971" s="293"/>
      <c r="E971" s="293"/>
      <c r="F971" s="293"/>
      <c r="G971" s="294"/>
      <c r="H971" s="300"/>
      <c r="I971" s="295"/>
      <c r="J971" s="295"/>
      <c r="K971" s="296"/>
      <c r="L971" s="301"/>
      <c r="M971" s="297"/>
      <c r="N971" s="298"/>
      <c r="P971" s="190" t="str">
        <f>IF(R971 = "", "", COUNT(R$4:$R971))</f>
        <v/>
      </c>
      <c r="Q971" s="190" t="str">
        <f t="shared" si="151"/>
        <v/>
      </c>
      <c r="R971" s="191" t="str">
        <f t="shared" si="152"/>
        <v/>
      </c>
      <c r="S971" s="192" t="str">
        <f t="shared" si="154"/>
        <v/>
      </c>
      <c r="T971" s="193" t="str">
        <f t="shared" si="155"/>
        <v/>
      </c>
      <c r="U971" s="194" t="str">
        <f t="shared" si="156"/>
        <v/>
      </c>
      <c r="V971" s="195" t="str">
        <f t="shared" si="153"/>
        <v/>
      </c>
      <c r="W971" s="336" t="str">
        <f t="shared" si="157"/>
        <v/>
      </c>
      <c r="X971" s="338" t="str">
        <f t="shared" si="158"/>
        <v/>
      </c>
      <c r="Y971" s="274"/>
      <c r="AR971" t="str">
        <f t="shared" si="159"/>
        <v/>
      </c>
      <c r="AS971" t="str">
        <f t="shared" si="160"/>
        <v/>
      </c>
    </row>
    <row r="972" spans="1:45">
      <c r="A972" s="291"/>
      <c r="B972" s="292"/>
      <c r="C972" s="293"/>
      <c r="D972" s="293"/>
      <c r="E972" s="293"/>
      <c r="F972" s="293"/>
      <c r="G972" s="294"/>
      <c r="H972" s="300"/>
      <c r="I972" s="295"/>
      <c r="J972" s="295"/>
      <c r="K972" s="296"/>
      <c r="L972" s="301"/>
      <c r="M972" s="297"/>
      <c r="N972" s="298"/>
      <c r="P972" s="190" t="str">
        <f>IF(R972 = "", "", COUNT(R$4:$R972))</f>
        <v/>
      </c>
      <c r="Q972" s="190" t="str">
        <f t="shared" si="151"/>
        <v/>
      </c>
      <c r="R972" s="191" t="str">
        <f t="shared" si="152"/>
        <v/>
      </c>
      <c r="S972" s="192" t="str">
        <f t="shared" si="154"/>
        <v/>
      </c>
      <c r="T972" s="193" t="str">
        <f t="shared" si="155"/>
        <v/>
      </c>
      <c r="U972" s="194" t="str">
        <f t="shared" si="156"/>
        <v/>
      </c>
      <c r="V972" s="195" t="str">
        <f t="shared" si="153"/>
        <v/>
      </c>
      <c r="W972" s="336" t="str">
        <f t="shared" si="157"/>
        <v/>
      </c>
      <c r="X972" s="338" t="str">
        <f t="shared" si="158"/>
        <v/>
      </c>
      <c r="Y972" s="274"/>
      <c r="AR972" t="str">
        <f t="shared" si="159"/>
        <v/>
      </c>
      <c r="AS972" t="str">
        <f t="shared" si="160"/>
        <v/>
      </c>
    </row>
    <row r="973" spans="1:45">
      <c r="A973" s="291"/>
      <c r="B973" s="292"/>
      <c r="C973" s="293"/>
      <c r="D973" s="293"/>
      <c r="E973" s="293"/>
      <c r="F973" s="293"/>
      <c r="G973" s="294"/>
      <c r="H973" s="300"/>
      <c r="I973" s="295"/>
      <c r="J973" s="295"/>
      <c r="K973" s="296"/>
      <c r="L973" s="301"/>
      <c r="M973" s="297"/>
      <c r="N973" s="298"/>
      <c r="P973" s="190" t="str">
        <f>IF(R973 = "", "", COUNT(R$4:$R973))</f>
        <v/>
      </c>
      <c r="Q973" s="190" t="str">
        <f t="shared" si="151"/>
        <v/>
      </c>
      <c r="R973" s="191" t="str">
        <f t="shared" si="152"/>
        <v/>
      </c>
      <c r="S973" s="192" t="str">
        <f t="shared" si="154"/>
        <v/>
      </c>
      <c r="T973" s="193" t="str">
        <f t="shared" si="155"/>
        <v/>
      </c>
      <c r="U973" s="194" t="str">
        <f t="shared" si="156"/>
        <v/>
      </c>
      <c r="V973" s="195" t="str">
        <f t="shared" si="153"/>
        <v/>
      </c>
      <c r="W973" s="336" t="str">
        <f t="shared" si="157"/>
        <v/>
      </c>
      <c r="X973" s="338" t="str">
        <f t="shared" si="158"/>
        <v/>
      </c>
      <c r="Y973" s="274"/>
      <c r="AR973" t="str">
        <f t="shared" si="159"/>
        <v/>
      </c>
      <c r="AS973" t="str">
        <f t="shared" si="160"/>
        <v/>
      </c>
    </row>
    <row r="974" spans="1:45">
      <c r="A974" s="291"/>
      <c r="B974" s="292"/>
      <c r="C974" s="293"/>
      <c r="D974" s="293"/>
      <c r="E974" s="293"/>
      <c r="F974" s="293"/>
      <c r="G974" s="294"/>
      <c r="H974" s="300"/>
      <c r="I974" s="295"/>
      <c r="J974" s="295"/>
      <c r="K974" s="296"/>
      <c r="L974" s="301"/>
      <c r="M974" s="297"/>
      <c r="N974" s="298"/>
      <c r="P974" s="190" t="str">
        <f>IF(R974 = "", "", COUNT(R$4:$R974))</f>
        <v/>
      </c>
      <c r="Q974" s="190" t="str">
        <f t="shared" si="151"/>
        <v/>
      </c>
      <c r="R974" s="191" t="str">
        <f t="shared" si="152"/>
        <v/>
      </c>
      <c r="S974" s="192" t="str">
        <f t="shared" si="154"/>
        <v/>
      </c>
      <c r="T974" s="193" t="str">
        <f t="shared" si="155"/>
        <v/>
      </c>
      <c r="U974" s="194" t="str">
        <f t="shared" si="156"/>
        <v/>
      </c>
      <c r="V974" s="195" t="str">
        <f t="shared" si="153"/>
        <v/>
      </c>
      <c r="W974" s="336" t="str">
        <f t="shared" si="157"/>
        <v/>
      </c>
      <c r="X974" s="338" t="str">
        <f t="shared" si="158"/>
        <v/>
      </c>
      <c r="Y974" s="274"/>
      <c r="AR974" t="str">
        <f t="shared" si="159"/>
        <v/>
      </c>
      <c r="AS974" t="str">
        <f t="shared" si="160"/>
        <v/>
      </c>
    </row>
    <row r="975" spans="1:45">
      <c r="A975" s="291"/>
      <c r="B975" s="292"/>
      <c r="C975" s="293"/>
      <c r="D975" s="293"/>
      <c r="E975" s="293"/>
      <c r="F975" s="293"/>
      <c r="G975" s="294"/>
      <c r="H975" s="300"/>
      <c r="I975" s="295"/>
      <c r="J975" s="295"/>
      <c r="K975" s="296"/>
      <c r="L975" s="301"/>
      <c r="M975" s="297"/>
      <c r="N975" s="298"/>
      <c r="P975" s="190" t="str">
        <f>IF(R975 = "", "", COUNT(R$4:$R975))</f>
        <v/>
      </c>
      <c r="Q975" s="190" t="str">
        <f t="shared" si="151"/>
        <v/>
      </c>
      <c r="R975" s="191" t="str">
        <f t="shared" si="152"/>
        <v/>
      </c>
      <c r="S975" s="192" t="str">
        <f t="shared" si="154"/>
        <v/>
      </c>
      <c r="T975" s="193" t="str">
        <f t="shared" si="155"/>
        <v/>
      </c>
      <c r="U975" s="194" t="str">
        <f t="shared" si="156"/>
        <v/>
      </c>
      <c r="V975" s="195" t="str">
        <f t="shared" si="153"/>
        <v/>
      </c>
      <c r="W975" s="336" t="str">
        <f t="shared" si="157"/>
        <v/>
      </c>
      <c r="X975" s="338" t="str">
        <f t="shared" si="158"/>
        <v/>
      </c>
      <c r="Y975" s="274"/>
      <c r="AR975" t="str">
        <f t="shared" si="159"/>
        <v/>
      </c>
      <c r="AS975" t="str">
        <f t="shared" si="160"/>
        <v/>
      </c>
    </row>
    <row r="976" spans="1:45">
      <c r="A976" s="291"/>
      <c r="B976" s="292"/>
      <c r="C976" s="293"/>
      <c r="D976" s="293"/>
      <c r="E976" s="293"/>
      <c r="F976" s="293"/>
      <c r="G976" s="294"/>
      <c r="H976" s="300"/>
      <c r="I976" s="295"/>
      <c r="J976" s="295"/>
      <c r="K976" s="296"/>
      <c r="L976" s="301"/>
      <c r="M976" s="297"/>
      <c r="N976" s="298"/>
      <c r="P976" s="190" t="str">
        <f>IF(R976 = "", "", COUNT(R$4:$R976))</f>
        <v/>
      </c>
      <c r="Q976" s="190" t="str">
        <f t="shared" si="151"/>
        <v/>
      </c>
      <c r="R976" s="191" t="str">
        <f t="shared" si="152"/>
        <v/>
      </c>
      <c r="S976" s="192" t="str">
        <f t="shared" si="154"/>
        <v/>
      </c>
      <c r="T976" s="193" t="str">
        <f t="shared" si="155"/>
        <v/>
      </c>
      <c r="U976" s="194" t="str">
        <f t="shared" si="156"/>
        <v/>
      </c>
      <c r="V976" s="195" t="str">
        <f t="shared" si="153"/>
        <v/>
      </c>
      <c r="W976" s="336" t="str">
        <f t="shared" si="157"/>
        <v/>
      </c>
      <c r="X976" s="338" t="str">
        <f t="shared" si="158"/>
        <v/>
      </c>
      <c r="Y976" s="274"/>
      <c r="AR976" t="str">
        <f t="shared" si="159"/>
        <v/>
      </c>
      <c r="AS976" t="str">
        <f t="shared" si="160"/>
        <v/>
      </c>
    </row>
    <row r="977" spans="1:45">
      <c r="A977" s="291"/>
      <c r="B977" s="292"/>
      <c r="C977" s="293"/>
      <c r="D977" s="293"/>
      <c r="E977" s="293"/>
      <c r="F977" s="293"/>
      <c r="G977" s="294"/>
      <c r="H977" s="300"/>
      <c r="I977" s="295"/>
      <c r="J977" s="295"/>
      <c r="K977" s="296"/>
      <c r="L977" s="301"/>
      <c r="M977" s="297"/>
      <c r="N977" s="298"/>
      <c r="P977" s="190" t="str">
        <f>IF(R977 = "", "", COUNT(R$4:$R977))</f>
        <v/>
      </c>
      <c r="Q977" s="190" t="str">
        <f t="shared" si="151"/>
        <v/>
      </c>
      <c r="R977" s="191" t="str">
        <f t="shared" si="152"/>
        <v/>
      </c>
      <c r="S977" s="192" t="str">
        <f t="shared" si="154"/>
        <v/>
      </c>
      <c r="T977" s="193" t="str">
        <f t="shared" si="155"/>
        <v/>
      </c>
      <c r="U977" s="194" t="str">
        <f t="shared" si="156"/>
        <v/>
      </c>
      <c r="V977" s="195" t="str">
        <f t="shared" si="153"/>
        <v/>
      </c>
      <c r="W977" s="336" t="str">
        <f t="shared" si="157"/>
        <v/>
      </c>
      <c r="X977" s="338" t="str">
        <f t="shared" si="158"/>
        <v/>
      </c>
      <c r="Y977" s="274"/>
      <c r="AR977" t="str">
        <f t="shared" si="159"/>
        <v/>
      </c>
      <c r="AS977" t="str">
        <f t="shared" si="160"/>
        <v/>
      </c>
    </row>
    <row r="978" spans="1:45">
      <c r="A978" s="291"/>
      <c r="B978" s="292"/>
      <c r="C978" s="293"/>
      <c r="D978" s="293"/>
      <c r="E978" s="293"/>
      <c r="F978" s="293"/>
      <c r="G978" s="294"/>
      <c r="H978" s="300"/>
      <c r="I978" s="295"/>
      <c r="J978" s="295"/>
      <c r="K978" s="296"/>
      <c r="L978" s="301"/>
      <c r="M978" s="297"/>
      <c r="N978" s="298"/>
      <c r="P978" s="190" t="str">
        <f>IF(R978 = "", "", COUNT(R$4:$R978))</f>
        <v/>
      </c>
      <c r="Q978" s="190" t="str">
        <f t="shared" si="151"/>
        <v/>
      </c>
      <c r="R978" s="191" t="str">
        <f t="shared" si="152"/>
        <v/>
      </c>
      <c r="S978" s="192" t="str">
        <f t="shared" si="154"/>
        <v/>
      </c>
      <c r="T978" s="193" t="str">
        <f t="shared" si="155"/>
        <v/>
      </c>
      <c r="U978" s="194" t="str">
        <f t="shared" si="156"/>
        <v/>
      </c>
      <c r="V978" s="195" t="str">
        <f t="shared" si="153"/>
        <v/>
      </c>
      <c r="W978" s="336" t="str">
        <f t="shared" si="157"/>
        <v/>
      </c>
      <c r="X978" s="338" t="str">
        <f t="shared" si="158"/>
        <v/>
      </c>
      <c r="Y978" s="274"/>
      <c r="AR978" t="str">
        <f t="shared" si="159"/>
        <v/>
      </c>
      <c r="AS978" t="str">
        <f t="shared" si="160"/>
        <v/>
      </c>
    </row>
    <row r="979" spans="1:45">
      <c r="A979" s="291"/>
      <c r="B979" s="292"/>
      <c r="C979" s="293"/>
      <c r="D979" s="293"/>
      <c r="E979" s="293"/>
      <c r="F979" s="293"/>
      <c r="G979" s="294"/>
      <c r="H979" s="300"/>
      <c r="I979" s="295"/>
      <c r="J979" s="295"/>
      <c r="K979" s="296"/>
      <c r="L979" s="301"/>
      <c r="M979" s="297"/>
      <c r="N979" s="298"/>
      <c r="P979" s="190" t="str">
        <f>IF(R979 = "", "", COUNT(R$4:$R979))</f>
        <v/>
      </c>
      <c r="Q979" s="190" t="str">
        <f t="shared" si="151"/>
        <v/>
      </c>
      <c r="R979" s="191" t="str">
        <f t="shared" si="152"/>
        <v/>
      </c>
      <c r="S979" s="192" t="str">
        <f t="shared" si="154"/>
        <v/>
      </c>
      <c r="T979" s="193" t="str">
        <f t="shared" si="155"/>
        <v/>
      </c>
      <c r="U979" s="194" t="str">
        <f t="shared" si="156"/>
        <v/>
      </c>
      <c r="V979" s="195" t="str">
        <f t="shared" si="153"/>
        <v/>
      </c>
      <c r="W979" s="336" t="str">
        <f t="shared" si="157"/>
        <v/>
      </c>
      <c r="X979" s="338" t="str">
        <f t="shared" si="158"/>
        <v/>
      </c>
      <c r="Y979" s="274"/>
      <c r="AR979" t="str">
        <f t="shared" si="159"/>
        <v/>
      </c>
      <c r="AS979" t="str">
        <f t="shared" si="160"/>
        <v/>
      </c>
    </row>
    <row r="980" spans="1:45">
      <c r="A980" s="291"/>
      <c r="B980" s="292"/>
      <c r="C980" s="293"/>
      <c r="D980" s="293"/>
      <c r="E980" s="293"/>
      <c r="F980" s="293"/>
      <c r="G980" s="294"/>
      <c r="H980" s="300"/>
      <c r="I980" s="295"/>
      <c r="J980" s="295"/>
      <c r="K980" s="296"/>
      <c r="L980" s="301"/>
      <c r="M980" s="297"/>
      <c r="N980" s="298"/>
      <c r="P980" s="190" t="str">
        <f>IF(R980 = "", "", COUNT(R$4:$R980))</f>
        <v/>
      </c>
      <c r="Q980" s="190" t="str">
        <f t="shared" si="151"/>
        <v/>
      </c>
      <c r="R980" s="191" t="str">
        <f t="shared" si="152"/>
        <v/>
      </c>
      <c r="S980" s="192" t="str">
        <f t="shared" si="154"/>
        <v/>
      </c>
      <c r="T980" s="193" t="str">
        <f t="shared" si="155"/>
        <v/>
      </c>
      <c r="U980" s="194" t="str">
        <f t="shared" si="156"/>
        <v/>
      </c>
      <c r="V980" s="195" t="str">
        <f t="shared" si="153"/>
        <v/>
      </c>
      <c r="W980" s="336" t="str">
        <f t="shared" si="157"/>
        <v/>
      </c>
      <c r="X980" s="338" t="str">
        <f t="shared" si="158"/>
        <v/>
      </c>
      <c r="Y980" s="274"/>
      <c r="AR980" t="str">
        <f t="shared" si="159"/>
        <v/>
      </c>
      <c r="AS980" t="str">
        <f t="shared" si="160"/>
        <v/>
      </c>
    </row>
    <row r="981" spans="1:45">
      <c r="A981" s="291"/>
      <c r="B981" s="292"/>
      <c r="C981" s="293"/>
      <c r="D981" s="293"/>
      <c r="E981" s="293"/>
      <c r="F981" s="293"/>
      <c r="G981" s="294"/>
      <c r="H981" s="300"/>
      <c r="I981" s="295"/>
      <c r="J981" s="295"/>
      <c r="K981" s="296"/>
      <c r="L981" s="301"/>
      <c r="M981" s="297"/>
      <c r="N981" s="298"/>
      <c r="P981" s="190" t="str">
        <f>IF(R981 = "", "", COUNT(R$4:$R981))</f>
        <v/>
      </c>
      <c r="Q981" s="190" t="str">
        <f t="shared" si="151"/>
        <v/>
      </c>
      <c r="R981" s="191" t="str">
        <f t="shared" si="152"/>
        <v/>
      </c>
      <c r="S981" s="192" t="str">
        <f t="shared" si="154"/>
        <v/>
      </c>
      <c r="T981" s="193" t="str">
        <f t="shared" si="155"/>
        <v/>
      </c>
      <c r="U981" s="194" t="str">
        <f t="shared" si="156"/>
        <v/>
      </c>
      <c r="V981" s="195" t="str">
        <f t="shared" si="153"/>
        <v/>
      </c>
      <c r="W981" s="336" t="str">
        <f t="shared" si="157"/>
        <v/>
      </c>
      <c r="X981" s="338" t="str">
        <f t="shared" si="158"/>
        <v/>
      </c>
      <c r="Y981" s="274"/>
      <c r="AR981" t="str">
        <f t="shared" si="159"/>
        <v/>
      </c>
      <c r="AS981" t="str">
        <f t="shared" si="160"/>
        <v/>
      </c>
    </row>
    <row r="982" spans="1:45">
      <c r="A982" s="291"/>
      <c r="B982" s="292"/>
      <c r="C982" s="293"/>
      <c r="D982" s="293"/>
      <c r="E982" s="293"/>
      <c r="F982" s="293"/>
      <c r="G982" s="294"/>
      <c r="H982" s="300"/>
      <c r="I982" s="295"/>
      <c r="J982" s="295"/>
      <c r="K982" s="296"/>
      <c r="L982" s="301"/>
      <c r="M982" s="297"/>
      <c r="N982" s="298"/>
      <c r="P982" s="190" t="str">
        <f>IF(R982 = "", "", COUNT(R$4:$R982))</f>
        <v/>
      </c>
      <c r="Q982" s="190" t="str">
        <f t="shared" si="151"/>
        <v/>
      </c>
      <c r="R982" s="191" t="str">
        <f t="shared" si="152"/>
        <v/>
      </c>
      <c r="S982" s="192" t="str">
        <f t="shared" si="154"/>
        <v/>
      </c>
      <c r="T982" s="193" t="str">
        <f t="shared" si="155"/>
        <v/>
      </c>
      <c r="U982" s="194" t="str">
        <f t="shared" si="156"/>
        <v/>
      </c>
      <c r="V982" s="195" t="str">
        <f t="shared" si="153"/>
        <v/>
      </c>
      <c r="W982" s="336" t="str">
        <f t="shared" si="157"/>
        <v/>
      </c>
      <c r="X982" s="338" t="str">
        <f t="shared" si="158"/>
        <v/>
      </c>
      <c r="Y982" s="274"/>
      <c r="AR982" t="str">
        <f t="shared" si="159"/>
        <v/>
      </c>
      <c r="AS982" t="str">
        <f t="shared" si="160"/>
        <v/>
      </c>
    </row>
    <row r="983" spans="1:45">
      <c r="A983" s="291"/>
      <c r="B983" s="292"/>
      <c r="C983" s="293"/>
      <c r="D983" s="293"/>
      <c r="E983" s="293"/>
      <c r="F983" s="293"/>
      <c r="G983" s="294"/>
      <c r="H983" s="300"/>
      <c r="I983" s="295"/>
      <c r="J983" s="295"/>
      <c r="K983" s="296"/>
      <c r="L983" s="301"/>
      <c r="M983" s="297"/>
      <c r="N983" s="298"/>
      <c r="P983" s="190" t="str">
        <f>IF(R983 = "", "", COUNT(R$4:$R983))</f>
        <v/>
      </c>
      <c r="Q983" s="190" t="str">
        <f t="shared" si="151"/>
        <v/>
      </c>
      <c r="R983" s="191" t="str">
        <f t="shared" si="152"/>
        <v/>
      </c>
      <c r="S983" s="192" t="str">
        <f t="shared" si="154"/>
        <v/>
      </c>
      <c r="T983" s="193" t="str">
        <f t="shared" si="155"/>
        <v/>
      </c>
      <c r="U983" s="194" t="str">
        <f t="shared" si="156"/>
        <v/>
      </c>
      <c r="V983" s="195" t="str">
        <f t="shared" si="153"/>
        <v/>
      </c>
      <c r="W983" s="336" t="str">
        <f t="shared" si="157"/>
        <v/>
      </c>
      <c r="X983" s="338" t="str">
        <f t="shared" si="158"/>
        <v/>
      </c>
      <c r="Y983" s="274"/>
      <c r="AR983" t="str">
        <f t="shared" si="159"/>
        <v/>
      </c>
      <c r="AS983" t="str">
        <f t="shared" si="160"/>
        <v/>
      </c>
    </row>
    <row r="984" spans="1:45">
      <c r="A984" s="291"/>
      <c r="B984" s="292"/>
      <c r="C984" s="293"/>
      <c r="D984" s="293"/>
      <c r="E984" s="293"/>
      <c r="F984" s="293"/>
      <c r="G984" s="294"/>
      <c r="H984" s="300"/>
      <c r="I984" s="295"/>
      <c r="J984" s="295"/>
      <c r="K984" s="296"/>
      <c r="L984" s="301"/>
      <c r="M984" s="297"/>
      <c r="N984" s="298"/>
      <c r="P984" s="190" t="str">
        <f>IF(R984 = "", "", COUNT(R$4:$R984))</f>
        <v/>
      </c>
      <c r="Q984" s="190" t="str">
        <f t="shared" si="151"/>
        <v/>
      </c>
      <c r="R984" s="191" t="str">
        <f t="shared" si="152"/>
        <v/>
      </c>
      <c r="S984" s="192" t="str">
        <f t="shared" si="154"/>
        <v/>
      </c>
      <c r="T984" s="193" t="str">
        <f t="shared" si="155"/>
        <v/>
      </c>
      <c r="U984" s="194" t="str">
        <f t="shared" si="156"/>
        <v/>
      </c>
      <c r="V984" s="195" t="str">
        <f t="shared" si="153"/>
        <v/>
      </c>
      <c r="W984" s="336" t="str">
        <f t="shared" si="157"/>
        <v/>
      </c>
      <c r="X984" s="338" t="str">
        <f t="shared" si="158"/>
        <v/>
      </c>
      <c r="Y984" s="274"/>
      <c r="AR984" t="str">
        <f t="shared" si="159"/>
        <v/>
      </c>
      <c r="AS984" t="str">
        <f t="shared" si="160"/>
        <v/>
      </c>
    </row>
    <row r="985" spans="1:45">
      <c r="A985" s="291"/>
      <c r="B985" s="292"/>
      <c r="C985" s="293"/>
      <c r="D985" s="293"/>
      <c r="E985" s="293"/>
      <c r="F985" s="293"/>
      <c r="G985" s="294"/>
      <c r="H985" s="300"/>
      <c r="I985" s="295"/>
      <c r="J985" s="295"/>
      <c r="K985" s="296"/>
      <c r="L985" s="301"/>
      <c r="M985" s="297"/>
      <c r="N985" s="298"/>
      <c r="P985" s="190" t="str">
        <f>IF(R985 = "", "", COUNT(R$4:$R985))</f>
        <v/>
      </c>
      <c r="Q985" s="190" t="str">
        <f t="shared" si="151"/>
        <v/>
      </c>
      <c r="R985" s="191" t="str">
        <f t="shared" si="152"/>
        <v/>
      </c>
      <c r="S985" s="192" t="str">
        <f t="shared" si="154"/>
        <v/>
      </c>
      <c r="T985" s="193" t="str">
        <f t="shared" si="155"/>
        <v/>
      </c>
      <c r="U985" s="194" t="str">
        <f t="shared" si="156"/>
        <v/>
      </c>
      <c r="V985" s="195" t="str">
        <f t="shared" si="153"/>
        <v/>
      </c>
      <c r="W985" s="336" t="str">
        <f t="shared" si="157"/>
        <v/>
      </c>
      <c r="X985" s="338" t="str">
        <f t="shared" si="158"/>
        <v/>
      </c>
      <c r="Y985" s="274"/>
      <c r="AR985" t="str">
        <f t="shared" si="159"/>
        <v/>
      </c>
      <c r="AS985" t="str">
        <f t="shared" si="160"/>
        <v/>
      </c>
    </row>
    <row r="986" spans="1:45">
      <c r="A986" s="291"/>
      <c r="B986" s="292"/>
      <c r="C986" s="293"/>
      <c r="D986" s="293"/>
      <c r="E986" s="293"/>
      <c r="F986" s="293"/>
      <c r="G986" s="294"/>
      <c r="H986" s="300"/>
      <c r="I986" s="295"/>
      <c r="J986" s="295"/>
      <c r="K986" s="296"/>
      <c r="L986" s="301"/>
      <c r="M986" s="297"/>
      <c r="N986" s="298"/>
      <c r="P986" s="190" t="str">
        <f>IF(R986 = "", "", COUNT(R$4:$R986))</f>
        <v/>
      </c>
      <c r="Q986" s="190" t="str">
        <f t="shared" si="151"/>
        <v/>
      </c>
      <c r="R986" s="191" t="str">
        <f t="shared" si="152"/>
        <v/>
      </c>
      <c r="S986" s="192" t="str">
        <f t="shared" si="154"/>
        <v/>
      </c>
      <c r="T986" s="193" t="str">
        <f t="shared" si="155"/>
        <v/>
      </c>
      <c r="U986" s="194" t="str">
        <f t="shared" si="156"/>
        <v/>
      </c>
      <c r="V986" s="195" t="str">
        <f t="shared" si="153"/>
        <v/>
      </c>
      <c r="W986" s="336" t="str">
        <f t="shared" si="157"/>
        <v/>
      </c>
      <c r="X986" s="338" t="str">
        <f t="shared" si="158"/>
        <v/>
      </c>
      <c r="Y986" s="274"/>
      <c r="AR986" t="str">
        <f t="shared" si="159"/>
        <v/>
      </c>
      <c r="AS986" t="str">
        <f t="shared" si="160"/>
        <v/>
      </c>
    </row>
    <row r="987" spans="1:45">
      <c r="A987" s="291"/>
      <c r="B987" s="292"/>
      <c r="C987" s="293"/>
      <c r="D987" s="293"/>
      <c r="E987" s="293"/>
      <c r="F987" s="293"/>
      <c r="G987" s="294"/>
      <c r="H987" s="300"/>
      <c r="I987" s="295"/>
      <c r="J987" s="295"/>
      <c r="K987" s="296"/>
      <c r="L987" s="301"/>
      <c r="M987" s="297"/>
      <c r="N987" s="298"/>
      <c r="P987" s="190" t="str">
        <f>IF(R987 = "", "", COUNT(R$4:$R987))</f>
        <v/>
      </c>
      <c r="Q987" s="190" t="str">
        <f t="shared" si="151"/>
        <v/>
      </c>
      <c r="R987" s="191" t="str">
        <f t="shared" si="152"/>
        <v/>
      </c>
      <c r="S987" s="192" t="str">
        <f t="shared" si="154"/>
        <v/>
      </c>
      <c r="T987" s="193" t="str">
        <f t="shared" si="155"/>
        <v/>
      </c>
      <c r="U987" s="194" t="str">
        <f t="shared" si="156"/>
        <v/>
      </c>
      <c r="V987" s="195" t="str">
        <f t="shared" si="153"/>
        <v/>
      </c>
      <c r="W987" s="336" t="str">
        <f t="shared" si="157"/>
        <v/>
      </c>
      <c r="X987" s="338" t="str">
        <f t="shared" si="158"/>
        <v/>
      </c>
      <c r="Y987" s="274"/>
      <c r="AR987" t="str">
        <f t="shared" si="159"/>
        <v/>
      </c>
      <c r="AS987" t="str">
        <f t="shared" si="160"/>
        <v/>
      </c>
    </row>
    <row r="988" spans="1:45">
      <c r="A988" s="291"/>
      <c r="B988" s="292"/>
      <c r="C988" s="293"/>
      <c r="D988" s="293"/>
      <c r="E988" s="293"/>
      <c r="F988" s="293"/>
      <c r="G988" s="294"/>
      <c r="H988" s="300"/>
      <c r="I988" s="295"/>
      <c r="J988" s="295"/>
      <c r="K988" s="296"/>
      <c r="L988" s="301"/>
      <c r="M988" s="297"/>
      <c r="N988" s="298"/>
      <c r="P988" s="190" t="str">
        <f>IF(R988 = "", "", COUNT(R$4:$R988))</f>
        <v/>
      </c>
      <c r="Q988" s="190" t="str">
        <f t="shared" si="151"/>
        <v/>
      </c>
      <c r="R988" s="191" t="str">
        <f t="shared" si="152"/>
        <v/>
      </c>
      <c r="S988" s="192" t="str">
        <f t="shared" si="154"/>
        <v/>
      </c>
      <c r="T988" s="193" t="str">
        <f t="shared" si="155"/>
        <v/>
      </c>
      <c r="U988" s="194" t="str">
        <f t="shared" si="156"/>
        <v/>
      </c>
      <c r="V988" s="195" t="str">
        <f t="shared" si="153"/>
        <v/>
      </c>
      <c r="W988" s="336" t="str">
        <f t="shared" si="157"/>
        <v/>
      </c>
      <c r="X988" s="338" t="str">
        <f t="shared" si="158"/>
        <v/>
      </c>
      <c r="Y988" s="274"/>
      <c r="AR988" t="str">
        <f t="shared" si="159"/>
        <v/>
      </c>
      <c r="AS988" t="str">
        <f t="shared" si="160"/>
        <v/>
      </c>
    </row>
    <row r="989" spans="1:45">
      <c r="A989" s="291"/>
      <c r="B989" s="292"/>
      <c r="C989" s="293"/>
      <c r="D989" s="293"/>
      <c r="E989" s="293"/>
      <c r="F989" s="293"/>
      <c r="G989" s="294"/>
      <c r="H989" s="300"/>
      <c r="I989" s="295"/>
      <c r="J989" s="295"/>
      <c r="K989" s="296"/>
      <c r="L989" s="301"/>
      <c r="M989" s="297"/>
      <c r="N989" s="298"/>
      <c r="P989" s="190" t="str">
        <f>IF(R989 = "", "", COUNT(R$4:$R989))</f>
        <v/>
      </c>
      <c r="Q989" s="190" t="str">
        <f t="shared" si="151"/>
        <v/>
      </c>
      <c r="R989" s="191" t="str">
        <f t="shared" si="152"/>
        <v/>
      </c>
      <c r="S989" s="192" t="str">
        <f t="shared" si="154"/>
        <v/>
      </c>
      <c r="T989" s="193" t="str">
        <f t="shared" si="155"/>
        <v/>
      </c>
      <c r="U989" s="194" t="str">
        <f t="shared" si="156"/>
        <v/>
      </c>
      <c r="V989" s="195" t="str">
        <f t="shared" si="153"/>
        <v/>
      </c>
      <c r="W989" s="336" t="str">
        <f t="shared" si="157"/>
        <v/>
      </c>
      <c r="X989" s="338" t="str">
        <f t="shared" si="158"/>
        <v/>
      </c>
      <c r="Y989" s="274"/>
      <c r="AR989" t="str">
        <f t="shared" si="159"/>
        <v/>
      </c>
      <c r="AS989" t="str">
        <f t="shared" si="160"/>
        <v/>
      </c>
    </row>
    <row r="990" spans="1:45">
      <c r="A990" s="291"/>
      <c r="B990" s="292"/>
      <c r="C990" s="293"/>
      <c r="D990" s="293"/>
      <c r="E990" s="293"/>
      <c r="F990" s="293"/>
      <c r="G990" s="294"/>
      <c r="H990" s="300"/>
      <c r="I990" s="295"/>
      <c r="J990" s="295"/>
      <c r="K990" s="296"/>
      <c r="L990" s="301"/>
      <c r="M990" s="297"/>
      <c r="N990" s="298"/>
      <c r="P990" s="190" t="str">
        <f>IF(R990 = "", "", COUNT(R$4:$R990))</f>
        <v/>
      </c>
      <c r="Q990" s="190" t="str">
        <f t="shared" si="151"/>
        <v/>
      </c>
      <c r="R990" s="191" t="str">
        <f t="shared" si="152"/>
        <v/>
      </c>
      <c r="S990" s="192" t="str">
        <f t="shared" si="154"/>
        <v/>
      </c>
      <c r="T990" s="193" t="str">
        <f t="shared" si="155"/>
        <v/>
      </c>
      <c r="U990" s="194" t="str">
        <f t="shared" si="156"/>
        <v/>
      </c>
      <c r="V990" s="195" t="str">
        <f t="shared" si="153"/>
        <v/>
      </c>
      <c r="W990" s="336" t="str">
        <f t="shared" si="157"/>
        <v/>
      </c>
      <c r="X990" s="338" t="str">
        <f t="shared" si="158"/>
        <v/>
      </c>
      <c r="Y990" s="274"/>
      <c r="AR990" t="str">
        <f t="shared" si="159"/>
        <v/>
      </c>
      <c r="AS990" t="str">
        <f t="shared" si="160"/>
        <v/>
      </c>
    </row>
    <row r="991" spans="1:45">
      <c r="A991" s="291"/>
      <c r="B991" s="292"/>
      <c r="C991" s="293"/>
      <c r="D991" s="293"/>
      <c r="E991" s="293"/>
      <c r="F991" s="293"/>
      <c r="G991" s="294"/>
      <c r="H991" s="300"/>
      <c r="I991" s="295"/>
      <c r="J991" s="295"/>
      <c r="K991" s="296"/>
      <c r="L991" s="301"/>
      <c r="M991" s="297"/>
      <c r="N991" s="298"/>
      <c r="P991" s="190" t="str">
        <f>IF(R991 = "", "", COUNT(R$4:$R991))</f>
        <v/>
      </c>
      <c r="Q991" s="190" t="str">
        <f t="shared" si="151"/>
        <v/>
      </c>
      <c r="R991" s="191" t="str">
        <f t="shared" si="152"/>
        <v/>
      </c>
      <c r="S991" s="192" t="str">
        <f t="shared" si="154"/>
        <v/>
      </c>
      <c r="T991" s="193" t="str">
        <f t="shared" si="155"/>
        <v/>
      </c>
      <c r="U991" s="194" t="str">
        <f t="shared" si="156"/>
        <v/>
      </c>
      <c r="V991" s="195" t="str">
        <f t="shared" si="153"/>
        <v/>
      </c>
      <c r="W991" s="336" t="str">
        <f t="shared" si="157"/>
        <v/>
      </c>
      <c r="X991" s="338" t="str">
        <f t="shared" si="158"/>
        <v/>
      </c>
      <c r="Y991" s="274"/>
      <c r="AR991" t="str">
        <f t="shared" si="159"/>
        <v/>
      </c>
      <c r="AS991" t="str">
        <f t="shared" si="160"/>
        <v/>
      </c>
    </row>
    <row r="992" spans="1:45">
      <c r="A992" s="291"/>
      <c r="B992" s="292"/>
      <c r="C992" s="293"/>
      <c r="D992" s="293"/>
      <c r="E992" s="293"/>
      <c r="F992" s="293"/>
      <c r="G992" s="294"/>
      <c r="H992" s="300"/>
      <c r="I992" s="295"/>
      <c r="J992" s="295"/>
      <c r="K992" s="296"/>
      <c r="L992" s="301"/>
      <c r="M992" s="297"/>
      <c r="N992" s="298"/>
      <c r="P992" s="190" t="str">
        <f>IF(R992 = "", "", COUNT(R$4:$R992))</f>
        <v/>
      </c>
      <c r="Q992" s="190" t="str">
        <f t="shared" si="151"/>
        <v/>
      </c>
      <c r="R992" s="191" t="str">
        <f t="shared" si="152"/>
        <v/>
      </c>
      <c r="S992" s="192" t="str">
        <f t="shared" si="154"/>
        <v/>
      </c>
      <c r="T992" s="193" t="str">
        <f t="shared" si="155"/>
        <v/>
      </c>
      <c r="U992" s="194" t="str">
        <f t="shared" si="156"/>
        <v/>
      </c>
      <c r="V992" s="195" t="str">
        <f t="shared" si="153"/>
        <v/>
      </c>
      <c r="W992" s="336" t="str">
        <f t="shared" si="157"/>
        <v/>
      </c>
      <c r="X992" s="338" t="str">
        <f t="shared" si="158"/>
        <v/>
      </c>
      <c r="Y992" s="274"/>
      <c r="AR992" t="str">
        <f t="shared" si="159"/>
        <v/>
      </c>
      <c r="AS992" t="str">
        <f t="shared" si="160"/>
        <v/>
      </c>
    </row>
    <row r="993" spans="1:45">
      <c r="A993" s="291"/>
      <c r="B993" s="292"/>
      <c r="C993" s="293"/>
      <c r="D993" s="293"/>
      <c r="E993" s="293"/>
      <c r="F993" s="293"/>
      <c r="G993" s="294"/>
      <c r="H993" s="300"/>
      <c r="I993" s="295"/>
      <c r="J993" s="295"/>
      <c r="K993" s="296"/>
      <c r="L993" s="301"/>
      <c r="M993" s="297"/>
      <c r="N993" s="298"/>
      <c r="P993" s="190" t="str">
        <f>IF(R993 = "", "", COUNT(R$4:$R993))</f>
        <v/>
      </c>
      <c r="Q993" s="190" t="str">
        <f t="shared" si="151"/>
        <v/>
      </c>
      <c r="R993" s="191" t="str">
        <f t="shared" si="152"/>
        <v/>
      </c>
      <c r="S993" s="192" t="str">
        <f t="shared" si="154"/>
        <v/>
      </c>
      <c r="T993" s="193" t="str">
        <f t="shared" si="155"/>
        <v/>
      </c>
      <c r="U993" s="194" t="str">
        <f t="shared" si="156"/>
        <v/>
      </c>
      <c r="V993" s="195" t="str">
        <f t="shared" si="153"/>
        <v/>
      </c>
      <c r="W993" s="336" t="str">
        <f t="shared" si="157"/>
        <v/>
      </c>
      <c r="X993" s="338" t="str">
        <f t="shared" si="158"/>
        <v/>
      </c>
      <c r="Y993" s="274"/>
      <c r="AR993" t="str">
        <f t="shared" si="159"/>
        <v/>
      </c>
      <c r="AS993" t="str">
        <f t="shared" si="160"/>
        <v/>
      </c>
    </row>
    <row r="994" spans="1:45">
      <c r="A994" s="291"/>
      <c r="B994" s="292"/>
      <c r="C994" s="293"/>
      <c r="D994" s="293"/>
      <c r="E994" s="293"/>
      <c r="F994" s="293"/>
      <c r="G994" s="294"/>
      <c r="H994" s="300"/>
      <c r="I994" s="295"/>
      <c r="J994" s="295"/>
      <c r="K994" s="296"/>
      <c r="L994" s="301"/>
      <c r="M994" s="297"/>
      <c r="N994" s="298"/>
      <c r="P994" s="190" t="str">
        <f>IF(R994 = "", "", COUNT(R$4:$R994))</f>
        <v/>
      </c>
      <c r="Q994" s="190" t="str">
        <f t="shared" si="151"/>
        <v/>
      </c>
      <c r="R994" s="191" t="str">
        <f t="shared" si="152"/>
        <v/>
      </c>
      <c r="S994" s="192" t="str">
        <f t="shared" si="154"/>
        <v/>
      </c>
      <c r="T994" s="193" t="str">
        <f t="shared" si="155"/>
        <v/>
      </c>
      <c r="U994" s="194" t="str">
        <f t="shared" si="156"/>
        <v/>
      </c>
      <c r="V994" s="195" t="str">
        <f t="shared" si="153"/>
        <v/>
      </c>
      <c r="W994" s="336" t="str">
        <f t="shared" si="157"/>
        <v/>
      </c>
      <c r="X994" s="338" t="str">
        <f t="shared" si="158"/>
        <v/>
      </c>
      <c r="Y994" s="274"/>
      <c r="AR994" t="str">
        <f t="shared" si="159"/>
        <v/>
      </c>
      <c r="AS994" t="str">
        <f t="shared" si="160"/>
        <v/>
      </c>
    </row>
    <row r="995" spans="1:45">
      <c r="A995" s="291"/>
      <c r="B995" s="292"/>
      <c r="C995" s="293"/>
      <c r="D995" s="293"/>
      <c r="E995" s="293"/>
      <c r="F995" s="293"/>
      <c r="G995" s="294"/>
      <c r="H995" s="300"/>
      <c r="I995" s="295"/>
      <c r="J995" s="295"/>
      <c r="K995" s="296"/>
      <c r="L995" s="301"/>
      <c r="M995" s="297"/>
      <c r="N995" s="298"/>
      <c r="P995" s="190" t="str">
        <f>IF(R995 = "", "", COUNT(R$4:$R995))</f>
        <v/>
      </c>
      <c r="Q995" s="190" t="str">
        <f t="shared" si="151"/>
        <v/>
      </c>
      <c r="R995" s="191" t="str">
        <f t="shared" si="152"/>
        <v/>
      </c>
      <c r="S995" s="192" t="str">
        <f t="shared" si="154"/>
        <v/>
      </c>
      <c r="T995" s="193" t="str">
        <f t="shared" si="155"/>
        <v/>
      </c>
      <c r="U995" s="194" t="str">
        <f t="shared" si="156"/>
        <v/>
      </c>
      <c r="V995" s="195" t="str">
        <f t="shared" si="153"/>
        <v/>
      </c>
      <c r="W995" s="336" t="str">
        <f t="shared" si="157"/>
        <v/>
      </c>
      <c r="X995" s="338" t="str">
        <f t="shared" si="158"/>
        <v/>
      </c>
      <c r="Y995" s="274"/>
      <c r="AR995" t="str">
        <f t="shared" si="159"/>
        <v/>
      </c>
      <c r="AS995" t="str">
        <f t="shared" si="160"/>
        <v/>
      </c>
    </row>
    <row r="996" spans="1:45">
      <c r="A996" s="291"/>
      <c r="B996" s="292"/>
      <c r="C996" s="293"/>
      <c r="D996" s="293"/>
      <c r="E996" s="293"/>
      <c r="F996" s="293"/>
      <c r="G996" s="294"/>
      <c r="H996" s="300"/>
      <c r="I996" s="295"/>
      <c r="J996" s="295"/>
      <c r="K996" s="296"/>
      <c r="L996" s="301"/>
      <c r="M996" s="297"/>
      <c r="N996" s="298"/>
      <c r="P996" s="190" t="str">
        <f>IF(R996 = "", "", COUNT(R$4:$R996))</f>
        <v/>
      </c>
      <c r="Q996" s="190" t="str">
        <f t="shared" si="151"/>
        <v/>
      </c>
      <c r="R996" s="191" t="str">
        <f t="shared" si="152"/>
        <v/>
      </c>
      <c r="S996" s="192" t="str">
        <f t="shared" si="154"/>
        <v/>
      </c>
      <c r="T996" s="193" t="str">
        <f t="shared" si="155"/>
        <v/>
      </c>
      <c r="U996" s="194" t="str">
        <f t="shared" si="156"/>
        <v/>
      </c>
      <c r="V996" s="195" t="str">
        <f t="shared" si="153"/>
        <v/>
      </c>
      <c r="W996" s="336" t="str">
        <f t="shared" si="157"/>
        <v/>
      </c>
      <c r="X996" s="338" t="str">
        <f t="shared" si="158"/>
        <v/>
      </c>
      <c r="Y996" s="274"/>
      <c r="AR996" t="str">
        <f t="shared" si="159"/>
        <v/>
      </c>
      <c r="AS996" t="str">
        <f t="shared" si="160"/>
        <v/>
      </c>
    </row>
    <row r="997" spans="1:45">
      <c r="A997" s="291"/>
      <c r="B997" s="292"/>
      <c r="C997" s="293"/>
      <c r="D997" s="293"/>
      <c r="E997" s="293"/>
      <c r="F997" s="293"/>
      <c r="G997" s="294"/>
      <c r="H997" s="300"/>
      <c r="I997" s="295"/>
      <c r="J997" s="295"/>
      <c r="K997" s="296"/>
      <c r="L997" s="301"/>
      <c r="M997" s="297"/>
      <c r="N997" s="298"/>
      <c r="P997" s="190" t="str">
        <f>IF(R997 = "", "", COUNT(R$4:$R997))</f>
        <v/>
      </c>
      <c r="Q997" s="190" t="str">
        <f t="shared" si="151"/>
        <v/>
      </c>
      <c r="R997" s="191" t="str">
        <f t="shared" si="152"/>
        <v/>
      </c>
      <c r="S997" s="192" t="str">
        <f t="shared" si="154"/>
        <v/>
      </c>
      <c r="T997" s="193" t="str">
        <f t="shared" si="155"/>
        <v/>
      </c>
      <c r="U997" s="194" t="str">
        <f t="shared" si="156"/>
        <v/>
      </c>
      <c r="V997" s="195" t="str">
        <f t="shared" si="153"/>
        <v/>
      </c>
      <c r="W997" s="336" t="str">
        <f t="shared" si="157"/>
        <v/>
      </c>
      <c r="X997" s="338" t="str">
        <f t="shared" si="158"/>
        <v/>
      </c>
      <c r="Y997" s="274"/>
      <c r="AR997" t="str">
        <f t="shared" si="159"/>
        <v/>
      </c>
      <c r="AS997" t="str">
        <f t="shared" si="160"/>
        <v/>
      </c>
    </row>
    <row r="998" spans="1:45">
      <c r="A998" s="291"/>
      <c r="B998" s="292"/>
      <c r="C998" s="293"/>
      <c r="D998" s="293"/>
      <c r="E998" s="293"/>
      <c r="F998" s="293"/>
      <c r="G998" s="294"/>
      <c r="H998" s="300"/>
      <c r="I998" s="295"/>
      <c r="J998" s="295"/>
      <c r="K998" s="296"/>
      <c r="L998" s="301"/>
      <c r="M998" s="297"/>
      <c r="N998" s="298"/>
      <c r="P998" s="190" t="str">
        <f>IF(R998 = "", "", COUNT(R$4:$R998))</f>
        <v/>
      </c>
      <c r="Q998" s="190" t="str">
        <f t="shared" si="151"/>
        <v/>
      </c>
      <c r="R998" s="191" t="str">
        <f t="shared" si="152"/>
        <v/>
      </c>
      <c r="S998" s="192" t="str">
        <f t="shared" si="154"/>
        <v/>
      </c>
      <c r="T998" s="193" t="str">
        <f t="shared" si="155"/>
        <v/>
      </c>
      <c r="U998" s="194" t="str">
        <f t="shared" si="156"/>
        <v/>
      </c>
      <c r="V998" s="195" t="str">
        <f t="shared" si="153"/>
        <v/>
      </c>
      <c r="W998" s="336" t="str">
        <f t="shared" si="157"/>
        <v/>
      </c>
      <c r="X998" s="338" t="str">
        <f t="shared" si="158"/>
        <v/>
      </c>
      <c r="Y998" s="274"/>
      <c r="AR998" t="str">
        <f t="shared" si="159"/>
        <v/>
      </c>
      <c r="AS998" t="str">
        <f t="shared" si="160"/>
        <v/>
      </c>
    </row>
    <row r="999" spans="1:45">
      <c r="A999" s="291"/>
      <c r="B999" s="292"/>
      <c r="C999" s="293"/>
      <c r="D999" s="293"/>
      <c r="E999" s="293"/>
      <c r="F999" s="293"/>
      <c r="G999" s="294"/>
      <c r="H999" s="300"/>
      <c r="I999" s="295"/>
      <c r="J999" s="295"/>
      <c r="K999" s="296"/>
      <c r="L999" s="301"/>
      <c r="M999" s="297"/>
      <c r="N999" s="298"/>
      <c r="P999" s="190" t="str">
        <f>IF(R999 = "", "", COUNT(R$4:$R999))</f>
        <v/>
      </c>
      <c r="Q999" s="190" t="str">
        <f t="shared" si="151"/>
        <v/>
      </c>
      <c r="R999" s="191" t="str">
        <f t="shared" si="152"/>
        <v/>
      </c>
      <c r="S999" s="192" t="str">
        <f t="shared" si="154"/>
        <v/>
      </c>
      <c r="T999" s="193" t="str">
        <f t="shared" si="155"/>
        <v/>
      </c>
      <c r="U999" s="194" t="str">
        <f t="shared" si="156"/>
        <v/>
      </c>
      <c r="V999" s="195" t="str">
        <f t="shared" si="153"/>
        <v/>
      </c>
      <c r="W999" s="336" t="str">
        <f t="shared" si="157"/>
        <v/>
      </c>
      <c r="X999" s="338" t="str">
        <f t="shared" si="158"/>
        <v/>
      </c>
      <c r="Y999" s="274"/>
      <c r="AR999" t="str">
        <f t="shared" si="159"/>
        <v/>
      </c>
      <c r="AS999" t="str">
        <f t="shared" si="160"/>
        <v/>
      </c>
    </row>
    <row r="1000" spans="1:45">
      <c r="A1000" s="291"/>
      <c r="B1000" s="292"/>
      <c r="C1000" s="293"/>
      <c r="D1000" s="293"/>
      <c r="E1000" s="293"/>
      <c r="F1000" s="293"/>
      <c r="G1000" s="294"/>
      <c r="H1000" s="300"/>
      <c r="I1000" s="295"/>
      <c r="J1000" s="295"/>
      <c r="K1000" s="296"/>
      <c r="L1000" s="301"/>
      <c r="M1000" s="297"/>
      <c r="N1000" s="298"/>
      <c r="P1000" s="190" t="str">
        <f>IF(R1000 = "", "", COUNT(R$4:$R1000))</f>
        <v/>
      </c>
      <c r="Q1000" s="190" t="str">
        <f t="shared" si="151"/>
        <v/>
      </c>
      <c r="R1000" s="191" t="str">
        <f t="shared" si="152"/>
        <v/>
      </c>
      <c r="S1000" s="192" t="str">
        <f t="shared" si="154"/>
        <v/>
      </c>
      <c r="T1000" s="193" t="str">
        <f t="shared" si="155"/>
        <v/>
      </c>
      <c r="U1000" s="194" t="str">
        <f t="shared" si="156"/>
        <v/>
      </c>
      <c r="V1000" s="195" t="str">
        <f t="shared" si="153"/>
        <v/>
      </c>
      <c r="W1000" s="336" t="str">
        <f t="shared" si="157"/>
        <v/>
      </c>
      <c r="X1000" s="338" t="str">
        <f t="shared" si="158"/>
        <v/>
      </c>
      <c r="Y1000" s="274"/>
      <c r="AR1000" t="str">
        <f t="shared" si="159"/>
        <v/>
      </c>
      <c r="AS1000" t="str">
        <f t="shared" si="160"/>
        <v/>
      </c>
    </row>
    <row r="1001" spans="1:45">
      <c r="A1001" s="291"/>
      <c r="B1001" s="292"/>
      <c r="C1001" s="293"/>
      <c r="D1001" s="293"/>
      <c r="E1001" s="293"/>
      <c r="F1001" s="293"/>
      <c r="G1001" s="294"/>
      <c r="H1001" s="300"/>
      <c r="I1001" s="295"/>
      <c r="J1001" s="295"/>
      <c r="K1001" s="296"/>
      <c r="L1001" s="301"/>
      <c r="M1001" s="297"/>
      <c r="N1001" s="298"/>
      <c r="P1001" s="190" t="str">
        <f>IF(R1001 = "", "", COUNT(R$4:$R1001))</f>
        <v/>
      </c>
      <c r="Q1001" s="190" t="str">
        <f t="shared" si="151"/>
        <v/>
      </c>
      <c r="R1001" s="191" t="str">
        <f t="shared" si="152"/>
        <v/>
      </c>
      <c r="S1001" s="192" t="str">
        <f t="shared" si="154"/>
        <v/>
      </c>
      <c r="T1001" s="193" t="str">
        <f t="shared" si="155"/>
        <v/>
      </c>
      <c r="U1001" s="194" t="str">
        <f t="shared" si="156"/>
        <v/>
      </c>
      <c r="V1001" s="195" t="str">
        <f t="shared" si="153"/>
        <v/>
      </c>
      <c r="W1001" s="336" t="str">
        <f t="shared" si="157"/>
        <v/>
      </c>
      <c r="X1001" s="338" t="str">
        <f t="shared" si="158"/>
        <v/>
      </c>
      <c r="Y1001" s="274"/>
      <c r="AR1001" t="str">
        <f t="shared" si="159"/>
        <v/>
      </c>
      <c r="AS1001" t="str">
        <f t="shared" si="160"/>
        <v/>
      </c>
    </row>
    <row r="1002" spans="1:45">
      <c r="A1002" s="291"/>
      <c r="B1002" s="292"/>
      <c r="C1002" s="293"/>
      <c r="D1002" s="293"/>
      <c r="E1002" s="293"/>
      <c r="F1002" s="293"/>
      <c r="G1002" s="294"/>
      <c r="H1002" s="300"/>
      <c r="I1002" s="295"/>
      <c r="J1002" s="295"/>
      <c r="K1002" s="296"/>
      <c r="L1002" s="301"/>
      <c r="M1002" s="297"/>
      <c r="N1002" s="298"/>
      <c r="P1002" s="190" t="str">
        <f>IF(R1002 = "", "", COUNT(R$4:$R1002))</f>
        <v/>
      </c>
      <c r="Q1002" s="190" t="str">
        <f t="shared" si="151"/>
        <v/>
      </c>
      <c r="R1002" s="191" t="str">
        <f t="shared" si="152"/>
        <v/>
      </c>
      <c r="S1002" s="192" t="str">
        <f t="shared" si="154"/>
        <v/>
      </c>
      <c r="T1002" s="193" t="str">
        <f t="shared" si="155"/>
        <v/>
      </c>
      <c r="U1002" s="194" t="str">
        <f t="shared" si="156"/>
        <v/>
      </c>
      <c r="V1002" s="195" t="str">
        <f t="shared" si="153"/>
        <v/>
      </c>
      <c r="W1002" s="336" t="str">
        <f t="shared" si="157"/>
        <v/>
      </c>
      <c r="X1002" s="338" t="str">
        <f t="shared" si="158"/>
        <v/>
      </c>
      <c r="Y1002" s="274"/>
      <c r="AR1002" t="str">
        <f t="shared" si="159"/>
        <v/>
      </c>
      <c r="AS1002" t="str">
        <f t="shared" si="160"/>
        <v/>
      </c>
    </row>
    <row r="1003" spans="1:45" ht="14.7" thickBot="1">
      <c r="A1003" s="306"/>
      <c r="B1003" s="307"/>
      <c r="C1003" s="308"/>
      <c r="D1003" s="308"/>
      <c r="E1003" s="308"/>
      <c r="F1003" s="308"/>
      <c r="G1003" s="309"/>
      <c r="H1003" s="300"/>
      <c r="I1003" s="295"/>
      <c r="J1003" s="295"/>
      <c r="K1003" s="296"/>
      <c r="L1003" s="310"/>
      <c r="M1003" s="311"/>
      <c r="N1003" s="312"/>
      <c r="P1003" s="190" t="str">
        <f>IF(R1003 = "", "", COUNT(R$4:$R1003))</f>
        <v/>
      </c>
      <c r="Q1003" s="190" t="str">
        <f t="shared" si="151"/>
        <v/>
      </c>
      <c r="R1003" s="191" t="str">
        <f t="shared" si="152"/>
        <v/>
      </c>
      <c r="S1003" s="192" t="str">
        <f t="shared" si="154"/>
        <v/>
      </c>
      <c r="T1003" s="193" t="str">
        <f t="shared" si="155"/>
        <v/>
      </c>
      <c r="U1003" s="196" t="str">
        <f t="shared" si="156"/>
        <v/>
      </c>
      <c r="V1003" s="197" t="str">
        <f t="shared" si="153"/>
        <v/>
      </c>
      <c r="W1003" s="336" t="str">
        <f t="shared" si="157"/>
        <v/>
      </c>
      <c r="X1003" s="339" t="str">
        <f t="shared" si="158"/>
        <v/>
      </c>
      <c r="Y1003" s="274"/>
      <c r="AR1003" t="str">
        <f t="shared" si="159"/>
        <v/>
      </c>
      <c r="AS1003" t="str">
        <f t="shared" si="160"/>
        <v/>
      </c>
    </row>
    <row r="1004" spans="1:45">
      <c r="A1004" s="313"/>
      <c r="B1004" s="314"/>
      <c r="C1004" s="313"/>
      <c r="D1004" s="313"/>
      <c r="E1004" s="313"/>
      <c r="F1004" s="313"/>
      <c r="G1004" s="313"/>
      <c r="H1004" s="313"/>
      <c r="I1004" s="313"/>
      <c r="J1004" s="313"/>
      <c r="K1004" s="313"/>
      <c r="L1004" s="315"/>
      <c r="M1004" s="316"/>
      <c r="N1004" s="317"/>
      <c r="P1004" s="313"/>
      <c r="Q1004" s="313"/>
      <c r="R1004" s="313"/>
      <c r="S1004" s="313"/>
      <c r="T1004" s="313"/>
      <c r="U1004" s="313"/>
      <c r="V1004" s="313"/>
      <c r="W1004" s="313"/>
      <c r="X1004" s="313"/>
      <c r="Y1004" s="313"/>
    </row>
  </sheetData>
  <autoFilter ref="A3:M3" xr:uid="{E783CE95-186C-43BE-B639-843E26C47CE2}"/>
  <sortState xmlns:xlrd2="http://schemas.microsoft.com/office/spreadsheetml/2017/richdata2" ref="B4:B9">
    <sortCondition ref="B4"/>
  </sortState>
  <mergeCells count="24">
    <mergeCell ref="Z40:Z41"/>
    <mergeCell ref="AA40:AG41"/>
    <mergeCell ref="Z15:Z27"/>
    <mergeCell ref="Z28:Z39"/>
    <mergeCell ref="AA15:AG18"/>
    <mergeCell ref="AB19:AG23"/>
    <mergeCell ref="AB24:AG27"/>
    <mergeCell ref="AA28:AG28"/>
    <mergeCell ref="AB32:AG35"/>
    <mergeCell ref="AB36:AG37"/>
    <mergeCell ref="AB38:AG39"/>
    <mergeCell ref="A1:N1"/>
    <mergeCell ref="A2:N2"/>
    <mergeCell ref="Z14:AG14"/>
    <mergeCell ref="S2:S3"/>
    <mergeCell ref="T2:T3"/>
    <mergeCell ref="U2:U3"/>
    <mergeCell ref="P1:AG1"/>
    <mergeCell ref="V2:V3"/>
    <mergeCell ref="W2:W3"/>
    <mergeCell ref="P2:P3"/>
    <mergeCell ref="Q2:Q3"/>
    <mergeCell ref="R2:R3"/>
    <mergeCell ref="X2:X3"/>
  </mergeCells>
  <conditionalFormatting sqref="D14:D1003">
    <cfRule type="cellIs" dxfId="28" priority="5" operator="between">
      <formula>4</formula>
      <formula>6</formula>
    </cfRule>
    <cfRule type="cellIs" dxfId="27" priority="6" operator="between">
      <formula>2</formula>
      <formula>3</formula>
    </cfRule>
  </conditionalFormatting>
  <conditionalFormatting sqref="D1005:D1019">
    <cfRule type="cellIs" dxfId="26" priority="7" operator="between">
      <formula>2</formula>
      <formula>3</formula>
    </cfRule>
  </conditionalFormatting>
  <conditionalFormatting sqref="F14:F1003">
    <cfRule type="cellIs" dxfId="25" priority="4" operator="between">
      <formula>4</formula>
      <formula>6</formula>
    </cfRule>
  </conditionalFormatting>
  <conditionalFormatting sqref="D4:D13">
    <cfRule type="cellIs" dxfId="24" priority="2" operator="between">
      <formula>4</formula>
      <formula>6</formula>
    </cfRule>
    <cfRule type="cellIs" dxfId="23" priority="3" operator="between">
      <formula>2</formula>
      <formula>3</formula>
    </cfRule>
  </conditionalFormatting>
  <conditionalFormatting sqref="F4:F13">
    <cfRule type="cellIs" dxfId="22"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S140"/>
  <sheetViews>
    <sheetView zoomScale="90" zoomScaleNormal="90" workbookViewId="0"/>
  </sheetViews>
  <sheetFormatPr defaultRowHeight="14.4"/>
  <cols>
    <col min="2" max="2" width="12.68359375" customWidth="1"/>
    <col min="3" max="4" width="7.68359375" customWidth="1"/>
    <col min="5" max="5" width="2.68359375" customWidth="1"/>
    <col min="6" max="6" width="58" customWidth="1"/>
    <col min="7" max="7" width="2.68359375" customWidth="1"/>
    <col min="8" max="8" width="26" customWidth="1"/>
    <col min="9" max="10" width="7.68359375" customWidth="1"/>
    <col min="11" max="11" width="2.68359375" customWidth="1"/>
    <col min="12" max="12" width="52" customWidth="1"/>
    <col min="13" max="13" width="44" customWidth="1"/>
    <col min="14" max="14" width="2.68359375" customWidth="1"/>
    <col min="15" max="18" width="12.68359375" customWidth="1"/>
    <col min="19" max="19" width="58" customWidth="1"/>
  </cols>
  <sheetData>
    <row r="1" spans="2:19" ht="18.3">
      <c r="B1" s="104" t="s">
        <v>1091</v>
      </c>
      <c r="O1" s="5" t="s">
        <v>1092</v>
      </c>
      <c r="P1" s="5" t="s">
        <v>1093</v>
      </c>
      <c r="Q1" s="5" t="s">
        <v>1094</v>
      </c>
      <c r="R1" s="5" t="s">
        <v>1095</v>
      </c>
      <c r="S1" s="5" t="s">
        <v>1096</v>
      </c>
    </row>
    <row r="2" spans="2:19">
      <c r="B2" t="s">
        <v>1097</v>
      </c>
      <c r="O2" t="s">
        <v>715</v>
      </c>
      <c r="P2" t="s">
        <v>784</v>
      </c>
      <c r="Q2" t="s">
        <v>997</v>
      </c>
      <c r="R2" t="s">
        <v>61</v>
      </c>
      <c r="S2" t="s">
        <v>1098</v>
      </c>
    </row>
    <row r="3" spans="2:19">
      <c r="O3" t="s">
        <v>717</v>
      </c>
      <c r="P3" t="s">
        <v>1067</v>
      </c>
      <c r="Q3" t="s">
        <v>994</v>
      </c>
      <c r="S3" t="s">
        <v>1099</v>
      </c>
    </row>
    <row r="4" spans="2:19">
      <c r="C4" s="5" t="s">
        <v>16</v>
      </c>
      <c r="D4" s="5" t="s">
        <v>17</v>
      </c>
      <c r="I4" s="5" t="s">
        <v>16</v>
      </c>
      <c r="J4" s="5" t="s">
        <v>17</v>
      </c>
      <c r="O4" t="s">
        <v>718</v>
      </c>
      <c r="P4" t="s">
        <v>1038</v>
      </c>
      <c r="Q4" t="s">
        <v>310</v>
      </c>
      <c r="S4" t="s">
        <v>1100</v>
      </c>
    </row>
    <row r="5" spans="2:19">
      <c r="B5" s="623" t="s">
        <v>1101</v>
      </c>
      <c r="C5" s="107" t="n">
        <f>Before!AB9</f>
        <v>7</v>
      </c>
      <c r="D5" s="107" t="n">
        <f>After!AB9</f>
        <v>3</v>
      </c>
      <c r="H5" s="623" t="s">
        <v>1102</v>
      </c>
      <c r="I5" s="107" t="n">
        <f>I39</f>
        <v>3</v>
      </c>
      <c r="J5" s="107" t="n">
        <f>J39</f>
        <v>2</v>
      </c>
      <c r="O5" t="s">
        <v>719</v>
      </c>
      <c r="P5" t="s">
        <v>1103</v>
      </c>
      <c r="S5" t="s">
        <v>1104</v>
      </c>
    </row>
    <row r="6" spans="2:19">
      <c r="B6" s="623" t="s">
        <v>1105</v>
      </c>
      <c r="C6" s="107" t="n">
        <f>COUNTIFS(Before!$A$4:$A$1003,"&lt;&gt;",Before!$H$4:$H$1003,"&lt;&gt;")</f>
        <v>7</v>
      </c>
      <c r="D6" s="107" t="n">
        <f>COUNTIFS(After!$A$4:$A$1003,"&lt;&gt;",After!$H$4:$H$1003,"&lt;&gt;")</f>
        <v>3</v>
      </c>
      <c r="H6" s="623" t="s">
        <v>1106</v>
      </c>
      <c r="I6" s="107" t="n">
        <f>I31</f>
        <v>0</v>
      </c>
      <c r="J6" s="107" t="n">
        <f>J31</f>
        <v>0</v>
      </c>
      <c r="O6" t="s">
        <v>720</v>
      </c>
      <c r="P6" t="s">
        <v>768</v>
      </c>
      <c r="S6" t="s">
        <v>1107</v>
      </c>
    </row>
    <row r="7" spans="2:19">
      <c r="B7" s="623" t="s">
        <v>1108</v>
      </c>
      <c r="C7" s="107" t="n">
        <f>C5-C6</f>
        <v>0</v>
      </c>
      <c r="D7" s="107" t="n">
        <f>D5-D6</f>
        <v>0</v>
      </c>
      <c r="H7" s="623" t="s">
        <v>1109</v>
      </c>
      <c r="I7" s="107" t="n">
        <f>C121</f>
        <v>1</v>
      </c>
      <c r="J7" s="107" t="n">
        <f>D121</f>
        <v>0</v>
      </c>
      <c r="O7" t="s">
        <v>722</v>
      </c>
      <c r="P7" t="s">
        <v>770</v>
      </c>
      <c r="S7" t="s">
        <v>1110</v>
      </c>
    </row>
    <row r="8" spans="2:19">
      <c r="B8" s="623" t="s">
        <v>1111</v>
      </c>
      <c r="C8" s="107" t="n">
        <f>SUM(C17,C25,C33,C41,C49,C57,C65,C73,C81,C89,C97,C105,C113,C121,C124,C125,C126,C127)</f>
        <v>7</v>
      </c>
      <c r="D8" s="107" t="n">
        <f>SUM(D17,D25,D33,D41,D49,D57,D65,D73,D81,D89,D97,D105,D113,D121,D124,D125,D126,D127)</f>
        <v>3</v>
      </c>
      <c r="H8" s="623" t="s">
        <v>1112</v>
      </c>
      <c r="I8" s="107" t="n">
        <f>I47</f>
        <v>0</v>
      </c>
      <c r="J8" s="107" t="n">
        <f>J47</f>
        <v>0</v>
      </c>
      <c r="O8" t="s">
        <v>721</v>
      </c>
      <c r="P8" t="s">
        <v>1002</v>
      </c>
      <c r="S8" t="s">
        <v>1113</v>
      </c>
    </row>
    <row r="9" spans="2:19">
      <c r="B9" s="623" t="s">
        <v>1114</v>
      </c>
      <c r="C9" s="107" t="str">
        <f>IF(C8=C5,"OK","CHECK")</f>
        <v>OK</v>
      </c>
      <c r="D9" s="107" t="str">
        <f>IF(D8=D5,"OK","CHECK")</f>
        <v>OK</v>
      </c>
      <c r="H9" s="623" t="s">
        <v>1115</v>
      </c>
      <c r="I9" s="107" t="n">
        <f>I55</f>
        <v>0</v>
      </c>
      <c r="J9" s="107" t="n">
        <f>J55</f>
        <v>0</v>
      </c>
      <c r="O9" t="s">
        <v>311</v>
      </c>
      <c r="P9" t="s">
        <v>1116</v>
      </c>
      <c r="S9" t="s">
        <v>1117</v>
      </c>
    </row>
    <row r="10" spans="2:19">
      <c r="O10" t="s">
        <v>312</v>
      </c>
      <c r="P10" t="s">
        <v>771</v>
      </c>
      <c r="S10" t="s">
        <v>1118</v>
      </c>
    </row>
    <row r="11" spans="2:19">
      <c r="B11" s="622" t="s">
        <v>715</v>
      </c>
      <c r="C11" s="5" t="s">
        <v>16</v>
      </c>
      <c r="D11" s="5" t="s">
        <v>17</v>
      </c>
      <c r="I11" s="5" t="s">
        <v>16</v>
      </c>
      <c r="J11" s="5" t="s">
        <v>17</v>
      </c>
      <c r="O11" t="s">
        <v>313</v>
      </c>
      <c r="P11" t="s">
        <v>1010</v>
      </c>
      <c r="S11" t="s">
        <v>1119</v>
      </c>
    </row>
    <row r="12" spans="2:19">
      <c r="C12" s="107" t="n">
        <f>COUNTIFS(Before!$H$4:$H$1003,"Angle",Before!$I$4:$I$1003,"NB*")</f>
        <v>1</v>
      </c>
      <c r="D12" s="107" t="n">
        <f>COUNTIFS(After!$H$4:$H$1003,"Angle",After!$I$4:$I$1003,"NB*")</f>
        <v>0</v>
      </c>
      <c r="F12" s="623" t="s">
        <v>1098</v>
      </c>
      <c r="I12" s="107" t="n">
        <f>SUMPRODUCT(((Before!$H$4:$H$1003="Angle")+(Before!$H$4:$H$1003="LTSR")+(Before!$H$4:$H$1003="LTDR")+(Before!$H$4:$H$1003="RTSR")+(Before!$H$4:$H$1003="RTDR")+(Before!$H$4:$H$1003="HeadOn"))*(((Before!$K$4:$K$1003="V1")*(LEFT(Before!$I$4:$I$1003,2)="NB"))+((Before!$K$4:$K$1003="V2")*(LEFT(Before!$J$4:$J$1003,2)="NB"))))</f>
        <v>0</v>
      </c>
      <c r="J12" s="107" t="n">
        <f>SUMPRODUCT(((After!$H$4:$H$1003="Angle")+(After!$H$4:$H$1003="LTSR")+(After!$H$4:$H$1003="LTDR")+(After!$H$4:$H$1003="RTSR")+(After!$H$4:$H$1003="RTDR")+(After!$H$4:$H$1003="HeadOn"))*(((After!$K$4:$K$1003="V1")*(LEFT(After!$I$4:$I$1003,2)="NB"))+((After!$K$4:$K$1003="V2")*(LEFT(After!$J$4:$J$1003,2)="NB"))))</f>
        <v>0</v>
      </c>
      <c r="L12" s="623" t="s">
        <v>1120</v>
      </c>
      <c r="O12" t="s">
        <v>315</v>
      </c>
      <c r="P12" t="s">
        <v>1121</v>
      </c>
      <c r="S12" t="s">
        <v>1122</v>
      </c>
    </row>
    <row r="13" spans="2:19">
      <c r="C13" s="107" t="n">
        <f>COUNTIFS(Before!$H$4:$H$1003,"Angle",Before!$I$4:$I$1003,"SB*")</f>
        <v>0</v>
      </c>
      <c r="D13" s="107" t="n">
        <f>COUNTIFS(After!$H$4:$H$1003,"Angle",After!$I$4:$I$1003,"SB*")</f>
        <v>0</v>
      </c>
      <c r="F13" s="623" t="s">
        <v>1099</v>
      </c>
      <c r="I13" s="107" t="n">
        <f>SUMPRODUCT(((Before!$H$4:$H$1003="Angle")+(Before!$H$4:$H$1003="LTSR")+(Before!$H$4:$H$1003="LTDR")+(Before!$H$4:$H$1003="RTSR")+(Before!$H$4:$H$1003="RTDR")+(Before!$H$4:$H$1003="HeadOn"))*(((Before!$K$4:$K$1003="V1")*(LEFT(Before!$I$4:$I$1003,2)="SB"))+((Before!$K$4:$K$1003="V2")*(LEFT(Before!$J$4:$J$1003,2)="SB"))))</f>
        <v>0</v>
      </c>
      <c r="J13" s="107" t="n">
        <f>SUMPRODUCT(((After!$H$4:$H$1003="Angle")+(After!$H$4:$H$1003="LTSR")+(After!$H$4:$H$1003="LTDR")+(After!$H$4:$H$1003="RTSR")+(After!$H$4:$H$1003="RTDR")+(After!$H$4:$H$1003="HeadOn"))*(((After!$K$4:$K$1003="V1")*(LEFT(After!$I$4:$I$1003,2)="SB"))+((After!$K$4:$K$1003="V2")*(LEFT(After!$J$4:$J$1003,2)="SB"))))</f>
        <v>0</v>
      </c>
      <c r="L13" s="623" t="s">
        <v>1123</v>
      </c>
      <c r="O13" t="s">
        <v>314</v>
      </c>
      <c r="P13" t="s">
        <v>1124</v>
      </c>
      <c r="S13" t="s">
        <v>1125</v>
      </c>
    </row>
    <row r="14" spans="2:19">
      <c r="C14" s="107" t="n">
        <f>COUNTIFS(Before!$H$4:$H$1003,"Angle",Before!$I$4:$I$1003,"EB*")</f>
        <v>0</v>
      </c>
      <c r="D14" s="107" t="n">
        <f>COUNTIFS(After!$H$4:$H$1003,"Angle",After!$I$4:$I$1003,"EB*")</f>
        <v>0</v>
      </c>
      <c r="F14" s="623" t="s">
        <v>1100</v>
      </c>
      <c r="I14" s="107" t="n">
        <f>SUMPRODUCT(((Before!$H$4:$H$1003="Angle")+(Before!$H$4:$H$1003="LTSR")+(Before!$H$4:$H$1003="LTDR")+(Before!$H$4:$H$1003="RTSR")+(Before!$H$4:$H$1003="RTDR")+(Before!$H$4:$H$1003="HeadOn"))*(((Before!$K$4:$K$1003="V1")*(LEFT(Before!$I$4:$I$1003,2)="EB"))+((Before!$K$4:$K$1003="V2")*(LEFT(Before!$J$4:$J$1003,2)="EB"))))</f>
        <v>2</v>
      </c>
      <c r="J14" s="107" t="n">
        <f>SUMPRODUCT(((After!$H$4:$H$1003="Angle")+(After!$H$4:$H$1003="LTSR")+(After!$H$4:$H$1003="LTDR")+(After!$H$4:$H$1003="RTSR")+(After!$H$4:$H$1003="RTDR")+(After!$H$4:$H$1003="HeadOn"))*(((After!$K$4:$K$1003="V1")*(LEFT(After!$I$4:$I$1003,2)="EB"))+((After!$K$4:$K$1003="V2")*(LEFT(After!$J$4:$J$1003,2)="EB"))))</f>
        <v>0</v>
      </c>
      <c r="L14" s="623" t="s">
        <v>1126</v>
      </c>
      <c r="O14" t="s">
        <v>733</v>
      </c>
      <c r="P14" t="s">
        <v>1003</v>
      </c>
      <c r="S14" t="s">
        <v>1127</v>
      </c>
    </row>
    <row r="15" spans="2:19">
      <c r="C15" s="107" t="n">
        <f>COUNTIFS(Before!$H$4:$H$1003,"Angle",Before!$I$4:$I$1003,"WB*")</f>
        <v>0</v>
      </c>
      <c r="D15" s="107" t="n">
        <f>COUNTIFS(After!$H$4:$H$1003,"Angle",After!$I$4:$I$1003,"WB*")</f>
        <v>1</v>
      </c>
      <c r="F15" s="623" t="s">
        <v>1104</v>
      </c>
      <c r="I15" s="107" t="n">
        <f>SUMPRODUCT(((Before!$H$4:$H$1003="Angle")+(Before!$H$4:$H$1003="LTSR")+(Before!$H$4:$H$1003="LTDR")+(Before!$H$4:$H$1003="RTSR")+(Before!$H$4:$H$1003="RTDR")+(Before!$H$4:$H$1003="HeadOn"))*(((Before!$K$4:$K$1003="V1")*(LEFT(Before!$I$4:$I$1003,2)="WB"))+((Before!$K$4:$K$1003="V2")*(LEFT(Before!$J$4:$J$1003,2)="WB"))))</f>
        <v>1</v>
      </c>
      <c r="J15" s="107" t="n">
        <f>SUMPRODUCT(((After!$H$4:$H$1003="Angle")+(After!$H$4:$H$1003="LTSR")+(After!$H$4:$H$1003="LTDR")+(After!$H$4:$H$1003="RTSR")+(After!$H$4:$H$1003="RTDR")+(After!$H$4:$H$1003="HeadOn"))*(((After!$K$4:$K$1003="V1")*(LEFT(After!$I$4:$I$1003,2)="WB"))+((After!$K$4:$K$1003="V2")*(LEFT(After!$J$4:$J$1003,2)="WB"))))</f>
        <v>2</v>
      </c>
      <c r="L15" s="623" t="s">
        <v>1128</v>
      </c>
      <c r="O15" t="s">
        <v>714</v>
      </c>
      <c r="P15" t="s">
        <v>783</v>
      </c>
      <c r="S15" t="s">
        <v>1129</v>
      </c>
    </row>
    <row r="16" spans="2:19">
      <c r="C16" s="107" t="n">
        <f>C17-SUM(C12:C15)</f>
        <v>0</v>
      </c>
      <c r="D16" s="107" t="n">
        <f>D17-SUM(D12:D15)</f>
        <v>0</v>
      </c>
      <c r="F16" s="623" t="s">
        <v>1107</v>
      </c>
      <c r="I16" s="107" t="n">
        <f>I17-SUM(I12:I15)</f>
        <v>0</v>
      </c>
      <c r="J16" s="107" t="n">
        <f>J17-SUM(J12:J15)</f>
        <v>0</v>
      </c>
      <c r="L16" s="623" t="s">
        <v>1130</v>
      </c>
      <c r="O16" t="s">
        <v>1131</v>
      </c>
      <c r="P16" t="s">
        <v>1017</v>
      </c>
      <c r="S16" t="s">
        <v>1132</v>
      </c>
    </row>
    <row r="17" spans="2:19">
      <c r="C17" s="107" t="n">
        <f>COUNTIF(Before!$H$4:$H$1003,"Angle")</f>
        <v>1</v>
      </c>
      <c r="D17" s="107" t="n">
        <f>COUNTIF(After!$H$4:$H$1003,"Angle")</f>
        <v>1</v>
      </c>
      <c r="F17" s="623" t="s">
        <v>1110</v>
      </c>
      <c r="I17" s="107" t="n">
        <f>SUMPRODUCT(((Before!$H$4:$H$1003="Angle")+(Before!$H$4:$H$1003="LTSR")+(Before!$H$4:$H$1003="LTDR")+(Before!$H$4:$H$1003="RTSR")+(Before!$H$4:$H$1003="RTDR")+(Before!$H$4:$H$1003="HeadOn"))*1)</f>
        <v>3</v>
      </c>
      <c r="J17" s="107" t="n">
        <f>SUMPRODUCT(((After!$H$4:$H$1003="Angle")+(After!$H$4:$H$1003="LTSR")+(After!$H$4:$H$1003="LTDR")+(After!$H$4:$H$1003="RTSR")+(After!$H$4:$H$1003="RTDR")+(After!$H$4:$H$1003="HeadOn"))*1)</f>
        <v>2</v>
      </c>
      <c r="L17" s="623" t="s">
        <v>1133</v>
      </c>
      <c r="O17" t="s">
        <v>316</v>
      </c>
      <c r="P17" t="s">
        <v>1134</v>
      </c>
      <c r="S17" t="s">
        <v>787</v>
      </c>
    </row>
    <row r="18" spans="2:19">
      <c r="O18" t="s">
        <v>317</v>
      </c>
      <c r="P18" t="s">
        <v>993</v>
      </c>
      <c r="S18" t="s">
        <v>1135</v>
      </c>
    </row>
    <row r="19" spans="2:19">
      <c r="B19" s="622" t="s">
        <v>717</v>
      </c>
      <c r="C19" s="5" t="s">
        <v>16</v>
      </c>
      <c r="D19" s="5" t="s">
        <v>17</v>
      </c>
      <c r="I19" s="5" t="s">
        <v>16</v>
      </c>
      <c r="J19" s="5" t="s">
        <v>17</v>
      </c>
      <c r="O19" t="s">
        <v>318</v>
      </c>
      <c r="S19" t="s">
        <v>1136</v>
      </c>
    </row>
    <row r="20" spans="2:19">
      <c r="C20" s="107" t="n">
        <f>COUNTIFS(Before!$H$4:$H$1003,"LTSR",Before!$I$4:$I$1003,"NBL")+COUNTIFS(Before!$H$4:$H$1003,"LTSR",Before!$J$4:$J$1003,"NBL")</f>
        <v>0</v>
      </c>
      <c r="D20" s="107" t="n">
        <f>COUNTIFS(After!$H$4:$H$1003,"LTSR",After!$I$4:$I$1003,"NBL")+COUNTIFS(After!$H$4:$H$1003,"LTSR",After!$J$4:$J$1003,"NBL")</f>
        <v>0</v>
      </c>
      <c r="F20" s="623" t="s">
        <v>1113</v>
      </c>
      <c r="I20" s="107" t="n">
        <f>SUMPRODUCT(((Before!$H$4:$H$1003="Angle")+(Before!$H$4:$H$1003="LTSR")+(Before!$H$4:$H$1003="LTDR")+(Before!$H$4:$H$1003="RTSR")+(Before!$H$4:$H$1003="RTDR")+(Before!$H$4:$H$1003="HeadOn"))*(((LEFT(Before!$I$4:$I$1003,2)="NB")+(LEFT(Before!$J$4:$J$1003,2)="NB"))&gt;0))</f>
        <v>1</v>
      </c>
      <c r="J20" s="107" t="n">
        <f>SUMPRODUCT(((After!$H$4:$H$1003="Angle")+(After!$H$4:$H$1003="LTSR")+(After!$H$4:$H$1003="LTDR")+(After!$H$4:$H$1003="RTSR")+(After!$H$4:$H$1003="RTDR")+(After!$H$4:$H$1003="HeadOn"))*(((LEFT(After!$I$4:$I$1003,2)="NB")+(LEFT(After!$J$4:$J$1003,2)="NB"))&gt;0))</f>
        <v>1</v>
      </c>
      <c r="L20" s="623" t="s">
        <v>785</v>
      </c>
      <c r="S20" t="s">
        <v>1137</v>
      </c>
    </row>
    <row r="21" spans="2:19">
      <c r="C21" s="107" t="n">
        <f>COUNTIFS(Before!$H$4:$H$1003,"LTSR",Before!$I$4:$I$1003,"SBL")+COUNTIFS(Before!$H$4:$H$1003,"LTSR",Before!$J$4:$J$1003,"SBL")</f>
        <v>0</v>
      </c>
      <c r="D21" s="107" t="n">
        <f>COUNTIFS(After!$H$4:$H$1003,"LTSR",After!$I$4:$I$1003,"SBL")+COUNTIFS(After!$H$4:$H$1003,"LTSR",After!$J$4:$J$1003,"SBL")</f>
        <v>0</v>
      </c>
      <c r="F21" s="623" t="s">
        <v>1117</v>
      </c>
      <c r="I21" s="107" t="n">
        <f>SUMPRODUCT(((Before!$H$4:$H$1003="Angle")+(Before!$H$4:$H$1003="LTSR")+(Before!$H$4:$H$1003="LTDR")+(Before!$H$4:$H$1003="RTSR")+(Before!$H$4:$H$1003="RTDR")+(Before!$H$4:$H$1003="HeadOn"))*(((LEFT(Before!$I$4:$I$1003,2)="SB")+(LEFT(Before!$J$4:$J$1003,2)="SB"))&gt;0))</f>
        <v>1</v>
      </c>
      <c r="J21" s="107" t="n">
        <f>SUMPRODUCT(((After!$H$4:$H$1003="Angle")+(After!$H$4:$H$1003="LTSR")+(After!$H$4:$H$1003="LTDR")+(After!$H$4:$H$1003="RTSR")+(After!$H$4:$H$1003="RTDR")+(After!$H$4:$H$1003="HeadOn"))*(((LEFT(After!$I$4:$I$1003,2)="SB")+(LEFT(After!$J$4:$J$1003,2)="SB"))&gt;0))</f>
        <v>1</v>
      </c>
      <c r="L21" s="623" t="s">
        <v>786</v>
      </c>
      <c r="S21" t="s">
        <v>1138</v>
      </c>
    </row>
    <row r="22" spans="2:19">
      <c r="C22" s="107" t="n">
        <f>COUNTIFS(Before!$H$4:$H$1003,"LTSR",Before!$I$4:$I$1003,"EBL")+COUNTIFS(Before!$H$4:$H$1003,"LTSR",Before!$J$4:$J$1003,"EBL")</f>
        <v>1</v>
      </c>
      <c r="D22" s="107" t="n">
        <f>COUNTIFS(After!$H$4:$H$1003,"LTSR",After!$I$4:$I$1003,"EBL")+COUNTIFS(After!$H$4:$H$1003,"LTSR",After!$J$4:$J$1003,"EBL")</f>
        <v>0</v>
      </c>
      <c r="F22" s="623" t="s">
        <v>1118</v>
      </c>
      <c r="I22" s="107" t="n">
        <f>SUMPRODUCT(((Before!$H$4:$H$1003="Angle")+(Before!$H$4:$H$1003="LTSR")+(Before!$H$4:$H$1003="LTDR")+(Before!$H$4:$H$1003="RTSR")+(Before!$H$4:$H$1003="RTDR")+(Before!$H$4:$H$1003="HeadOn"))*(((LEFT(Before!$I$4:$I$1003,2)="EB")+(LEFT(Before!$J$4:$J$1003,2)="EB"))&gt;0))</f>
        <v>2</v>
      </c>
      <c r="J22" s="107" t="n">
        <f>SUMPRODUCT(((After!$H$4:$H$1003="Angle")+(After!$H$4:$H$1003="LTSR")+(After!$H$4:$H$1003="LTDR")+(After!$H$4:$H$1003="RTSR")+(After!$H$4:$H$1003="RTDR")+(After!$H$4:$H$1003="HeadOn"))*(((LEFT(After!$I$4:$I$1003,2)="EB")+(LEFT(After!$J$4:$J$1003,2)="EB"))&gt;0))</f>
        <v>0</v>
      </c>
      <c r="L22" s="623" t="s">
        <v>1139</v>
      </c>
      <c r="S22" t="s">
        <v>1140</v>
      </c>
    </row>
    <row r="23" spans="2:19">
      <c r="C23" s="107" t="n">
        <f>COUNTIFS(Before!$H$4:$H$1003,"LTSR",Before!$I$4:$I$1003,"WBL")+COUNTIFS(Before!$H$4:$H$1003,"LTSR",Before!$J$4:$J$1003,"WBL")</f>
        <v>0</v>
      </c>
      <c r="D23" s="107" t="n">
        <f>COUNTIFS(After!$H$4:$H$1003,"LTSR",After!$I$4:$I$1003,"WBL")+COUNTIFS(After!$H$4:$H$1003,"LTSR",After!$J$4:$J$1003,"WBL")</f>
        <v>0</v>
      </c>
      <c r="F23" s="623" t="s">
        <v>1119</v>
      </c>
      <c r="I23" s="107" t="n">
        <f>SUMPRODUCT(((Before!$H$4:$H$1003="Angle")+(Before!$H$4:$H$1003="LTSR")+(Before!$H$4:$H$1003="LTDR")+(Before!$H$4:$H$1003="RTSR")+(Before!$H$4:$H$1003="RTDR")+(Before!$H$4:$H$1003="HeadOn"))*(((LEFT(Before!$I$4:$I$1003,2)="WB")+(LEFT(Before!$J$4:$J$1003,2)="WB"))&gt;0))</f>
        <v>2</v>
      </c>
      <c r="J23" s="107" t="n">
        <f>SUMPRODUCT(((After!$H$4:$H$1003="Angle")+(After!$H$4:$H$1003="LTSR")+(After!$H$4:$H$1003="LTDR")+(After!$H$4:$H$1003="RTSR")+(After!$H$4:$H$1003="RTDR")+(After!$H$4:$H$1003="HeadOn"))*(((LEFT(After!$I$4:$I$1003,2)="WB")+(LEFT(After!$J$4:$J$1003,2)="WB"))&gt;0))</f>
        <v>2</v>
      </c>
      <c r="L23" s="623" t="s">
        <v>1141</v>
      </c>
      <c r="S23" t="s">
        <v>1142</v>
      </c>
    </row>
    <row r="24" spans="2:19">
      <c r="C24" s="107" t="n">
        <f>C25-SUM(C20:C23)</f>
        <v>0</v>
      </c>
      <c r="D24" s="107" t="n">
        <f>D25-SUM(D20:D23)</f>
        <v>0</v>
      </c>
      <c r="F24" s="623" t="s">
        <v>1122</v>
      </c>
      <c r="S24" t="s">
        <v>1143</v>
      </c>
    </row>
    <row r="25" spans="2:19">
      <c r="C25" s="107" t="n">
        <f>COUNTIF(Before!$H$4:$H$1003,"LTSR")</f>
        <v>1</v>
      </c>
      <c r="D25" s="107" t="n">
        <f>COUNTIF(After!$H$4:$H$1003,"LTSR")</f>
        <v>0</v>
      </c>
      <c r="F25" s="623" t="s">
        <v>1125</v>
      </c>
      <c r="I25" s="5" t="s">
        <v>16</v>
      </c>
      <c r="J25" s="5" t="s">
        <v>17</v>
      </c>
      <c r="S25" t="s">
        <v>1144</v>
      </c>
    </row>
    <row r="26" spans="2:19">
      <c r="I26" s="107" t="n">
        <f>SUMPRODUCT(((Before!$H$4:$H$1003="RORR")+(Before!$H$4:$H$1003="RORL")+(Before!$H$4:$H$1003="RORS")+(Before!$H$4:$H$1003="Overturn"))*(((Before!$K$4:$K$1003="V1")*(LEFT(Before!$I$4:$I$1003,2)="NB"))+((Before!$K$4:$K$1003="V2")*(LEFT(Before!$J$4:$J$1003,2)="NB"))))</f>
        <v>0</v>
      </c>
      <c r="J26" s="107" t="n">
        <f>SUMPRODUCT(((After!$H$4:$H$1003="RORR")+(After!$H$4:$H$1003="RORL")+(After!$H$4:$H$1003="RORS")+(After!$H$4:$H$1003="Overturn"))*(((After!$K$4:$K$1003="V1")*(LEFT(After!$I$4:$I$1003,2)="NB"))+((After!$K$4:$K$1003="V2")*(LEFT(After!$J$4:$J$1003,2)="NB"))))</f>
        <v>0</v>
      </c>
      <c r="L26" s="623" t="s">
        <v>1145</v>
      </c>
      <c r="S26" t="s">
        <v>1146</v>
      </c>
    </row>
    <row r="27" spans="2:19">
      <c r="B27" s="622" t="s">
        <v>718</v>
      </c>
      <c r="C27" s="5" t="s">
        <v>16</v>
      </c>
      <c r="D27" s="5" t="s">
        <v>17</v>
      </c>
      <c r="I27" s="107" t="n">
        <f>SUMPRODUCT(((Before!$H$4:$H$1003="RORR")+(Before!$H$4:$H$1003="RORL")+(Before!$H$4:$H$1003="RORS")+(Before!$H$4:$H$1003="Overturn"))*(((Before!$K$4:$K$1003="V1")*(LEFT(Before!$I$4:$I$1003,2)="SB"))+((Before!$K$4:$K$1003="V2")*(LEFT(Before!$J$4:$J$1003,2)="SB"))))</f>
        <v>0</v>
      </c>
      <c r="J27" s="107" t="n">
        <f>SUMPRODUCT(((After!$H$4:$H$1003="RORR")+(After!$H$4:$H$1003="RORL")+(After!$H$4:$H$1003="RORS")+(After!$H$4:$H$1003="Overturn"))*(((After!$K$4:$K$1003="V1")*(LEFT(After!$I$4:$I$1003,2)="SB"))+((After!$K$4:$K$1003="V2")*(LEFT(After!$J$4:$J$1003,2)="SB"))))</f>
        <v>0</v>
      </c>
      <c r="L27" s="623" t="s">
        <v>1147</v>
      </c>
      <c r="S27" t="s">
        <v>1148</v>
      </c>
    </row>
    <row r="28" spans="2:19">
      <c r="C28" s="107" t="n">
        <f>COUNTIFS(Before!$H$4:$H$1003,"LTDR",Before!$I$4:$I$1003,"NBL")+COUNTIFS(Before!$H$4:$H$1003,"LTDR",Before!$J$4:$J$1003,"NBL")</f>
        <v>0</v>
      </c>
      <c r="D28" s="107" t="n">
        <f>COUNTIFS(After!$H$4:$H$1003,"LTDR",After!$I$4:$I$1003,"NBL")+COUNTIFS(After!$H$4:$H$1003,"LTDR",After!$J$4:$J$1003,"NBL")</f>
        <v>0</v>
      </c>
      <c r="F28" s="623" t="s">
        <v>1127</v>
      </c>
      <c r="I28" s="107" t="n">
        <f>SUMPRODUCT(((Before!$H$4:$H$1003="RORR")+(Before!$H$4:$H$1003="RORL")+(Before!$H$4:$H$1003="RORS")+(Before!$H$4:$H$1003="Overturn"))*(((Before!$K$4:$K$1003="V1")*(LEFT(Before!$I$4:$I$1003,2)="EB"))+((Before!$K$4:$K$1003="V2")*(LEFT(Before!$J$4:$J$1003,2)="EB"))))</f>
        <v>0</v>
      </c>
      <c r="J28" s="107" t="n">
        <f>SUMPRODUCT(((After!$H$4:$H$1003="RORR")+(After!$H$4:$H$1003="RORL")+(After!$H$4:$H$1003="RORS")+(After!$H$4:$H$1003="Overturn"))*(((After!$K$4:$K$1003="V1")*(LEFT(After!$I$4:$I$1003,2)="EB"))+((After!$K$4:$K$1003="V2")*(LEFT(After!$J$4:$J$1003,2)="EB"))))</f>
        <v>0</v>
      </c>
      <c r="L28" s="623" t="s">
        <v>1149</v>
      </c>
      <c r="S28" t="s">
        <v>1150</v>
      </c>
    </row>
    <row r="29" spans="2:19">
      <c r="C29" s="107" t="n">
        <f>COUNTIFS(Before!$H$4:$H$1003,"LTDR",Before!$I$4:$I$1003,"SBL")+COUNTIFS(Before!$H$4:$H$1003,"LTDR",Before!$J$4:$J$1003,"SBL")</f>
        <v>0</v>
      </c>
      <c r="D29" s="107" t="n">
        <f>COUNTIFS(After!$H$4:$H$1003,"LTDR",After!$I$4:$I$1003,"SBL")+COUNTIFS(After!$H$4:$H$1003,"LTDR",After!$J$4:$J$1003,"SBL")</f>
        <v>0</v>
      </c>
      <c r="F29" s="623" t="s">
        <v>1129</v>
      </c>
      <c r="I29" s="107" t="n">
        <f>SUMPRODUCT(((Before!$H$4:$H$1003="RORR")+(Before!$H$4:$H$1003="RORL")+(Before!$H$4:$H$1003="RORS")+(Before!$H$4:$H$1003="Overturn"))*(((Before!$K$4:$K$1003="V1")*(LEFT(Before!$I$4:$I$1003,2)="WB"))+((Before!$K$4:$K$1003="V2")*(LEFT(Before!$J$4:$J$1003,2)="WB"))))</f>
        <v>0</v>
      </c>
      <c r="J29" s="107" t="n">
        <f>SUMPRODUCT(((After!$H$4:$H$1003="RORR")+(After!$H$4:$H$1003="RORL")+(After!$H$4:$H$1003="RORS")+(After!$H$4:$H$1003="Overturn"))*(((After!$K$4:$K$1003="V1")*(LEFT(After!$I$4:$I$1003,2)="WB"))+((After!$K$4:$K$1003="V2")*(LEFT(After!$J$4:$J$1003,2)="WB"))))</f>
        <v>0</v>
      </c>
      <c r="L29" s="623" t="s">
        <v>1151</v>
      </c>
      <c r="S29" t="s">
        <v>1152</v>
      </c>
    </row>
    <row r="30" spans="2:19">
      <c r="C30" s="107" t="n">
        <f>COUNTIFS(Before!$H$4:$H$1003,"LTDR",Before!$I$4:$I$1003,"EBL")+COUNTIFS(Before!$H$4:$H$1003,"LTDR",Before!$J$4:$J$1003,"EBL")</f>
        <v>0</v>
      </c>
      <c r="D30" s="107" t="n">
        <f>COUNTIFS(After!$H$4:$H$1003,"LTDR",After!$I$4:$I$1003,"EBL")+COUNTIFS(After!$H$4:$H$1003,"LTDR",After!$J$4:$J$1003,"EBL")</f>
        <v>0</v>
      </c>
      <c r="F30" s="623" t="s">
        <v>1132</v>
      </c>
      <c r="I30" s="107" t="n">
        <f>I31-SUM(I26:I29)</f>
        <v>0</v>
      </c>
      <c r="J30" s="107" t="n">
        <f>J31-SUM(J26:J29)</f>
        <v>0</v>
      </c>
      <c r="L30" s="623" t="s">
        <v>1153</v>
      </c>
      <c r="S30" t="s">
        <v>1154</v>
      </c>
    </row>
    <row r="31" spans="2:19">
      <c r="C31" s="107" t="n">
        <f>COUNTIFS(Before!$H$4:$H$1003,"LTDR",Before!$I$4:$I$1003,"WBL")+COUNTIFS(Before!$H$4:$H$1003,"LTDR",Before!$J$4:$J$1003,"WBL")</f>
        <v>0</v>
      </c>
      <c r="D31" s="107" t="n">
        <f>COUNTIFS(After!$H$4:$H$1003,"LTDR",After!$I$4:$I$1003,"WBL")+COUNTIFS(After!$H$4:$H$1003,"LTDR",After!$J$4:$J$1003,"WBL")</f>
        <v>0</v>
      </c>
      <c r="F31" s="623" t="s">
        <v>787</v>
      </c>
      <c r="I31" s="107" t="n">
        <f>SUMPRODUCT(((Before!$H$4:$H$1003="RORR")+(Before!$H$4:$H$1003="RORL")+(Before!$H$4:$H$1003="RORS")+(Before!$H$4:$H$1003="Overturn"))*1)</f>
        <v>0</v>
      </c>
      <c r="J31" s="107" t="n">
        <f>SUMPRODUCT(((After!$H$4:$H$1003="RORR")+(After!$H$4:$H$1003="RORL")+(After!$H$4:$H$1003="RORS")+(After!$H$4:$H$1003="Overturn"))*1)</f>
        <v>0</v>
      </c>
      <c r="L31" s="623" t="s">
        <v>788</v>
      </c>
      <c r="S31" t="s">
        <v>1155</v>
      </c>
    </row>
    <row r="32" spans="2:19">
      <c r="C32" s="107" t="n">
        <f>C33-SUM(C28:C31)</f>
        <v>0</v>
      </c>
      <c r="D32" s="107" t="n">
        <f>D33-SUM(D28:D31)</f>
        <v>0</v>
      </c>
      <c r="F32" s="623" t="s">
        <v>1135</v>
      </c>
      <c r="S32" t="s">
        <v>1156</v>
      </c>
    </row>
    <row r="33" spans="2:19">
      <c r="C33" s="107" t="n">
        <f>COUNTIF(Before!$H$4:$H$1003,"LTDR")</f>
        <v>0</v>
      </c>
      <c r="D33" s="107" t="n">
        <f>COUNTIF(After!$H$4:$H$1003,"LTDR")</f>
        <v>0</v>
      </c>
      <c r="F33" s="623" t="s">
        <v>1136</v>
      </c>
      <c r="I33" s="5" t="s">
        <v>16</v>
      </c>
      <c r="J33" s="5" t="s">
        <v>17</v>
      </c>
      <c r="S33" t="s">
        <v>1157</v>
      </c>
    </row>
    <row r="34" spans="2:19">
      <c r="I34" s="107" t="n">
        <f>SUMPRODUCT((Before!$L$4:$L$1003="Y")*(((Before!$K$4:$K$1003="V1")*(LEFT(Before!$I$4:$I$1003,2)="NB"))+((Before!$K$4:$K$1003="V2")*(LEFT(Before!$J$4:$J$1003,2)="NB"))))</f>
        <v>0</v>
      </c>
      <c r="J34" s="107" t="n">
        <f>SUMPRODUCT((After!$L$4:$L$1003="Y")*(((After!$K$4:$K$1003="V1")*(LEFT(After!$I$4:$I$1003,2)="NB"))+((After!$K$4:$K$1003="V2")*(LEFT(After!$J$4:$J$1003,2)="NB"))))</f>
        <v>0</v>
      </c>
      <c r="L34" s="623" t="s">
        <v>1158</v>
      </c>
      <c r="S34" t="s">
        <v>1159</v>
      </c>
    </row>
    <row r="35" spans="2:19">
      <c r="B35" s="622" t="s">
        <v>719</v>
      </c>
      <c r="C35" s="5" t="s">
        <v>16</v>
      </c>
      <c r="D35" s="5" t="s">
        <v>17</v>
      </c>
      <c r="I35" s="107" t="n">
        <f>SUMPRODUCT((Before!$L$4:$L$1003="Y")*(((Before!$K$4:$K$1003="V1")*(LEFT(Before!$I$4:$I$1003,2)="SB"))+((Before!$K$4:$K$1003="V2")*(LEFT(Before!$J$4:$J$1003,2)="SB"))))</f>
        <v>0</v>
      </c>
      <c r="J35" s="107" t="n">
        <f>SUMPRODUCT((After!$L$4:$L$1003="Y")*(((After!$K$4:$K$1003="V1")*(LEFT(After!$I$4:$I$1003,2)="SB"))+((After!$K$4:$K$1003="V2")*(LEFT(After!$J$4:$J$1003,2)="SB"))))</f>
        <v>0</v>
      </c>
      <c r="L35" s="623" t="s">
        <v>1160</v>
      </c>
      <c r="S35" t="s">
        <v>1161</v>
      </c>
    </row>
    <row r="36" spans="2:19">
      <c r="C36" s="107" t="n">
        <f>COUNTIFS(Before!$H$4:$H$1003,"RTSR",Before!$I$4:$I$1003,"NBR")+COUNTIFS(Before!$H$4:$H$1003,"RTSR",Before!$J$4:$J$1003,"NBR")</f>
        <v>0</v>
      </c>
      <c r="D36" s="107" t="n">
        <f>COUNTIFS(After!$H$4:$H$1003,"RTSR",After!$I$4:$I$1003,"NBR")+COUNTIFS(After!$H$4:$H$1003,"RTSR",After!$J$4:$J$1003,"NBR")</f>
        <v>0</v>
      </c>
      <c r="F36" s="623" t="s">
        <v>1137</v>
      </c>
      <c r="I36" s="107" t="n">
        <f>SUMPRODUCT((Before!$L$4:$L$1003="Y")*(((Before!$K$4:$K$1003="V1")*(LEFT(Before!$I$4:$I$1003,2)="EB"))+((Before!$K$4:$K$1003="V2")*(LEFT(Before!$J$4:$J$1003,2)="EB"))))</f>
        <v>2</v>
      </c>
      <c r="J36" s="107" t="n">
        <f>SUMPRODUCT((After!$L$4:$L$1003="Y")*(((After!$K$4:$K$1003="V1")*(LEFT(After!$I$4:$I$1003,2)="EB"))+((After!$K$4:$K$1003="V2")*(LEFT(After!$J$4:$J$1003,2)="EB"))))</f>
        <v>0</v>
      </c>
      <c r="L36" s="623" t="s">
        <v>1162</v>
      </c>
      <c r="S36" t="s">
        <v>1163</v>
      </c>
    </row>
    <row r="37" spans="2:19">
      <c r="C37" s="107" t="n">
        <f>COUNTIFS(Before!$H$4:$H$1003,"RTSR",Before!$I$4:$I$1003,"SBR")+COUNTIFS(Before!$H$4:$H$1003,"RTSR",Before!$J$4:$J$1003,"SBR")</f>
        <v>0</v>
      </c>
      <c r="D37" s="107" t="n">
        <f>COUNTIFS(After!$H$4:$H$1003,"RTSR",After!$I$4:$I$1003,"SBR")+COUNTIFS(After!$H$4:$H$1003,"RTSR",After!$J$4:$J$1003,"SBR")</f>
        <v>0</v>
      </c>
      <c r="F37" s="623" t="s">
        <v>1138</v>
      </c>
      <c r="I37" s="107" t="n">
        <f>SUMPRODUCT((Before!$L$4:$L$1003="Y")*(((Before!$K$4:$K$1003="V1")*(LEFT(Before!$I$4:$I$1003,2)="WB"))+((Before!$K$4:$K$1003="V2")*(LEFT(Before!$J$4:$J$1003,2)="WB"))))</f>
        <v>1</v>
      </c>
      <c r="J37" s="107" t="n">
        <f>SUMPRODUCT((After!$L$4:$L$1003="Y")*(((After!$K$4:$K$1003="V1")*(LEFT(After!$I$4:$I$1003,2)="WB"))+((After!$K$4:$K$1003="V2")*(LEFT(After!$J$4:$J$1003,2)="WB"))))</f>
        <v>2</v>
      </c>
      <c r="L37" s="623" t="s">
        <v>1164</v>
      </c>
      <c r="S37" t="s">
        <v>1165</v>
      </c>
    </row>
    <row r="38" spans="2:19">
      <c r="C38" s="107" t="n">
        <f>COUNTIFS(Before!$H$4:$H$1003,"RTSR",Before!$I$4:$I$1003,"EBR")+COUNTIFS(Before!$H$4:$H$1003,"RTSR",Before!$J$4:$J$1003,"EBR")</f>
        <v>0</v>
      </c>
      <c r="D38" s="107" t="n">
        <f>COUNTIFS(After!$H$4:$H$1003,"RTSR",After!$I$4:$I$1003,"EBR")+COUNTIFS(After!$H$4:$H$1003,"RTSR",After!$J$4:$J$1003,"EBR")</f>
        <v>0</v>
      </c>
      <c r="F38" s="623" t="s">
        <v>1140</v>
      </c>
      <c r="I38" s="107" t="n">
        <f>I39-SUM(I34:I37)</f>
        <v>0</v>
      </c>
      <c r="J38" s="107" t="n">
        <f>J39-SUM(J34:J37)</f>
        <v>0</v>
      </c>
      <c r="L38" s="623" t="s">
        <v>1166</v>
      </c>
      <c r="S38" t="s">
        <v>1167</v>
      </c>
    </row>
    <row r="39" spans="2:19">
      <c r="C39" s="107" t="n">
        <f>COUNTIFS(Before!$H$4:$H$1003,"RTSR",Before!$I$4:$I$1003,"WBR")+COUNTIFS(Before!$H$4:$H$1003,"RTSR",Before!$J$4:$J$1003,"WBR")</f>
        <v>0</v>
      </c>
      <c r="D39" s="107" t="n">
        <f>COUNTIFS(After!$H$4:$H$1003,"RTSR",After!$I$4:$I$1003,"WBR")+COUNTIFS(After!$H$4:$H$1003,"RTSR",After!$J$4:$J$1003,"WBR")</f>
        <v>0</v>
      </c>
      <c r="F39" s="623" t="s">
        <v>1142</v>
      </c>
      <c r="I39" s="107" t="n">
        <f>COUNTIF(Before!$L$4:$L$1003,"Y")</f>
        <v>3</v>
      </c>
      <c r="J39" s="107" t="n">
        <f>COUNTIF(After!$L$4:$L$1003,"Y")</f>
        <v>2</v>
      </c>
      <c r="L39" s="623" t="s">
        <v>1168</v>
      </c>
      <c r="S39" t="s">
        <v>1169</v>
      </c>
    </row>
    <row r="40" spans="2:19">
      <c r="C40" s="107" t="n">
        <f>C41-SUM(C36:C39)</f>
        <v>0</v>
      </c>
      <c r="D40" s="107" t="n">
        <f>D41-SUM(D36:D39)</f>
        <v>0</v>
      </c>
      <c r="F40" s="623" t="s">
        <v>1143</v>
      </c>
      <c r="S40" t="s">
        <v>1170</v>
      </c>
    </row>
    <row r="41" spans="2:19">
      <c r="C41" s="107" t="n">
        <f>COUNTIF(Before!$H$4:$H$1003,"RTSR")</f>
        <v>0</v>
      </c>
      <c r="D41" s="107" t="n">
        <f>COUNTIF(After!$H$4:$H$1003,"RTSR")</f>
        <v>0</v>
      </c>
      <c r="F41" s="623" t="s">
        <v>1144</v>
      </c>
      <c r="I41" s="5" t="s">
        <v>16</v>
      </c>
      <c r="J41" s="5" t="s">
        <v>17</v>
      </c>
      <c r="S41" t="s">
        <v>1171</v>
      </c>
    </row>
    <row r="42" spans="2:19">
      <c r="I42" s="107" t="n">
        <f>SUMPRODUCT((Before!$M$4:$M$1003="Y")*(((Before!$K$4:$K$1003="V1")*(LEFT(Before!$I$4:$I$1003,2)="NB"))+((Before!$K$4:$K$1003="V2")*(LEFT(Before!$J$4:$J$1003,2)="NB"))))</f>
        <v>0</v>
      </c>
      <c r="J42" s="107" t="n">
        <f>SUMPRODUCT((After!$M$4:$M$1003="Y")*(((After!$K$4:$K$1003="V1")*(LEFT(After!$I$4:$I$1003,2)="NB"))+((After!$K$4:$K$1003="V2")*(LEFT(After!$J$4:$J$1003,2)="NB"))))</f>
        <v>0</v>
      </c>
      <c r="L42" s="623" t="s">
        <v>1172</v>
      </c>
      <c r="S42" t="s">
        <v>1173</v>
      </c>
    </row>
    <row r="43" spans="2:19">
      <c r="B43" s="622" t="s">
        <v>720</v>
      </c>
      <c r="C43" s="5" t="s">
        <v>16</v>
      </c>
      <c r="D43" s="5" t="s">
        <v>17</v>
      </c>
      <c r="I43" s="107" t="n">
        <f>SUMPRODUCT((Before!$M$4:$M$1003="Y")*(((Before!$K$4:$K$1003="V1")*(LEFT(Before!$I$4:$I$1003,2)="SB"))+((Before!$K$4:$K$1003="V2")*(LEFT(Before!$J$4:$J$1003,2)="SB"))))</f>
        <v>0</v>
      </c>
      <c r="J43" s="107" t="n">
        <f>SUMPRODUCT((After!$M$4:$M$1003="Y")*(((After!$K$4:$K$1003="V1")*(LEFT(After!$I$4:$I$1003,2)="SB"))+((After!$K$4:$K$1003="V2")*(LEFT(After!$J$4:$J$1003,2)="SB"))))</f>
        <v>0</v>
      </c>
      <c r="L43" s="623" t="s">
        <v>1174</v>
      </c>
      <c r="S43" t="s">
        <v>1175</v>
      </c>
    </row>
    <row r="44" spans="2:19">
      <c r="C44" s="107" t="n">
        <f>COUNTIFS(Before!$H$4:$H$1003,"RTDR",Before!$I$4:$I$1003,"NBR")+COUNTIFS(Before!$H$4:$H$1003,"RTDR",Before!$J$4:$J$1003,"NBR")</f>
        <v>0</v>
      </c>
      <c r="D44" s="107" t="n">
        <f>COUNTIFS(After!$H$4:$H$1003,"RTDR",After!$I$4:$I$1003,"NBR")+COUNTIFS(After!$H$4:$H$1003,"RTDR",After!$J$4:$J$1003,"NBR")</f>
        <v>0</v>
      </c>
      <c r="F44" s="623" t="s">
        <v>1146</v>
      </c>
      <c r="I44" s="107" t="n">
        <f>SUMPRODUCT((Before!$M$4:$M$1003="Y")*(((Before!$K$4:$K$1003="V1")*(LEFT(Before!$I$4:$I$1003,2)="EB"))+((Before!$K$4:$K$1003="V2")*(LEFT(Before!$J$4:$J$1003,2)="EB"))))</f>
        <v>0</v>
      </c>
      <c r="J44" s="107" t="n">
        <f>SUMPRODUCT((After!$M$4:$M$1003="Y")*(((After!$K$4:$K$1003="V1")*(LEFT(After!$I$4:$I$1003,2)="EB"))+((After!$K$4:$K$1003="V2")*(LEFT(After!$J$4:$J$1003,2)="EB"))))</f>
        <v>0</v>
      </c>
      <c r="L44" s="623" t="s">
        <v>1176</v>
      </c>
      <c r="S44" t="s">
        <v>1177</v>
      </c>
    </row>
    <row r="45" spans="2:19">
      <c r="C45" s="107" t="n">
        <f>COUNTIFS(Before!$H$4:$H$1003,"RTDR",Before!$I$4:$I$1003,"SBR")+COUNTIFS(Before!$H$4:$H$1003,"RTDR",Before!$J$4:$J$1003,"SBR")</f>
        <v>1</v>
      </c>
      <c r="D45" s="107" t="n">
        <f>COUNTIFS(After!$H$4:$H$1003,"RTDR",After!$I$4:$I$1003,"SBR")+COUNTIFS(After!$H$4:$H$1003,"RTDR",After!$J$4:$J$1003,"SBR")</f>
        <v>0</v>
      </c>
      <c r="F45" s="623" t="s">
        <v>1148</v>
      </c>
      <c r="I45" s="107" t="n">
        <f>SUMPRODUCT((Before!$M$4:$M$1003="Y")*(((Before!$K$4:$K$1003="V1")*(LEFT(Before!$I$4:$I$1003,2)="WB"))+((Before!$K$4:$K$1003="V2")*(LEFT(Before!$J$4:$J$1003,2)="WB"))))</f>
        <v>0</v>
      </c>
      <c r="J45" s="107" t="n">
        <f>SUMPRODUCT((After!$M$4:$M$1003="Y")*(((After!$K$4:$K$1003="V1")*(LEFT(After!$I$4:$I$1003,2)="WB"))+((After!$K$4:$K$1003="V2")*(LEFT(After!$J$4:$J$1003,2)="WB"))))</f>
        <v>0</v>
      </c>
      <c r="L45" s="623" t="s">
        <v>1178</v>
      </c>
      <c r="S45" t="s">
        <v>1179</v>
      </c>
    </row>
    <row r="46" spans="2:19">
      <c r="C46" s="107" t="n">
        <f>COUNTIFS(Before!$H$4:$H$1003,"RTDR",Before!$I$4:$I$1003,"EBR")+COUNTIFS(Before!$H$4:$H$1003,"RTDR",Before!$J$4:$J$1003,"EBR")</f>
        <v>0</v>
      </c>
      <c r="D46" s="107" t="n">
        <f>COUNTIFS(After!$H$4:$H$1003,"RTDR",After!$I$4:$I$1003,"EBR")+COUNTIFS(After!$H$4:$H$1003,"RTDR",After!$J$4:$J$1003,"EBR")</f>
        <v>0</v>
      </c>
      <c r="F46" s="623" t="s">
        <v>1150</v>
      </c>
      <c r="I46" s="107" t="n">
        <f>I47-SUM(I42:I45)</f>
        <v>0</v>
      </c>
      <c r="J46" s="107" t="n">
        <f>J47-SUM(J42:J45)</f>
        <v>0</v>
      </c>
      <c r="L46" s="623" t="s">
        <v>1180</v>
      </c>
      <c r="S46" t="s">
        <v>1181</v>
      </c>
    </row>
    <row r="47" spans="2:19">
      <c r="C47" s="107" t="n">
        <f>COUNTIFS(Before!$H$4:$H$1003,"RTDR",Before!$I$4:$I$1003,"WBR")+COUNTIFS(Before!$H$4:$H$1003,"RTDR",Before!$J$4:$J$1003,"WBR")</f>
        <v>0</v>
      </c>
      <c r="D47" s="107" t="n">
        <f>COUNTIFS(After!$H$4:$H$1003,"RTDR",After!$I$4:$I$1003,"WBR")+COUNTIFS(After!$H$4:$H$1003,"RTDR",After!$J$4:$J$1003,"WBR")</f>
        <v>1</v>
      </c>
      <c r="F47" s="623" t="s">
        <v>1152</v>
      </c>
      <c r="I47" s="107" t="n">
        <f>COUNTIF(Before!$M$4:$M$1003,"Y")</f>
        <v>0</v>
      </c>
      <c r="J47" s="107" t="n">
        <f>COUNTIF(After!$M$4:$M$1003,"Y")</f>
        <v>0</v>
      </c>
      <c r="L47" s="623" t="s">
        <v>1182</v>
      </c>
      <c r="S47" t="s">
        <v>1183</v>
      </c>
    </row>
    <row r="48" spans="2:19">
      <c r="C48" s="107" t="n">
        <f>C49-SUM(C44:C47)</f>
        <v>0</v>
      </c>
      <c r="D48" s="107" t="n">
        <f>D49-SUM(D44:D47)</f>
        <v>0</v>
      </c>
      <c r="F48" s="623" t="s">
        <v>1154</v>
      </c>
      <c r="S48" t="s">
        <v>1184</v>
      </c>
    </row>
    <row r="49" spans="2:19">
      <c r="C49" s="107" t="n">
        <f>COUNTIF(Before!$H$4:$H$1003,"RTDR")</f>
        <v>1</v>
      </c>
      <c r="D49" s="107" t="n">
        <f>COUNTIF(After!$H$4:$H$1003,"RTDR")</f>
        <v>1</v>
      </c>
      <c r="F49" s="623" t="s">
        <v>1155</v>
      </c>
      <c r="I49" s="5" t="s">
        <v>16</v>
      </c>
      <c r="J49" s="5" t="s">
        <v>17</v>
      </c>
      <c r="S49" t="s">
        <v>1185</v>
      </c>
    </row>
    <row r="50" spans="2:19">
      <c r="I50" s="107" t="n">
        <f>SUMPRODUCT((Before!$N$4:$N$1003="Y")*(((Before!$K$4:$K$1003="V1")*(LEFT(Before!$I$4:$I$1003,2)="NB"))+((Before!$K$4:$K$1003="V2")*(LEFT(Before!$J$4:$J$1003,2)="NB"))))</f>
        <v>0</v>
      </c>
      <c r="J50" s="107" t="n">
        <f>SUMPRODUCT((After!$N$4:$N$1003="Y")*(((After!$K$4:$K$1003="V1")*(LEFT(After!$I$4:$I$1003,2)="NB"))+((After!$K$4:$K$1003="V2")*(LEFT(After!$J$4:$J$1003,2)="NB"))))</f>
        <v>0</v>
      </c>
      <c r="L50" s="623" t="s">
        <v>1186</v>
      </c>
      <c r="S50" t="s">
        <v>1187</v>
      </c>
    </row>
    <row r="51" spans="2:19">
      <c r="B51" s="622" t="s">
        <v>722</v>
      </c>
      <c r="C51" s="5" t="s">
        <v>16</v>
      </c>
      <c r="D51" s="5" t="s">
        <v>17</v>
      </c>
      <c r="I51" s="107" t="n">
        <f>SUMPRODUCT((Before!$N$4:$N$1003="Y")*(((Before!$K$4:$K$1003="V1")*(LEFT(Before!$I$4:$I$1003,2)="SB"))+((Before!$K$4:$K$1003="V2")*(LEFT(Before!$J$4:$J$1003,2)="SB"))))</f>
        <v>0</v>
      </c>
      <c r="J51" s="107" t="n">
        <f>SUMPRODUCT((After!$N$4:$N$1003="Y")*(((After!$K$4:$K$1003="V1")*(LEFT(After!$I$4:$I$1003,2)="SB"))+((After!$K$4:$K$1003="V2")*(LEFT(After!$J$4:$J$1003,2)="SB"))))</f>
        <v>0</v>
      </c>
      <c r="L51" s="623" t="s">
        <v>1188</v>
      </c>
      <c r="S51" t="s">
        <v>1189</v>
      </c>
    </row>
    <row r="52" spans="2:19">
      <c r="C52" s="107" t="n">
        <f>COUNTIFS(Before!$H$4:$H$1003,"HeadOn",Before!$I$4:$I$1003,"NB*")</f>
        <v>0</v>
      </c>
      <c r="D52" s="107" t="n">
        <f>COUNTIFS(After!$H$4:$H$1003,"HeadOn",After!$I$4:$I$1003,"NB*")</f>
        <v>0</v>
      </c>
      <c r="F52" s="623" t="s">
        <v>1156</v>
      </c>
      <c r="I52" s="107" t="n">
        <f>SUMPRODUCT((Before!$N$4:$N$1003="Y")*(((Before!$K$4:$K$1003="V1")*(LEFT(Before!$I$4:$I$1003,2)="EB"))+((Before!$K$4:$K$1003="V2")*(LEFT(Before!$J$4:$J$1003,2)="EB"))))</f>
        <v>0</v>
      </c>
      <c r="J52" s="107" t="n">
        <f>SUMPRODUCT((After!$N$4:$N$1003="Y")*(((After!$K$4:$K$1003="V1")*(LEFT(After!$I$4:$I$1003,2)="EB"))+((After!$K$4:$K$1003="V2")*(LEFT(After!$J$4:$J$1003,2)="EB"))))</f>
        <v>0</v>
      </c>
      <c r="L52" s="623" t="s">
        <v>1190</v>
      </c>
      <c r="S52" t="s">
        <v>1191</v>
      </c>
    </row>
    <row r="53" spans="2:19">
      <c r="C53" s="107" t="n">
        <f>COUNTIFS(Before!$H$4:$H$1003,"HeadOn",Before!$I$4:$I$1003,"SB*")</f>
        <v>0</v>
      </c>
      <c r="D53" s="107" t="n">
        <f>COUNTIFS(After!$H$4:$H$1003,"HeadOn",After!$I$4:$I$1003,"SB*")</f>
        <v>0</v>
      </c>
      <c r="F53" s="623" t="s">
        <v>1157</v>
      </c>
      <c r="I53" s="107" t="n">
        <f>SUMPRODUCT((Before!$N$4:$N$1003="Y")*(((Before!$K$4:$K$1003="V1")*(LEFT(Before!$I$4:$I$1003,2)="WB"))+((Before!$K$4:$K$1003="V2")*(LEFT(Before!$J$4:$J$1003,2)="WB"))))</f>
        <v>0</v>
      </c>
      <c r="J53" s="107" t="n">
        <f>SUMPRODUCT((After!$N$4:$N$1003="Y")*(((After!$K$4:$K$1003="V1")*(LEFT(After!$I$4:$I$1003,2)="WB"))+((After!$K$4:$K$1003="V2")*(LEFT(After!$J$4:$J$1003,2)="WB"))))</f>
        <v>0</v>
      </c>
      <c r="L53" s="623" t="s">
        <v>1192</v>
      </c>
      <c r="S53" t="s">
        <v>1193</v>
      </c>
    </row>
    <row r="54" spans="2:19">
      <c r="C54" s="107" t="n">
        <f>COUNTIFS(Before!$H$4:$H$1003,"HeadOn",Before!$I$4:$I$1003,"EB*")</f>
        <v>0</v>
      </c>
      <c r="D54" s="107" t="n">
        <f>COUNTIFS(After!$H$4:$H$1003,"HeadOn",After!$I$4:$I$1003,"EB*")</f>
        <v>0</v>
      </c>
      <c r="F54" s="623" t="s">
        <v>1159</v>
      </c>
      <c r="I54" s="107" t="n">
        <f>I55-SUM(I50:I53)</f>
        <v>0</v>
      </c>
      <c r="J54" s="107" t="n">
        <f>J55-SUM(J50:J53)</f>
        <v>0</v>
      </c>
      <c r="L54" s="623" t="s">
        <v>1194</v>
      </c>
      <c r="S54" t="s">
        <v>1195</v>
      </c>
    </row>
    <row r="55" spans="2:19">
      <c r="C55" s="107" t="n">
        <f>COUNTIFS(Before!$H$4:$H$1003,"HeadOn",Before!$I$4:$I$1003,"WB*")</f>
        <v>0</v>
      </c>
      <c r="D55" s="107" t="n">
        <f>COUNTIFS(After!$H$4:$H$1003,"HeadOn",After!$I$4:$I$1003,"WB*")</f>
        <v>0</v>
      </c>
      <c r="F55" s="623" t="s">
        <v>1161</v>
      </c>
      <c r="I55" s="107" t="n">
        <f>COUNTIF(Before!$N$4:$N$1003,"Y")</f>
        <v>0</v>
      </c>
      <c r="J55" s="107" t="n">
        <f>COUNTIF(After!$N$4:$N$1003,"Y")</f>
        <v>0</v>
      </c>
      <c r="L55" s="623" t="s">
        <v>1196</v>
      </c>
      <c r="S55" t="s">
        <v>1197</v>
      </c>
    </row>
    <row r="56" spans="2:19">
      <c r="C56" s="107" t="n">
        <f>C57-SUM(C52:C55)</f>
        <v>0</v>
      </c>
      <c r="D56" s="107" t="n">
        <f>D57-SUM(D52:D55)</f>
        <v>0</v>
      </c>
      <c r="F56" s="623" t="s">
        <v>1163</v>
      </c>
      <c r="S56" t="s">
        <v>1198</v>
      </c>
    </row>
    <row r="57" spans="2:19">
      <c r="C57" s="107" t="n">
        <f>COUNTIF(Before!$H$4:$H$1003,"HeadOn")</f>
        <v>0</v>
      </c>
      <c r="D57" s="107" t="n">
        <f>COUNTIF(After!$H$4:$H$1003,"HeadOn")</f>
        <v>0</v>
      </c>
      <c r="F57" s="623" t="s">
        <v>1165</v>
      </c>
      <c r="I57" s="5" t="s">
        <v>16</v>
      </c>
      <c r="J57" s="5" t="s">
        <v>17</v>
      </c>
      <c r="S57" t="s">
        <v>1199</v>
      </c>
    </row>
    <row r="58" spans="2:19">
      <c r="I58" s="107" t="n">
        <f>SUMPRODUCT(((((Before!$L$4:$L$1003="Y")+(Before!$M$4:$M$1003="Y")+(Before!$N$4:$N$1003="Y"))&gt;0)*1)*(((Before!$K$4:$K$1003="V1")*(LEFT(Before!$I$4:$I$1003,2)="NB"))+((Before!$K$4:$K$1003="V2")*(LEFT(Before!$J$4:$J$1003,2)="NB"))))</f>
        <v>0</v>
      </c>
      <c r="J58" s="107" t="n">
        <f>SUMPRODUCT(((((After!$L$4:$L$1003="Y")+(After!$M$4:$M$1003="Y")+(After!$N$4:$N$1003="Y"))&gt;0)*1)*(((After!$K$4:$K$1003="V1")*(LEFT(After!$I$4:$I$1003,2)="NB"))+((After!$K$4:$K$1003="V2")*(LEFT(After!$J$4:$J$1003,2)="NB"))))</f>
        <v>0</v>
      </c>
      <c r="L58" s="623" t="s">
        <v>1200</v>
      </c>
      <c r="S58" t="s">
        <v>1201</v>
      </c>
    </row>
    <row r="59" spans="2:19">
      <c r="B59" s="622" t="s">
        <v>721</v>
      </c>
      <c r="C59" s="5" t="s">
        <v>16</v>
      </c>
      <c r="D59" s="5" t="s">
        <v>17</v>
      </c>
      <c r="I59" s="107" t="n">
        <f>SUMPRODUCT(((((Before!$L$4:$L$1003="Y")+(Before!$M$4:$M$1003="Y")+(Before!$N$4:$N$1003="Y"))&gt;0)*1)*(((Before!$K$4:$K$1003="V1")*(LEFT(Before!$I$4:$I$1003,2)="SB"))+((Before!$K$4:$K$1003="V2")*(LEFT(Before!$J$4:$J$1003,2)="SB"))))</f>
        <v>0</v>
      </c>
      <c r="J59" s="107" t="n">
        <f>SUMPRODUCT(((((After!$L$4:$L$1003="Y")+(After!$M$4:$M$1003="Y")+(After!$N$4:$N$1003="Y"))&gt;0)*1)*(((After!$K$4:$K$1003="V1")*(LEFT(After!$I$4:$I$1003,2)="SB"))+((After!$K$4:$K$1003="V2")*(LEFT(After!$J$4:$J$1003,2)="SB"))))</f>
        <v>0</v>
      </c>
      <c r="L59" s="623" t="s">
        <v>1202</v>
      </c>
      <c r="S59" t="s">
        <v>1203</v>
      </c>
    </row>
    <row r="60" spans="2:19">
      <c r="C60" s="107" t="n">
        <f>COUNTIFS(Before!$H$4:$H$1003,"U-Turn",Before!$I$4:$I$1003,"NBU")+COUNTIFS(Before!$H$4:$H$1003,"U-Turn",Before!$J$4:$J$1003,"NBU")</f>
        <v>0</v>
      </c>
      <c r="D60" s="107" t="n">
        <f>COUNTIFS(After!$H$4:$H$1003,"U-Turn",After!$I$4:$I$1003,"NBU")+COUNTIFS(After!$H$4:$H$1003,"U-Turn",After!$J$4:$J$1003,"NBU")</f>
        <v>0</v>
      </c>
      <c r="F60" s="623" t="s">
        <v>1167</v>
      </c>
      <c r="I60" s="107" t="n">
        <f>SUMPRODUCT(((((Before!$L$4:$L$1003="Y")+(Before!$M$4:$M$1003="Y")+(Before!$N$4:$N$1003="Y"))&gt;0)*1)*(((Before!$K$4:$K$1003="V1")*(LEFT(Before!$I$4:$I$1003,2)="EB"))+((Before!$K$4:$K$1003="V2")*(LEFT(Before!$J$4:$J$1003,2)="EB"))))</f>
        <v>2</v>
      </c>
      <c r="J60" s="107" t="n">
        <f>SUMPRODUCT(((((After!$L$4:$L$1003="Y")+(After!$M$4:$M$1003="Y")+(After!$N$4:$N$1003="Y"))&gt;0)*1)*(((After!$K$4:$K$1003="V1")*(LEFT(After!$I$4:$I$1003,2)="EB"))+((After!$K$4:$K$1003="V2")*(LEFT(After!$J$4:$J$1003,2)="EB"))))</f>
        <v>0</v>
      </c>
      <c r="L60" s="623" t="s">
        <v>1204</v>
      </c>
      <c r="S60" t="s">
        <v>1205</v>
      </c>
    </row>
    <row r="61" spans="2:19">
      <c r="C61" s="107" t="n">
        <f>COUNTIFS(Before!$H$4:$H$1003,"U-Turn",Before!$I$4:$I$1003,"SBU")+COUNTIFS(Before!$H$4:$H$1003,"U-Turn",Before!$J$4:$J$1003,"SBU")</f>
        <v>0</v>
      </c>
      <c r="D61" s="107" t="n">
        <f>COUNTIFS(After!$H$4:$H$1003,"U-Turn",After!$I$4:$I$1003,"SBU")+COUNTIFS(After!$H$4:$H$1003,"U-Turn",After!$J$4:$J$1003,"SBU")</f>
        <v>0</v>
      </c>
      <c r="F61" s="623" t="s">
        <v>1169</v>
      </c>
      <c r="I61" s="107" t="n">
        <f>SUMPRODUCT(((((Before!$L$4:$L$1003="Y")+(Before!$M$4:$M$1003="Y")+(Before!$N$4:$N$1003="Y"))&gt;0)*1)*(((Before!$K$4:$K$1003="V1")*(LEFT(Before!$I$4:$I$1003,2)="WB"))+((Before!$K$4:$K$1003="V2")*(LEFT(Before!$J$4:$J$1003,2)="WB"))))</f>
        <v>1</v>
      </c>
      <c r="J61" s="107" t="n">
        <f>SUMPRODUCT(((((After!$L$4:$L$1003="Y")+(After!$M$4:$M$1003="Y")+(After!$N$4:$N$1003="Y"))&gt;0)*1)*(((After!$K$4:$K$1003="V1")*(LEFT(After!$I$4:$I$1003,2)="WB"))+((After!$K$4:$K$1003="V2")*(LEFT(After!$J$4:$J$1003,2)="WB"))))</f>
        <v>2</v>
      </c>
      <c r="L61" s="623" t="s">
        <v>1206</v>
      </c>
      <c r="S61" t="s">
        <v>1207</v>
      </c>
    </row>
    <row r="62" spans="2:19">
      <c r="C62" s="107" t="n">
        <f>COUNTIFS(Before!$H$4:$H$1003,"U-Turn",Before!$I$4:$I$1003,"EBU")+COUNTIFS(Before!$H$4:$H$1003,"U-Turn",Before!$J$4:$J$1003,"EBU")</f>
        <v>0</v>
      </c>
      <c r="D62" s="107" t="n">
        <f>COUNTIFS(After!$H$4:$H$1003,"U-Turn",After!$I$4:$I$1003,"EBU")+COUNTIFS(After!$H$4:$H$1003,"U-Turn",After!$J$4:$J$1003,"EBU")</f>
        <v>0</v>
      </c>
      <c r="F62" s="623" t="s">
        <v>1170</v>
      </c>
      <c r="I62" s="107" t="n">
        <f>I63-SUM(I58:I61)</f>
        <v>0</v>
      </c>
      <c r="J62" s="107" t="n">
        <f>J63-SUM(J58:J61)</f>
        <v>0</v>
      </c>
      <c r="L62" s="623" t="s">
        <v>1208</v>
      </c>
      <c r="S62" t="s">
        <v>1209</v>
      </c>
    </row>
    <row r="63" spans="2:19">
      <c r="C63" s="107" t="n">
        <f>COUNTIFS(Before!$H$4:$H$1003,"U-Turn",Before!$I$4:$I$1003,"WBU")+COUNTIFS(Before!$H$4:$H$1003,"U-Turn",Before!$J$4:$J$1003,"WBU")</f>
        <v>0</v>
      </c>
      <c r="D63" s="107" t="n">
        <f>COUNTIFS(After!$H$4:$H$1003,"U-Turn",After!$I$4:$I$1003,"WBU")+COUNTIFS(After!$H$4:$H$1003,"U-Turn",After!$J$4:$J$1003,"WBU")</f>
        <v>0</v>
      </c>
      <c r="F63" s="623" t="s">
        <v>1171</v>
      </c>
      <c r="I63" s="107" t="n">
        <f>SUMPRODUCT(((((Before!$L$4:$L$1003="Y")+(Before!$M$4:$M$1003="Y")+(Before!$N$4:$N$1003="Y"))&gt;0)*1))</f>
        <v>3</v>
      </c>
      <c r="J63" s="107" t="n">
        <f>SUMPRODUCT(((((After!$L$4:$L$1003="Y")+(After!$M$4:$M$1003="Y")+(After!$N$4:$N$1003="Y"))&gt;0)*1))</f>
        <v>2</v>
      </c>
      <c r="L63" s="623" t="s">
        <v>1210</v>
      </c>
      <c r="S63" t="s">
        <v>1211</v>
      </c>
    </row>
    <row r="64" spans="2:19">
      <c r="C64" s="107" t="n">
        <f>C65-SUM(C60:C63)</f>
        <v>0</v>
      </c>
      <c r="D64" s="107" t="n">
        <f>D65-SUM(D60:D63)</f>
        <v>0</v>
      </c>
      <c r="F64" s="623" t="s">
        <v>1173</v>
      </c>
      <c r="S64" t="s">
        <v>1212</v>
      </c>
    </row>
    <row r="65" spans="2:19">
      <c r="C65" s="107" t="n">
        <f>COUNTIF(Before!$H$4:$H$1003,"U-Turn")</f>
        <v>0</v>
      </c>
      <c r="D65" s="107" t="n">
        <f>COUNTIF(After!$H$4:$H$1003,"U-Turn")</f>
        <v>0</v>
      </c>
      <c r="F65" s="623" t="s">
        <v>1175</v>
      </c>
      <c r="I65" s="5" t="s">
        <v>16</v>
      </c>
      <c r="J65" s="5" t="s">
        <v>17</v>
      </c>
      <c r="S65" t="s">
        <v>1213</v>
      </c>
    </row>
    <row r="66" spans="2:19">
      <c r="I66" s="107" t="n">
        <f>COUNTIFS(Before!$D$4:$D$1003,"&gt;=2",Before!$D$4:$D$1003,"&lt;=3")</f>
        <v>1</v>
      </c>
      <c r="J66" s="107" t="n">
        <f>COUNTIFS(After!$D$4:$D$1003,"&gt;=2",After!$D$4:$D$1003,"&lt;=3")</f>
        <v>0</v>
      </c>
      <c r="L66" s="623" t="s">
        <v>1214</v>
      </c>
      <c r="S66" t="s">
        <v>1215</v>
      </c>
    </row>
    <row r="67" spans="2:19">
      <c r="B67" s="622" t="s">
        <v>312</v>
      </c>
      <c r="C67" s="5" t="s">
        <v>16</v>
      </c>
      <c r="D67" s="5" t="s">
        <v>17</v>
      </c>
      <c r="I67" s="107" t="n">
        <f>COUNTIFS(Before!$F$4:$F$1003,"&gt;=4",Before!$F$4:$F$1003,"&lt;=6")</f>
        <v>1</v>
      </c>
      <c r="J67" s="107" t="n">
        <f>COUNTIFS(After!$F$4:$F$1003,"&gt;=4",After!$F$4:$F$1003,"&lt;=6")</f>
        <v>0</v>
      </c>
      <c r="L67" s="623" t="s">
        <v>789</v>
      </c>
      <c r="S67" t="s">
        <v>1216</v>
      </c>
    </row>
    <row r="68" spans="2:19">
      <c r="C68" s="107" t="n">
        <f>COUNTIFS(Before!$H$4:$H$1003,"RORR",Before!$I$4:$I$1003,"NB*")</f>
        <v>0</v>
      </c>
      <c r="D68" s="107" t="n">
        <f>COUNTIFS(After!$H$4:$H$1003,"RORR",After!$I$4:$I$1003,"NB*")</f>
        <v>0</v>
      </c>
      <c r="F68" s="623" t="s">
        <v>1177</v>
      </c>
      <c r="I68" s="107" t="n">
        <f>COUNTIF(Before!$G$4:$G$1003,"K")+COUNTIF(Before!$G$4:$G$1003,"A")+COUNTIF(Before!$G$4:$G$1003,"B")+COUNTIF(Before!$G$4:$G$1003,"C")</f>
        <v>1</v>
      </c>
      <c r="J68" s="107" t="n">
        <f>COUNTIF(After!$G$4:$G$1003,"K")+COUNTIF(After!$G$4:$G$1003,"A")+COUNTIF(After!$G$4:$G$1003,"B")+COUNTIF(After!$G$4:$G$1003,"C")</f>
        <v>0</v>
      </c>
      <c r="L68" s="623" t="s">
        <v>1217</v>
      </c>
      <c r="S68" t="s">
        <v>1218</v>
      </c>
    </row>
    <row r="69" spans="2:19">
      <c r="C69" s="107" t="n">
        <f>COUNTIFS(Before!$H$4:$H$1003,"RORR",Before!$I$4:$I$1003,"SB*")</f>
        <v>0</v>
      </c>
      <c r="D69" s="107" t="n">
        <f>COUNTIFS(After!$H$4:$H$1003,"RORR",After!$I$4:$I$1003,"SB*")</f>
        <v>0</v>
      </c>
      <c r="F69" s="623" t="s">
        <v>1179</v>
      </c>
      <c r="I69" s="107" t="n">
        <f>COUNTIF(Before!$H$4:$H$1003,"Avoidance*")</f>
        <v>0</v>
      </c>
      <c r="J69" s="107" t="n">
        <f>COUNTIF(After!$H$4:$H$1003,"Avoidance*")</f>
        <v>0</v>
      </c>
      <c r="L69" s="623" t="s">
        <v>1219</v>
      </c>
      <c r="S69" t="s">
        <v>1220</v>
      </c>
    </row>
    <row r="70" spans="2:19">
      <c r="C70" s="107" t="n">
        <f>COUNTIFS(Before!$H$4:$H$1003,"RORR",Before!$I$4:$I$1003,"EB*")</f>
        <v>0</v>
      </c>
      <c r="D70" s="107" t="n">
        <f>COUNTIFS(After!$H$4:$H$1003,"RORR",After!$I$4:$I$1003,"EB*")</f>
        <v>0</v>
      </c>
      <c r="F70" s="623" t="s">
        <v>1181</v>
      </c>
      <c r="I70" s="107" t="n">
        <f>COUNTIF(Before!$K$4:$K$1003,"Unclear")</f>
        <v>0</v>
      </c>
      <c r="J70" s="107" t="n">
        <f>COUNTIF(After!$K$4:$K$1003,"Unclear")</f>
        <v>0</v>
      </c>
      <c r="L70" s="623" t="s">
        <v>1221</v>
      </c>
      <c r="S70" t="s">
        <v>1222</v>
      </c>
    </row>
    <row r="71" spans="2:19">
      <c r="C71" s="107" t="n">
        <f>COUNTIFS(Before!$H$4:$H$1003,"RORR",Before!$I$4:$I$1003,"WB*")</f>
        <v>0</v>
      </c>
      <c r="D71" s="107" t="n">
        <f>COUNTIFS(After!$H$4:$H$1003,"RORR",After!$I$4:$I$1003,"WB*")</f>
        <v>0</v>
      </c>
      <c r="F71" s="623" t="s">
        <v>1183</v>
      </c>
      <c r="S71" t="s">
        <v>1223</v>
      </c>
    </row>
    <row r="72" spans="2:19">
      <c r="C72" s="107" t="n">
        <f>C73-SUM(C68:C71)</f>
        <v>0</v>
      </c>
      <c r="D72" s="107" t="n">
        <f>D73-SUM(D68:D71)</f>
        <v>0</v>
      </c>
      <c r="F72" s="623" t="s">
        <v>1184</v>
      </c>
      <c r="I72" s="5" t="s">
        <v>16</v>
      </c>
      <c r="J72" s="5" t="s">
        <v>17</v>
      </c>
      <c r="L72" s="622" t="s">
        <v>1224</v>
      </c>
      <c r="M72" s="5" t="s">
        <v>1225</v>
      </c>
      <c r="S72" t="s">
        <v>1226</v>
      </c>
    </row>
    <row r="73" spans="2:19">
      <c r="C73" s="107" t="n">
        <f>COUNTIF(Before!$H$4:$H$1003,"RORR")</f>
        <v>0</v>
      </c>
      <c r="D73" s="107" t="n">
        <f>COUNTIF(After!$H$4:$H$1003,"RORR")</f>
        <v>0</v>
      </c>
      <c r="F73" s="623" t="s">
        <v>1185</v>
      </c>
      <c r="I73" s="107" t="n">
        <f>I36+I37</f>
        <v>3</v>
      </c>
      <c r="J73" s="107" t="n">
        <f>J36+J37</f>
        <v>2</v>
      </c>
      <c r="L73" s="106" t="s">
        <v>1227</v>
      </c>
      <c r="M73" t="s">
        <v>1228</v>
      </c>
      <c r="S73" t="s">
        <v>1229</v>
      </c>
    </row>
    <row r="74" spans="2:19">
      <c r="I74" s="107" t="n">
        <f>I34+I35</f>
        <v>0</v>
      </c>
      <c r="J74" s="107" t="n">
        <f>J34+J35</f>
        <v>0</v>
      </c>
      <c r="L74" s="106" t="s">
        <v>1230</v>
      </c>
      <c r="M74" t="s">
        <v>1231</v>
      </c>
      <c r="S74" t="s">
        <v>1232</v>
      </c>
    </row>
    <row r="75" spans="2:19">
      <c r="B75" s="622" t="s">
        <v>313</v>
      </c>
      <c r="C75" s="5" t="s">
        <v>16</v>
      </c>
      <c r="D75" s="5" t="s">
        <v>17</v>
      </c>
      <c r="I75" s="107" t="n">
        <f>SUMPRODUCT(COUNTIF(Before!$A$4:$A$1003,{105532814,106594525,106899135,107982237}))</f>
        <v>2</v>
      </c>
      <c r="J75" s="107" t="n">
        <f>SUMPRODUCT(COUNTIF(After!$A$4:$A$1003,{105532814,106594525,106899135,107982237}))</f>
        <v>2</v>
      </c>
      <c r="L75" s="106" t="s">
        <v>1233</v>
      </c>
      <c r="M75" t="s">
        <v>1234</v>
      </c>
      <c r="S75" t="s">
        <v>1235</v>
      </c>
    </row>
    <row r="76" spans="2:19">
      <c r="C76" s="107" t="n">
        <f>COUNTIFS(Before!$H$4:$H$1003,"RORL",Before!$I$4:$I$1003,"NB*")</f>
        <v>0</v>
      </c>
      <c r="D76" s="107" t="n">
        <f>COUNTIFS(After!$H$4:$H$1003,"RORL",After!$I$4:$I$1003,"NB*")</f>
        <v>0</v>
      </c>
      <c r="F76" s="623" t="s">
        <v>1187</v>
      </c>
      <c r="I76" s="107" t="n">
        <f>SUMPRODUCT(COUNTIF(Before!$A$4:$A$1003,{105329673}))</f>
        <v>1</v>
      </c>
      <c r="J76" s="107" t="n">
        <f>SUMPRODUCT(COUNTIF(After!$A$4:$A$1003,{105329673}))</f>
        <v>0</v>
      </c>
      <c r="L76" s="106" t="s">
        <v>1236</v>
      </c>
      <c r="M76" t="s">
        <v>1237</v>
      </c>
      <c r="S76" t="s">
        <v>1238</v>
      </c>
    </row>
    <row r="77" spans="2:19">
      <c r="C77" s="107" t="n">
        <f>COUNTIFS(Before!$H$4:$H$1003,"RORL",Before!$I$4:$I$1003,"SB*")</f>
        <v>0</v>
      </c>
      <c r="D77" s="107" t="n">
        <f>COUNTIFS(After!$H$4:$H$1003,"RORL",After!$I$4:$I$1003,"SB*")</f>
        <v>0</v>
      </c>
      <c r="F77" s="623" t="s">
        <v>1189</v>
      </c>
      <c r="I77" s="107" t="n">
        <f>C121</f>
        <v>1</v>
      </c>
      <c r="J77" s="107" t="n">
        <f>D121</f>
        <v>0</v>
      </c>
      <c r="L77" s="106" t="s">
        <v>1239</v>
      </c>
      <c r="M77" t="s">
        <v>790</v>
      </c>
      <c r="S77" t="s">
        <v>1240</v>
      </c>
    </row>
    <row r="78" spans="2:19">
      <c r="C78" s="107" t="n">
        <f>COUNTIFS(Before!$H$4:$H$1003,"RORL",Before!$I$4:$I$1003,"EB*")</f>
        <v>0</v>
      </c>
      <c r="D78" s="107" t="n">
        <f>COUNTIFS(After!$H$4:$H$1003,"RORL",After!$I$4:$I$1003,"EB*")</f>
        <v>0</v>
      </c>
      <c r="F78" s="623" t="s">
        <v>1191</v>
      </c>
      <c r="I78" s="107" t="n">
        <f>SUMPRODUCT(COUNTIF(Before!$A$4:$A$1003,{105172416,105273794,106412908}))</f>
        <v>3</v>
      </c>
      <c r="J78" s="107" t="n">
        <f>SUMPRODUCT(COUNTIF(After!$A$4:$A$1003,{105172416,105273794,106412908}))</f>
        <v>0</v>
      </c>
      <c r="L78" s="106" t="s">
        <v>1241</v>
      </c>
      <c r="M78" t="s">
        <v>1242</v>
      </c>
      <c r="S78" t="s">
        <v>1243</v>
      </c>
    </row>
    <row r="79" spans="2:19">
      <c r="C79" s="107" t="n">
        <f>COUNTIFS(Before!$H$4:$H$1003,"RORL",Before!$I$4:$I$1003,"WB*")</f>
        <v>0</v>
      </c>
      <c r="D79" s="107" t="n">
        <f>COUNTIFS(After!$H$4:$H$1003,"RORL",After!$I$4:$I$1003,"WB*")</f>
        <v>0</v>
      </c>
      <c r="F79" s="623" t="s">
        <v>1193</v>
      </c>
      <c r="S79" t="s">
        <v>1244</v>
      </c>
    </row>
    <row r="80" spans="2:19">
      <c r="C80" s="107" t="n">
        <f>C81-SUM(C76:C79)</f>
        <v>0</v>
      </c>
      <c r="D80" s="107" t="n">
        <f>D81-SUM(D76:D79)</f>
        <v>0</v>
      </c>
      <c r="F80" s="623" t="s">
        <v>1195</v>
      </c>
      <c r="S80" t="s">
        <v>1245</v>
      </c>
    </row>
    <row r="81" spans="2:19">
      <c r="C81" s="107" t="n">
        <f>COUNTIF(Before!$H$4:$H$1003,"RORL")</f>
        <v>0</v>
      </c>
      <c r="D81" s="107" t="n">
        <f>COUNTIF(After!$H$4:$H$1003,"RORL")</f>
        <v>0</v>
      </c>
      <c r="F81" s="623" t="s">
        <v>1197</v>
      </c>
      <c r="S81" t="s">
        <v>1246</v>
      </c>
    </row>
    <row r="82" spans="2:19">
      <c r="S82" t="s">
        <v>1247</v>
      </c>
    </row>
    <row r="83" spans="2:19">
      <c r="B83" s="622" t="s">
        <v>315</v>
      </c>
      <c r="C83" s="5" t="s">
        <v>16</v>
      </c>
      <c r="D83" s="5" t="s">
        <v>17</v>
      </c>
      <c r="S83" t="s">
        <v>1248</v>
      </c>
    </row>
    <row r="84" spans="2:19">
      <c r="C84" s="107" t="n">
        <f>COUNTIFS(Before!$H$4:$H$1003,"RORS",Before!$I$4:$I$1003,"NB*")</f>
        <v>0</v>
      </c>
      <c r="D84" s="107" t="n">
        <f>COUNTIFS(After!$H$4:$H$1003,"RORS",After!$I$4:$I$1003,"NB*")</f>
        <v>0</v>
      </c>
      <c r="F84" s="623" t="s">
        <v>1198</v>
      </c>
      <c r="S84" t="s">
        <v>1249</v>
      </c>
    </row>
    <row r="85" spans="2:19">
      <c r="C85" s="107" t="n">
        <f>COUNTIFS(Before!$H$4:$H$1003,"RORS",Before!$I$4:$I$1003,"SB*")</f>
        <v>0</v>
      </c>
      <c r="D85" s="107" t="n">
        <f>COUNTIFS(After!$H$4:$H$1003,"RORS",After!$I$4:$I$1003,"SB*")</f>
        <v>0</v>
      </c>
      <c r="F85" s="623" t="s">
        <v>1199</v>
      </c>
      <c r="S85" t="s">
        <v>790</v>
      </c>
    </row>
    <row r="86" spans="2:19">
      <c r="C86" s="107" t="n">
        <f>COUNTIFS(Before!$H$4:$H$1003,"RORS",Before!$I$4:$I$1003,"EB*")</f>
        <v>0</v>
      </c>
      <c r="D86" s="107" t="n">
        <f>COUNTIFS(After!$H$4:$H$1003,"RORS",After!$I$4:$I$1003,"EB*")</f>
        <v>0</v>
      </c>
      <c r="F86" s="623" t="s">
        <v>1201</v>
      </c>
      <c r="S86" t="s">
        <v>1250</v>
      </c>
    </row>
    <row r="87" spans="2:19">
      <c r="C87" s="107" t="n">
        <f>COUNTIFS(Before!$H$4:$H$1003,"RORS",Before!$I$4:$I$1003,"WB*")</f>
        <v>0</v>
      </c>
      <c r="D87" s="107" t="n">
        <f>COUNTIFS(After!$H$4:$H$1003,"RORS",After!$I$4:$I$1003,"WB*")</f>
        <v>0</v>
      </c>
      <c r="F87" s="623" t="s">
        <v>1203</v>
      </c>
      <c r="S87" t="s">
        <v>1251</v>
      </c>
    </row>
    <row r="88" spans="2:19">
      <c r="C88" s="107" t="n">
        <f>C89-SUM(C84:C87)</f>
        <v>0</v>
      </c>
      <c r="D88" s="107" t="n">
        <f>D89-SUM(D84:D87)</f>
        <v>0</v>
      </c>
      <c r="F88" s="623" t="s">
        <v>1205</v>
      </c>
      <c r="S88" t="s">
        <v>1252</v>
      </c>
    </row>
    <row r="89" spans="2:19">
      <c r="C89" s="107" t="n">
        <f>COUNTIF(Before!$H$4:$H$1003,"RORS")</f>
        <v>0</v>
      </c>
      <c r="D89" s="107" t="n">
        <f>COUNTIF(After!$H$4:$H$1003,"RORS")</f>
        <v>0</v>
      </c>
      <c r="F89" s="623" t="s">
        <v>1207</v>
      </c>
      <c r="S89" t="s">
        <v>1253</v>
      </c>
    </row>
    <row r="90" spans="2:19">
      <c r="S90" t="s">
        <v>1120</v>
      </c>
    </row>
    <row r="91" spans="2:19">
      <c r="B91" s="622" t="s">
        <v>314</v>
      </c>
      <c r="C91" s="5" t="s">
        <v>16</v>
      </c>
      <c r="D91" s="5" t="s">
        <v>17</v>
      </c>
      <c r="S91" t="s">
        <v>1123</v>
      </c>
    </row>
    <row r="92" spans="2:19">
      <c r="C92" s="107" t="n">
        <f>SUMPRODUCT((Before!$H$4:$H$1003="SSSD")*(((Before!$K$4:$K$1003="V1")*(LEFT(Before!$I$4:$I$1003,2)="NB"))+((Before!$K$4:$K$1003="V2")*(LEFT(Before!$J$4:$J$1003,2)="NB"))))</f>
        <v>0</v>
      </c>
      <c r="D92" s="107" t="n">
        <f>SUMPRODUCT((After!$H$4:$H$1003="SSSD")*(((After!$K$4:$K$1003="V1")*(LEFT(After!$I$4:$I$1003,2)="NB"))+((After!$K$4:$K$1003="V2")*(LEFT(After!$J$4:$J$1003,2)="NB"))))</f>
        <v>0</v>
      </c>
      <c r="F92" s="623" t="s">
        <v>1209</v>
      </c>
      <c r="S92" t="s">
        <v>1126</v>
      </c>
    </row>
    <row r="93" spans="2:19">
      <c r="C93" s="107" t="n">
        <f>SUMPRODUCT((Before!$H$4:$H$1003="SSSD")*(((Before!$K$4:$K$1003="V1")*(LEFT(Before!$I$4:$I$1003,2)="SB"))+((Before!$K$4:$K$1003="V2")*(LEFT(Before!$J$4:$J$1003,2)="SB"))))</f>
        <v>0</v>
      </c>
      <c r="D93" s="107" t="n">
        <f>SUMPRODUCT((After!$H$4:$H$1003="SSSD")*(((After!$K$4:$K$1003="V1")*(LEFT(After!$I$4:$I$1003,2)="SB"))+((After!$K$4:$K$1003="V2")*(LEFT(After!$J$4:$J$1003,2)="SB"))))</f>
        <v>1</v>
      </c>
      <c r="F93" s="623" t="s">
        <v>1211</v>
      </c>
      <c r="S93" t="s">
        <v>1128</v>
      </c>
    </row>
    <row r="94" spans="2:19">
      <c r="C94" s="107" t="n">
        <f>SUMPRODUCT((Before!$H$4:$H$1003="SSSD")*(((Before!$K$4:$K$1003="V1")*(LEFT(Before!$I$4:$I$1003,2)="EB"))+((Before!$K$4:$K$1003="V2")*(LEFT(Before!$J$4:$J$1003,2)="EB"))))</f>
        <v>0</v>
      </c>
      <c r="D94" s="107" t="n">
        <f>SUMPRODUCT((After!$H$4:$H$1003="SSSD")*(((After!$K$4:$K$1003="V1")*(LEFT(After!$I$4:$I$1003,2)="EB"))+((After!$K$4:$K$1003="V2")*(LEFT(After!$J$4:$J$1003,2)="EB"))))</f>
        <v>0</v>
      </c>
      <c r="F94" s="623" t="s">
        <v>1212</v>
      </c>
      <c r="S94" t="s">
        <v>1130</v>
      </c>
    </row>
    <row r="95" spans="2:19">
      <c r="C95" s="107" t="n">
        <f>SUMPRODUCT((Before!$H$4:$H$1003="SSSD")*(((Before!$K$4:$K$1003="V1")*(LEFT(Before!$I$4:$I$1003,2)="WB"))+((Before!$K$4:$K$1003="V2")*(LEFT(Before!$J$4:$J$1003,2)="WB"))))</f>
        <v>0</v>
      </c>
      <c r="D95" s="107" t="n">
        <f>SUMPRODUCT((After!$H$4:$H$1003="SSSD")*(((After!$K$4:$K$1003="V1")*(LEFT(After!$I$4:$I$1003,2)="WB"))+((After!$K$4:$K$1003="V2")*(LEFT(After!$J$4:$J$1003,2)="WB"))))</f>
        <v>0</v>
      </c>
      <c r="F95" s="623" t="s">
        <v>1213</v>
      </c>
      <c r="S95" t="s">
        <v>1133</v>
      </c>
    </row>
    <row r="96" spans="2:19">
      <c r="C96" s="107" t="n">
        <f>C97-SUM(C92:C95)</f>
        <v>0</v>
      </c>
      <c r="D96" s="107" t="n">
        <f>D97-SUM(D92:D95)</f>
        <v>0</v>
      </c>
      <c r="F96" s="623" t="s">
        <v>1215</v>
      </c>
      <c r="S96" t="s">
        <v>785</v>
      </c>
    </row>
    <row r="97" spans="2:19">
      <c r="C97" s="107" t="n">
        <f>COUNTIF(Before!$H$4:$H$1003,"SSSD")</f>
        <v>0</v>
      </c>
      <c r="D97" s="107" t="n">
        <f>COUNTIF(After!$H$4:$H$1003,"SSSD")</f>
        <v>1</v>
      </c>
      <c r="F97" s="623" t="s">
        <v>1216</v>
      </c>
      <c r="S97" t="s">
        <v>786</v>
      </c>
    </row>
    <row r="98" spans="2:19">
      <c r="S98" t="s">
        <v>1139</v>
      </c>
    </row>
    <row r="99" spans="2:19">
      <c r="B99" s="622" t="s">
        <v>733</v>
      </c>
      <c r="C99" s="5" t="s">
        <v>16</v>
      </c>
      <c r="D99" s="5" t="s">
        <v>17</v>
      </c>
      <c r="S99" t="s">
        <v>1141</v>
      </c>
    </row>
    <row r="100" spans="2:19">
      <c r="C100" s="107" t="n">
        <f>SUMPRODUCT((Before!$H$4:$H$1003="SSDD")*(((Before!$K$4:$K$1003="V1")*(LEFT(Before!$I$4:$I$1003,2)="NB"))+((Before!$K$4:$K$1003="V2")*(LEFT(Before!$J$4:$J$1003,2)="NB"))))</f>
        <v>0</v>
      </c>
      <c r="D100" s="107" t="n">
        <f>SUMPRODUCT((After!$H$4:$H$1003="SSDD")*(((After!$K$4:$K$1003="V1")*(LEFT(After!$I$4:$I$1003,2)="NB"))+((After!$K$4:$K$1003="V2")*(LEFT(After!$J$4:$J$1003,2)="NB"))))</f>
        <v>0</v>
      </c>
      <c r="F100" s="623" t="s">
        <v>1218</v>
      </c>
      <c r="S100" t="s">
        <v>1145</v>
      </c>
    </row>
    <row r="101" spans="2:19">
      <c r="C101" s="107" t="n">
        <f>SUMPRODUCT((Before!$H$4:$H$1003="SSDD")*(((Before!$K$4:$K$1003="V1")*(LEFT(Before!$I$4:$I$1003,2)="SB"))+((Before!$K$4:$K$1003="V2")*(LEFT(Before!$J$4:$J$1003,2)="SB"))))</f>
        <v>0</v>
      </c>
      <c r="D101" s="107" t="n">
        <f>SUMPRODUCT((After!$H$4:$H$1003="SSDD")*(((After!$K$4:$K$1003="V1")*(LEFT(After!$I$4:$I$1003,2)="SB"))+((After!$K$4:$K$1003="V2")*(LEFT(After!$J$4:$J$1003,2)="SB"))))</f>
        <v>0</v>
      </c>
      <c r="F101" s="623" t="s">
        <v>1220</v>
      </c>
      <c r="S101" t="s">
        <v>1147</v>
      </c>
    </row>
    <row r="102" spans="2:19">
      <c r="C102" s="107" t="n">
        <f>SUMPRODUCT((Before!$H$4:$H$1003="SSDD")*(((Before!$K$4:$K$1003="V1")*(LEFT(Before!$I$4:$I$1003,2)="EB"))+((Before!$K$4:$K$1003="V2")*(LEFT(Before!$J$4:$J$1003,2)="EB"))))</f>
        <v>0</v>
      </c>
      <c r="D102" s="107" t="n">
        <f>SUMPRODUCT((After!$H$4:$H$1003="SSDD")*(((After!$K$4:$K$1003="V1")*(LEFT(After!$I$4:$I$1003,2)="EB"))+((After!$K$4:$K$1003="V2")*(LEFT(After!$J$4:$J$1003,2)="EB"))))</f>
        <v>0</v>
      </c>
      <c r="F102" s="623" t="s">
        <v>1222</v>
      </c>
      <c r="S102" t="s">
        <v>1149</v>
      </c>
    </row>
    <row r="103" spans="2:19">
      <c r="C103" s="107" t="n">
        <f>SUMPRODUCT((Before!$H$4:$H$1003="SSDD")*(((Before!$K$4:$K$1003="V1")*(LEFT(Before!$I$4:$I$1003,2)="WB"))+((Before!$K$4:$K$1003="V2")*(LEFT(Before!$J$4:$J$1003,2)="WB"))))</f>
        <v>0</v>
      </c>
      <c r="D103" s="107" t="n">
        <f>SUMPRODUCT((After!$H$4:$H$1003="SSDD")*(((After!$K$4:$K$1003="V1")*(LEFT(After!$I$4:$I$1003,2)="WB"))+((After!$K$4:$K$1003="V2")*(LEFT(After!$J$4:$J$1003,2)="WB"))))</f>
        <v>0</v>
      </c>
      <c r="F103" s="623" t="s">
        <v>1223</v>
      </c>
      <c r="S103" t="s">
        <v>1151</v>
      </c>
    </row>
    <row r="104" spans="2:19">
      <c r="C104" s="107" t="n">
        <f>C105-SUM(C100:C103)</f>
        <v>0</v>
      </c>
      <c r="D104" s="107" t="n">
        <f>D105-SUM(D100:D103)</f>
        <v>0</v>
      </c>
      <c r="F104" s="623" t="s">
        <v>1226</v>
      </c>
      <c r="S104" t="s">
        <v>1153</v>
      </c>
    </row>
    <row r="105" spans="2:19">
      <c r="C105" s="107" t="n">
        <f>COUNTIF(Before!$H$4:$H$1003,"SSDD")</f>
        <v>0</v>
      </c>
      <c r="D105" s="107" t="n">
        <f>COUNTIF(After!$H$4:$H$1003,"SSDD")</f>
        <v>0</v>
      </c>
      <c r="F105" s="623" t="s">
        <v>1229</v>
      </c>
      <c r="S105" t="s">
        <v>788</v>
      </c>
    </row>
    <row r="106" spans="2:19">
      <c r="S106" t="s">
        <v>1158</v>
      </c>
    </row>
    <row r="107" spans="2:19">
      <c r="B107" s="622" t="s">
        <v>714</v>
      </c>
      <c r="C107" s="5" t="s">
        <v>16</v>
      </c>
      <c r="D107" s="5" t="s">
        <v>17</v>
      </c>
      <c r="S107" t="s">
        <v>1160</v>
      </c>
    </row>
    <row r="108" spans="2:19">
      <c r="C108" s="107" t="n">
        <f>COUNTIFS(Before!$H$4:$H$1003,"Overturn",Before!$I$4:$I$1003,"NB*")</f>
        <v>0</v>
      </c>
      <c r="D108" s="107" t="n">
        <f>COUNTIFS(After!$H$4:$H$1003,"Overturn",After!$I$4:$I$1003,"NB*")</f>
        <v>0</v>
      </c>
      <c r="F108" s="623" t="s">
        <v>1232</v>
      </c>
      <c r="S108" t="s">
        <v>1162</v>
      </c>
    </row>
    <row r="109" spans="2:19">
      <c r="C109" s="107" t="n">
        <f>COUNTIFS(Before!$H$4:$H$1003,"Overturn",Before!$I$4:$I$1003,"SB*")</f>
        <v>0</v>
      </c>
      <c r="D109" s="107" t="n">
        <f>COUNTIFS(After!$H$4:$H$1003,"Overturn",After!$I$4:$I$1003,"SB*")</f>
        <v>0</v>
      </c>
      <c r="F109" s="623" t="s">
        <v>1235</v>
      </c>
      <c r="S109" t="s">
        <v>1164</v>
      </c>
    </row>
    <row r="110" spans="2:19">
      <c r="C110" s="107" t="n">
        <f>COUNTIFS(Before!$H$4:$H$1003,"Overturn",Before!$I$4:$I$1003,"EB*")</f>
        <v>0</v>
      </c>
      <c r="D110" s="107" t="n">
        <f>COUNTIFS(After!$H$4:$H$1003,"Overturn",After!$I$4:$I$1003,"EB*")</f>
        <v>0</v>
      </c>
      <c r="F110" s="623" t="s">
        <v>1238</v>
      </c>
      <c r="S110" t="s">
        <v>1166</v>
      </c>
    </row>
    <row r="111" spans="2:19">
      <c r="C111" s="107" t="n">
        <f>COUNTIFS(Before!$H$4:$H$1003,"Overturn",Before!$I$4:$I$1003,"WB*")</f>
        <v>0</v>
      </c>
      <c r="D111" s="107" t="n">
        <f>COUNTIFS(After!$H$4:$H$1003,"Overturn",After!$I$4:$I$1003,"WB*")</f>
        <v>0</v>
      </c>
      <c r="F111" s="623" t="s">
        <v>1240</v>
      </c>
      <c r="S111" t="s">
        <v>1168</v>
      </c>
    </row>
    <row r="112" spans="2:19">
      <c r="C112" s="107" t="n">
        <f>C113-SUM(C108:C111)</f>
        <v>0</v>
      </c>
      <c r="D112" s="107" t="n">
        <f>D113-SUM(D108:D111)</f>
        <v>0</v>
      </c>
      <c r="F112" s="623" t="s">
        <v>1243</v>
      </c>
      <c r="S112" t="s">
        <v>1172</v>
      </c>
    </row>
    <row r="113" spans="2:19">
      <c r="C113" s="107" t="n">
        <f>COUNTIF(Before!$H$4:$H$1003,"Overturn")</f>
        <v>0</v>
      </c>
      <c r="D113" s="107" t="n">
        <f>COUNTIF(After!$H$4:$H$1003,"Overturn")</f>
        <v>0</v>
      </c>
      <c r="F113" s="623" t="s">
        <v>1244</v>
      </c>
      <c r="S113" t="s">
        <v>1174</v>
      </c>
    </row>
    <row r="114" spans="2:19">
      <c r="S114" t="s">
        <v>1176</v>
      </c>
    </row>
    <row r="115" spans="2:19">
      <c r="B115" s="622" t="s">
        <v>311</v>
      </c>
      <c r="C115" s="5" t="s">
        <v>16</v>
      </c>
      <c r="D115" s="5" t="s">
        <v>17</v>
      </c>
      <c r="S115" t="s">
        <v>1178</v>
      </c>
    </row>
    <row r="116" spans="2:19">
      <c r="C116" s="107" t="n">
        <f>SUMPRODUCT((Before!$H$4:$H$1003="RE")*(((Before!$K$4:$K$1003="V1")*(LEFT(Before!$I$4:$I$1003,2)="NB"))+((Before!$K$4:$K$1003="V2")*(LEFT(Before!$J$4:$J$1003,2)="NB"))))</f>
        <v>0</v>
      </c>
      <c r="D116" s="107" t="n">
        <f>SUMPRODUCT((After!$H$4:$H$1003="RE")*(((After!$K$4:$K$1003="V1")*(LEFT(After!$I$4:$I$1003,2)="NB"))+((After!$K$4:$K$1003="V2")*(LEFT(After!$J$4:$J$1003,2)="NB"))))</f>
        <v>0</v>
      </c>
      <c r="F116" s="623" t="s">
        <v>1245</v>
      </c>
      <c r="S116" t="s">
        <v>1180</v>
      </c>
    </row>
    <row r="117" spans="2:19">
      <c r="C117" s="107" t="n">
        <f>SUMPRODUCT((Before!$H$4:$H$1003="RE")*(((Before!$K$4:$K$1003="V1")*(LEFT(Before!$I$4:$I$1003,2)="SB"))+((Before!$K$4:$K$1003="V2")*(LEFT(Before!$J$4:$J$1003,2)="SB"))))</f>
        <v>0</v>
      </c>
      <c r="D117" s="107" t="n">
        <f>SUMPRODUCT((After!$H$4:$H$1003="RE")*(((After!$K$4:$K$1003="V1")*(LEFT(After!$I$4:$I$1003,2)="SB"))+((After!$K$4:$K$1003="V2")*(LEFT(After!$J$4:$J$1003,2)="SB"))))</f>
        <v>0</v>
      </c>
      <c r="F117" s="623" t="s">
        <v>1246</v>
      </c>
      <c r="S117" t="s">
        <v>1182</v>
      </c>
    </row>
    <row r="118" spans="2:19">
      <c r="C118" s="107" t="n">
        <f>SUMPRODUCT((Before!$H$4:$H$1003="RE")*(((Before!$K$4:$K$1003="V1")*(LEFT(Before!$I$4:$I$1003,2)="EB"))+((Before!$K$4:$K$1003="V2")*(LEFT(Before!$J$4:$J$1003,2)="EB"))))</f>
        <v>0</v>
      </c>
      <c r="D118" s="107" t="n">
        <f>SUMPRODUCT((After!$H$4:$H$1003="RE")*(((After!$K$4:$K$1003="V1")*(LEFT(After!$I$4:$I$1003,2)="EB"))+((After!$K$4:$K$1003="V2")*(LEFT(After!$J$4:$J$1003,2)="EB"))))</f>
        <v>0</v>
      </c>
      <c r="F118" s="623" t="s">
        <v>1247</v>
      </c>
      <c r="S118" t="s">
        <v>1186</v>
      </c>
    </row>
    <row r="119" spans="2:19">
      <c r="C119" s="107" t="n">
        <f>SUMPRODUCT((Before!$H$4:$H$1003="RE")*(((Before!$K$4:$K$1003="V1")*(LEFT(Before!$I$4:$I$1003,2)="WB"))+((Before!$K$4:$K$1003="V2")*(LEFT(Before!$J$4:$J$1003,2)="WB"))))</f>
        <v>1</v>
      </c>
      <c r="D119" s="107" t="n">
        <f>SUMPRODUCT((After!$H$4:$H$1003="RE")*(((After!$K$4:$K$1003="V1")*(LEFT(After!$I$4:$I$1003,2)="WB"))+((After!$K$4:$K$1003="V2")*(LEFT(After!$J$4:$J$1003,2)="WB"))))</f>
        <v>0</v>
      </c>
      <c r="F119" s="623" t="s">
        <v>1248</v>
      </c>
      <c r="S119" t="s">
        <v>1188</v>
      </c>
    </row>
    <row r="120" spans="2:19">
      <c r="C120" s="107" t="n">
        <f>C121-SUM(C116:C119)</f>
        <v>0</v>
      </c>
      <c r="D120" s="107" t="n">
        <f>D121-SUM(D116:D119)</f>
        <v>0</v>
      </c>
      <c r="F120" s="623" t="s">
        <v>1249</v>
      </c>
      <c r="S120" t="s">
        <v>1190</v>
      </c>
    </row>
    <row r="121" spans="2:19">
      <c r="C121" s="107" t="n">
        <f>COUNTIF(Before!$H$4:$H$1003,"RE")</f>
        <v>1</v>
      </c>
      <c r="D121" s="107" t="n">
        <f>COUNTIF(After!$H$4:$H$1003,"RE")</f>
        <v>0</v>
      </c>
      <c r="F121" s="623" t="s">
        <v>790</v>
      </c>
      <c r="S121" t="s">
        <v>1192</v>
      </c>
    </row>
    <row r="122" spans="2:19">
      <c r="S122" t="s">
        <v>1194</v>
      </c>
    </row>
    <row r="123" spans="2:19">
      <c r="C123" s="5" t="s">
        <v>16</v>
      </c>
      <c r="D123" s="5" t="s">
        <v>17</v>
      </c>
      <c r="S123" t="s">
        <v>1196</v>
      </c>
    </row>
    <row r="124" spans="2:19">
      <c r="C124" s="107" t="n">
        <f>COUNTIF(Before!$H$4:$H$1003,"Ped")</f>
        <v>0</v>
      </c>
      <c r="D124" s="107" t="n">
        <f>COUNTIF(After!$H$4:$H$1003,"Ped")</f>
        <v>0</v>
      </c>
      <c r="F124" s="623" t="s">
        <v>1250</v>
      </c>
      <c r="S124" t="s">
        <v>1200</v>
      </c>
    </row>
    <row r="125" spans="2:19">
      <c r="C125" s="107" t="n">
        <f>COUNTIF(Before!$H$4:$H$1003,"Bike")</f>
        <v>0</v>
      </c>
      <c r="D125" s="107" t="n">
        <f>COUNTIF(After!$H$4:$H$1003,"Bike")</f>
        <v>0</v>
      </c>
      <c r="F125" s="623" t="s">
        <v>1251</v>
      </c>
      <c r="S125" t="s">
        <v>1202</v>
      </c>
    </row>
    <row r="126" spans="2:19">
      <c r="C126" s="107" t="n">
        <f>COUNTIF(Before!$H$4:$H$1003,"Animal")</f>
        <v>0</v>
      </c>
      <c r="D126" s="107" t="n">
        <f>COUNTIF(After!$H$4:$H$1003,"Animal")</f>
        <v>0</v>
      </c>
      <c r="F126" s="623" t="s">
        <v>1252</v>
      </c>
      <c r="S126" t="s">
        <v>1204</v>
      </c>
    </row>
    <row r="127" spans="2:19">
      <c r="C127" s="107" t="n">
        <f>COUNTIF(Before!$H$4:$H$1003,"Other")</f>
        <v>3</v>
      </c>
      <c r="D127" s="107" t="n">
        <f>COUNTIF(After!$H$4:$H$1003,"Other")</f>
        <v>0</v>
      </c>
      <c r="F127" s="623" t="s">
        <v>1253</v>
      </c>
      <c r="S127" t="s">
        <v>1206</v>
      </c>
    </row>
    <row r="128" spans="2:19">
      <c r="S128" t="s">
        <v>1208</v>
      </c>
    </row>
    <row r="129" spans="12:19">
      <c r="S129" t="s">
        <v>1210</v>
      </c>
    </row>
    <row r="130" spans="12:19">
      <c r="L130" t="s">
        <v>1254</v>
      </c>
      <c r="S130" t="s">
        <v>1214</v>
      </c>
    </row>
    <row r="131" spans="12:19">
      <c r="L131" t="s">
        <v>1255</v>
      </c>
      <c r="S131" t="s">
        <v>789</v>
      </c>
    </row>
    <row r="132" spans="12:19">
      <c r="L132" t="s">
        <v>1256</v>
      </c>
      <c r="S132" t="s">
        <v>1217</v>
      </c>
    </row>
    <row r="133" spans="12:19">
      <c r="S133" t="s">
        <v>1219</v>
      </c>
    </row>
    <row r="134" spans="12:19">
      <c r="S134" t="s">
        <v>1221</v>
      </c>
    </row>
    <row r="135" spans="12:19">
      <c r="S135" t="s">
        <v>1227</v>
      </c>
    </row>
    <row r="136" spans="12:19">
      <c r="S136" t="s">
        <v>1230</v>
      </c>
    </row>
    <row r="137" spans="12:19">
      <c r="S137" t="s">
        <v>1233</v>
      </c>
    </row>
    <row r="138" spans="12:19">
      <c r="S138" t="s">
        <v>1236</v>
      </c>
    </row>
    <row r="139" spans="12:19">
      <c r="S139" t="s">
        <v>1239</v>
      </c>
    </row>
    <row r="140" spans="12:19">
      <c r="S140" t="s">
        <v>1241</v>
      </c>
    </row>
  </sheetData>
  <sheetProtection formatCells="0" formatColumns="0" formatRows="0"/>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4"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2" t="s">
        <v>366</v>
      </c>
      <c r="T1" s="382"/>
      <c r="U1" s="383"/>
      <c r="V1" s="383"/>
      <c r="W1" s="383"/>
      <c r="X1" s="383"/>
      <c r="Y1" s="383"/>
      <c r="Z1" s="383"/>
      <c r="AA1" s="383"/>
      <c r="AB1" s="383"/>
      <c r="AC1" s="383"/>
      <c r="AD1" s="383"/>
      <c r="AE1" s="383"/>
      <c r="AF1" s="383"/>
      <c r="AG1" s="383"/>
      <c r="AH1" s="383"/>
      <c r="AI1" s="383"/>
      <c r="AJ1" s="383"/>
      <c r="AK1" s="384"/>
    </row>
    <row r="2" spans="2:60" ht="15.6" thickBot="1">
      <c r="B2" s="762" t="s">
        <v>360</v>
      </c>
      <c r="C2" s="763"/>
      <c r="K2" s="98" t="s">
        <v>348</v>
      </c>
      <c r="T2" s="5"/>
      <c r="U2" s="786" t="s">
        <v>16</v>
      </c>
      <c r="V2" s="787"/>
      <c r="W2" s="787"/>
      <c r="X2" s="787"/>
      <c r="Y2" s="788"/>
      <c r="Z2" s="789" t="s">
        <v>17</v>
      </c>
      <c r="AA2" s="789"/>
      <c r="AB2" s="789"/>
      <c r="AC2" s="789"/>
      <c r="AD2" s="789"/>
      <c r="AF2" t="s">
        <v>338</v>
      </c>
      <c r="AU2" t="s">
        <v>339</v>
      </c>
    </row>
    <row r="3" spans="2:60" ht="14.4" customHeight="1" thickBot="1">
      <c r="B3" s="340" t="s">
        <v>45</v>
      </c>
      <c r="C3" s="341" t="s">
        <v>148</v>
      </c>
      <c r="E3" s="225" t="s">
        <v>359</v>
      </c>
      <c r="H3" s="342" t="s">
        <v>135</v>
      </c>
      <c r="I3" s="568" t="n">
        <f>Assumptions!D6</f>
        <v>41000076579</v>
      </c>
      <c r="K3" s="770" t="s">
        <v>28</v>
      </c>
      <c r="L3" s="772" t="s">
        <v>16</v>
      </c>
      <c r="M3" s="772" t="s">
        <v>17</v>
      </c>
      <c r="N3" s="774" t="s">
        <v>29</v>
      </c>
      <c r="T3" s="105" t="s">
        <v>20</v>
      </c>
      <c r="U3" s="105" t="s">
        <v>13</v>
      </c>
      <c r="V3" s="385" t="s">
        <v>47</v>
      </c>
      <c r="W3" s="386" t="s">
        <v>48</v>
      </c>
      <c r="X3" s="387" t="s">
        <v>334</v>
      </c>
      <c r="Y3" s="388" t="s">
        <v>64</v>
      </c>
      <c r="Z3" s="105" t="s">
        <v>13</v>
      </c>
      <c r="AA3" s="385" t="s">
        <v>47</v>
      </c>
      <c r="AB3" s="386" t="s">
        <v>48</v>
      </c>
      <c r="AC3" s="387" t="s">
        <v>334</v>
      </c>
      <c r="AD3" s="388" t="s">
        <v>64</v>
      </c>
      <c r="AF3" t="s">
        <v>335</v>
      </c>
      <c r="AK3" t="s">
        <v>336</v>
      </c>
      <c r="AP3" t="s">
        <v>337</v>
      </c>
      <c r="AU3" t="s">
        <v>335</v>
      </c>
      <c r="AZ3" t="s">
        <v>336</v>
      </c>
      <c r="BE3" t="s">
        <v>337</v>
      </c>
    </row>
    <row r="4" spans="2:60" ht="15.75" customHeight="1" thickBot="1">
      <c r="B4" s="759" t="s">
        <v>45</v>
      </c>
      <c r="C4" s="761" t="s">
        <v>707</v>
      </c>
      <c r="H4" s="344" t="s">
        <v>136</v>
      </c>
      <c r="I4" s="572" t="str">
        <f>Assumptions!D7</f>
        <v>05-20-62123 (TIP #HS-2005A)</v>
      </c>
      <c r="J4" s="266" t="s">
        <v>791</v>
      </c>
      <c r="K4" s="771"/>
      <c r="L4" s="773"/>
      <c r="M4" s="773"/>
      <c r="N4" s="775"/>
      <c r="T4" s="105" t="s">
        <v>9</v>
      </c>
      <c r="U4" s="34" t="n">
        <f>Before!AB4</f>
        <v>0</v>
      </c>
      <c r="V4" s="34" t="n">
        <f>Before!AC4</f>
        <v>0</v>
      </c>
      <c r="W4" s="34" t="n">
        <f>Before!AD4</f>
        <v>0</v>
      </c>
      <c r="X4" s="34" t="n">
        <f>Before!AE4</f>
        <v>0</v>
      </c>
      <c r="Y4" s="34" t="n">
        <f>Before!AF4</f>
        <v>0</v>
      </c>
      <c r="Z4" s="34" t="n">
        <f>After!AB4</f>
        <v>0</v>
      </c>
      <c r="AA4" s="34" t="n">
        <f>After!AC4</f>
        <v>0</v>
      </c>
      <c r="AB4" s="34" t="n">
        <f>After!AD4</f>
        <v>0</v>
      </c>
      <c r="AC4" s="34" t="n">
        <f>After!AE4</f>
        <v>0</v>
      </c>
      <c r="AD4" s="34" t="n">
        <f>After!AF4</f>
        <v>0</v>
      </c>
      <c r="AF4" s="779" t="s">
        <v>15</v>
      </c>
      <c r="AG4" s="781" t="s">
        <v>16</v>
      </c>
      <c r="AH4" s="781" t="s">
        <v>17</v>
      </c>
      <c r="AI4" s="783" t="s">
        <v>18</v>
      </c>
      <c r="AK4" s="779" t="s">
        <v>15</v>
      </c>
      <c r="AL4" s="781" t="s">
        <v>16</v>
      </c>
      <c r="AM4" s="781" t="s">
        <v>17</v>
      </c>
      <c r="AN4" s="783" t="s">
        <v>18</v>
      </c>
      <c r="AP4" s="779" t="s">
        <v>15</v>
      </c>
      <c r="AQ4" s="781" t="s">
        <v>16</v>
      </c>
      <c r="AR4" s="781" t="s">
        <v>17</v>
      </c>
      <c r="AS4" s="783" t="s">
        <v>18</v>
      </c>
      <c r="AU4" s="779" t="s">
        <v>15</v>
      </c>
      <c r="AV4" s="389" t="s">
        <v>16</v>
      </c>
      <c r="AW4" s="389" t="s">
        <v>17</v>
      </c>
      <c r="AX4" s="783" t="s">
        <v>18</v>
      </c>
      <c r="AZ4" s="779" t="s">
        <v>15</v>
      </c>
      <c r="BA4" s="389" t="s">
        <v>16</v>
      </c>
      <c r="BB4" s="389" t="s">
        <v>17</v>
      </c>
      <c r="BC4" s="783" t="s">
        <v>18</v>
      </c>
      <c r="BE4" s="779" t="s">
        <v>15</v>
      </c>
      <c r="BF4" s="389" t="s">
        <v>16</v>
      </c>
      <c r="BG4" s="389" t="s">
        <v>17</v>
      </c>
      <c r="BH4" s="783" t="s">
        <v>18</v>
      </c>
    </row>
    <row r="5" spans="2:60" ht="14.7" thickBot="1">
      <c r="B5" s="759"/>
      <c r="C5" s="761"/>
      <c r="E5" s="345" t="b">
        <v>1</v>
      </c>
      <c r="F5" s="346" t="s">
        <v>335</v>
      </c>
      <c r="H5" s="344" t="s">
        <v>155</v>
      </c>
      <c r="I5" s="572" t="str">
        <f>Assumptions!D8</f>
        <v>N/A</v>
      </c>
      <c r="J5" s="566" t="s">
        <v>1227</v>
      </c>
      <c r="K5" s="566" t="str">
        <f t="shared" ref="K5:K10" si="0">IF($J5="","",$J5)</f>
        <v>Target Crashes: Spring St At-Fault</v>
      </c>
      <c r="L5" s="567" t="n">
        <f>IFERROR(INDEX(Trends!$C:$C,MATCH($J5,Trends!$F:$F,0)),IFERROR(INDEX(Trends!$I:$I,MATCH($J5,Trends!$L:$L,0)),""))</f>
        <v>3</v>
      </c>
      <c r="M5" s="567" t="n">
        <f>IFERROR(INDEX(Trends!$D:$D,MATCH($J5,Trends!$F:$F,0)),IFERROR(INDEX(Trends!$J:$J,MATCH($J5,Trends!$L:$L,0)),""))</f>
        <v>2</v>
      </c>
      <c r="N5" s="108" t="n">
        <f t="shared" ref="N5:N10" si="1">IFERROR(IF(((M5-L5)/L5)&gt;1,"100+%",((M5-L5)/L5)), "n/a")</f>
        <v>-0.333333333333333</v>
      </c>
      <c r="T5" s="105" t="s">
        <v>10</v>
      </c>
      <c r="U5" s="34" t="n">
        <f>Before!AB5</f>
        <v>0</v>
      </c>
      <c r="V5" s="34" t="n">
        <f>Before!AC5</f>
        <v>0</v>
      </c>
      <c r="W5" s="34" t="n">
        <f>Before!AD5</f>
        <v>0</v>
      </c>
      <c r="X5" s="34" t="n">
        <f>Before!AE5</f>
        <v>0</v>
      </c>
      <c r="Y5" s="34" t="n">
        <f>Before!AF5</f>
        <v>0</v>
      </c>
      <c r="Z5" s="34" t="n">
        <f>After!AB5</f>
        <v>0</v>
      </c>
      <c r="AA5" s="34" t="n">
        <f>After!AC5</f>
        <v>0</v>
      </c>
      <c r="AB5" s="34" t="n">
        <f>After!AD5</f>
        <v>0</v>
      </c>
      <c r="AC5" s="34" t="n">
        <f>After!AE5</f>
        <v>0</v>
      </c>
      <c r="AD5" s="34" t="n">
        <f>After!AF5</f>
        <v>0</v>
      </c>
      <c r="AF5" s="780"/>
      <c r="AG5" s="782"/>
      <c r="AH5" s="782"/>
      <c r="AI5" s="784"/>
      <c r="AK5" s="780"/>
      <c r="AL5" s="782"/>
      <c r="AM5" s="782"/>
      <c r="AN5" s="784"/>
      <c r="AP5" s="780"/>
      <c r="AQ5" s="782"/>
      <c r="AR5" s="782"/>
      <c r="AS5" s="784"/>
      <c r="AU5" s="780"/>
      <c r="AV5" s="390" t="str">
        <f>"("&amp;TEXT(ROUND('Evaluation Set-up'!$F$9+'Evaluation Set-up'!$G$9/12, 2), "0.00")&amp;" years"&amp;")"</f>
        <v>(4.58 years)</v>
      </c>
      <c r="AW5" s="390" t="str">
        <f>"("&amp;TEXT(ROUND('Evaluation Set-up'!$F$11+'Evaluation Set-up'!$G$11/12, 2), "0.00")&amp;" years"&amp;")"</f>
        <v>(4.58 years)</v>
      </c>
      <c r="AX5" s="784"/>
      <c r="AZ5" s="780"/>
      <c r="BA5" s="390" t="str">
        <f>"("&amp;TEXT(ROUND('Evaluation Set-up'!$F$9+'Evaluation Set-up'!$G$9/12, 2), "0.00")&amp;" years"&amp;")"</f>
        <v>(4.58 years)</v>
      </c>
      <c r="BB5" s="390" t="str">
        <f>"("&amp;TEXT(ROUND('Evaluation Set-up'!$F$11+'Evaluation Set-up'!$G$11/12, 2), "0.00")&amp;" years"&amp;")"</f>
        <v>(4.58 years)</v>
      </c>
      <c r="BC5" s="784"/>
      <c r="BE5" s="780"/>
      <c r="BF5" s="390" t="str">
        <f>"("&amp;TEXT(ROUND('Evaluation Set-up'!$F$9+'Evaluation Set-up'!$G$9/12, 2), "0.00")&amp;" years"&amp;")"</f>
        <v>(4.58 years)</v>
      </c>
      <c r="BG5" s="390" t="str">
        <f>"("&amp;TEXT(ROUND('Evaluation Set-up'!$F$11+'Evaluation Set-up'!$G$11/12, 2), "0.00")&amp;" years"&amp;")"</f>
        <v>(4.58 years)</v>
      </c>
      <c r="BH5" s="784"/>
    </row>
    <row r="6" spans="2:60" ht="15.6" thickBot="1">
      <c r="B6" s="759"/>
      <c r="C6" s="761"/>
      <c r="E6" s="348" t="b">
        <v>0</v>
      </c>
      <c r="F6" s="227" t="s">
        <v>336</v>
      </c>
      <c r="H6" s="344" t="s">
        <v>140</v>
      </c>
      <c r="I6" s="572" t="str">
        <f>Assumptions!D9</f>
        <v>SR 1602 (Main Street) at SR 1207 (Spring Street)</v>
      </c>
      <c r="J6" s="566" t="s">
        <v>1230</v>
      </c>
      <c r="K6" s="347" t="str">
        <f t="shared" si="0"/>
        <v>Target Crashes: Main St At-Fault</v>
      </c>
      <c r="L6" s="349" t="n">
        <f>IFERROR(INDEX(Trends!$C:$C,MATCH($J6,Trends!$F:$F,0)),IFERROR(INDEX(Trends!$I:$I,MATCH($J6,Trends!$L:$L,0)),""))</f>
        <v>0</v>
      </c>
      <c r="M6" s="349" t="n">
        <f>IFERROR(INDEX(Trends!$D:$D,MATCH($J6,Trends!$F:$F,0)),IFERROR(INDEX(Trends!$J:$J,MATCH($J6,Trends!$L:$L,0)),""))</f>
        <v>0</v>
      </c>
      <c r="N6" s="101" t="str">
        <f t="shared" si="1"/>
        <v>n/a</v>
      </c>
      <c r="T6" s="105" t="s">
        <v>8</v>
      </c>
      <c r="U6" s="34" t="n">
        <f>Before!AB6</f>
        <v>0</v>
      </c>
      <c r="V6" s="34" t="n">
        <f>Before!AC6</f>
        <v>0</v>
      </c>
      <c r="W6" s="34" t="n">
        <f>Before!AD6</f>
        <v>0</v>
      </c>
      <c r="X6" s="34" t="n">
        <f>Before!AE6</f>
        <v>0</v>
      </c>
      <c r="Y6" s="34" t="n">
        <f>Before!AF6</f>
        <v>0</v>
      </c>
      <c r="Z6" s="34" t="n">
        <f>After!AB6</f>
        <v>0</v>
      </c>
      <c r="AA6" s="34" t="n">
        <f>After!AC6</f>
        <v>0</v>
      </c>
      <c r="AB6" s="34" t="n">
        <f>After!AD6</f>
        <v>0</v>
      </c>
      <c r="AC6" s="34" t="n">
        <f>After!AE6</f>
        <v>0</v>
      </c>
      <c r="AD6" s="34" t="n">
        <f>After!AF6</f>
        <v>0</v>
      </c>
      <c r="AF6" s="391" t="s">
        <v>19</v>
      </c>
      <c r="AG6" s="392" t="n">
        <f>$U$9</f>
        <v>7</v>
      </c>
      <c r="AH6" s="393" t="n">
        <f>$Z$9</f>
        <v>3</v>
      </c>
      <c r="AI6" s="394" t="n">
        <f t="shared" ref="AI6:AI7" si="2">IFERROR(IF(((AH6-AG6)/AG6)&gt;1,"100+%",((AH6-AG6)/AG6)), "n/a")</f>
        <v>-0.571428571428571</v>
      </c>
      <c r="AK6" s="391" t="s">
        <v>19</v>
      </c>
      <c r="AL6" s="392" t="n">
        <f>$U$9</f>
        <v>7</v>
      </c>
      <c r="AM6" s="393" t="n">
        <f>$Z$9</f>
        <v>3</v>
      </c>
      <c r="AN6" s="394" t="n">
        <f t="shared" ref="AN6:AN7" si="3">IFERROR(IF(((AM6-AL6)/AL6)&gt;1,"100+%",((AM6-AL6)/AL6)), "n/a")</f>
        <v>-0.571428571428571</v>
      </c>
      <c r="AP6" s="391" t="s">
        <v>19</v>
      </c>
      <c r="AQ6" s="392" t="n">
        <f>$U$9</f>
        <v>7</v>
      </c>
      <c r="AR6" s="393" t="n">
        <f>$Z$9</f>
        <v>3</v>
      </c>
      <c r="AS6" s="394" t="n">
        <f t="shared" ref="AS6:AS7" si="4">IFERROR(IF(((AR6-AQ6)/AQ6)&gt;1,"100+%",((AR6-AQ6)/AQ6)), "n/a")</f>
        <v>-0.571428571428571</v>
      </c>
      <c r="AU6" s="391" t="s">
        <v>19</v>
      </c>
      <c r="AV6" s="392" t="n">
        <f>$U$9</f>
        <v>7</v>
      </c>
      <c r="AW6" s="393" t="n">
        <f>$Z$9</f>
        <v>3</v>
      </c>
      <c r="AX6" s="395" t="s">
        <v>343</v>
      </c>
      <c r="AZ6" s="391" t="s">
        <v>19</v>
      </c>
      <c r="BA6" s="392" t="n">
        <f>$U$9</f>
        <v>7</v>
      </c>
      <c r="BB6" s="393" t="n">
        <f>$Z$9</f>
        <v>3</v>
      </c>
      <c r="BC6" s="395" t="s">
        <v>343</v>
      </c>
      <c r="BE6" s="391" t="s">
        <v>19</v>
      </c>
      <c r="BF6" s="392" t="n">
        <f>$U$9</f>
        <v>7</v>
      </c>
      <c r="BG6" s="393" t="n">
        <f>$Z$9</f>
        <v>3</v>
      </c>
      <c r="BH6" s="395" t="s">
        <v>343</v>
      </c>
    </row>
    <row r="7" spans="2:60" ht="14.7" thickBot="1">
      <c r="B7" s="759" t="s">
        <v>45</v>
      </c>
      <c r="C7" s="761" t="s">
        <v>361</v>
      </c>
      <c r="E7" s="351" t="b">
        <v>0</v>
      </c>
      <c r="F7" s="352" t="s">
        <v>347</v>
      </c>
      <c r="H7" s="344" t="s">
        <v>157</v>
      </c>
      <c r="I7" s="572" t="str">
        <f>Assumptions!D10</f>
        <v>36.310027, -78.587328</v>
      </c>
      <c r="J7" s="566" t="s">
        <v>1233</v>
      </c>
      <c r="K7" s="347" t="str">
        <f t="shared" si="0"/>
        <v>Target Crashes: Failed to Yield</v>
      </c>
      <c r="L7" s="349" t="n">
        <f>IFERROR(INDEX(Trends!$C:$C,MATCH($J7,Trends!$F:$F,0)),IFERROR(INDEX(Trends!$I:$I,MATCH($J7,Trends!$L:$L,0)),""))</f>
        <v>2</v>
      </c>
      <c r="M7" s="349" t="n">
        <f>IFERROR(INDEX(Trends!$D:$D,MATCH($J7,Trends!$F:$F,0)),IFERROR(INDEX(Trends!$J:$J,MATCH($J7,Trends!$L:$L,0)),""))</f>
        <v>2</v>
      </c>
      <c r="N7" s="101" t="n">
        <f t="shared" si="1"/>
        <v>0</v>
      </c>
      <c r="T7" s="105" t="s">
        <v>3</v>
      </c>
      <c r="U7" s="34" t="n">
        <f>Before!AB7</f>
        <v>1</v>
      </c>
      <c r="V7" s="34" t="n">
        <f>Before!AC7</f>
        <v>0</v>
      </c>
      <c r="W7" s="34" t="n">
        <f>Before!AD7</f>
        <v>0</v>
      </c>
      <c r="X7" s="34" t="n">
        <f>Before!AE7</f>
        <v>0</v>
      </c>
      <c r="Y7" s="34" t="n">
        <f>Before!AF7</f>
        <v>0</v>
      </c>
      <c r="Z7" s="34" t="n">
        <f>After!AB7</f>
        <v>0</v>
      </c>
      <c r="AA7" s="34" t="n">
        <f>After!AC7</f>
        <v>0</v>
      </c>
      <c r="AB7" s="34" t="n">
        <f>After!AD7</f>
        <v>0</v>
      </c>
      <c r="AC7" s="34" t="n">
        <f>After!AE7</f>
        <v>0</v>
      </c>
      <c r="AD7" s="34" t="n">
        <f>After!AF7</f>
        <v>0</v>
      </c>
      <c r="AF7" s="391" t="s">
        <v>21</v>
      </c>
      <c r="AG7" s="396" t="n">
        <f>$U$10</f>
        <v>2.06</v>
      </c>
      <c r="AH7" s="396" t="n">
        <f>$Z$10</f>
        <v>1</v>
      </c>
      <c r="AI7" s="394" t="n">
        <f t="shared" si="2"/>
        <v>-0.514563106796117</v>
      </c>
      <c r="AK7" s="397" t="s">
        <v>21</v>
      </c>
      <c r="AL7" s="396" t="n">
        <f>$U$10</f>
        <v>2.06</v>
      </c>
      <c r="AM7" s="396" t="n">
        <f>$Z$10</f>
        <v>1</v>
      </c>
      <c r="AN7" s="394" t="n">
        <f t="shared" si="3"/>
        <v>-0.514563106796117</v>
      </c>
      <c r="AP7" s="391" t="s">
        <v>21</v>
      </c>
      <c r="AQ7" s="396" t="n">
        <f>$U$10</f>
        <v>2.06</v>
      </c>
      <c r="AR7" s="396" t="n">
        <f>$Z$10</f>
        <v>1</v>
      </c>
      <c r="AS7" s="394" t="n">
        <f t="shared" si="4"/>
        <v>-0.514563106796117</v>
      </c>
      <c r="AU7" s="391" t="s">
        <v>21</v>
      </c>
      <c r="AV7" s="396" t="n">
        <f>$U$10</f>
        <v>2.06</v>
      </c>
      <c r="AW7" s="396" t="n">
        <f>$Z$10</f>
        <v>1</v>
      </c>
      <c r="AX7" s="394" t="n">
        <f t="shared" ref="AX7:AX8" si="5">IFERROR(IF(((AW7-AV7)/AV7)&gt;1,"100+%",((AW7-AV7)/AV7)), "n/a")</f>
        <v>-0.514563106796117</v>
      </c>
      <c r="AZ7" s="397" t="s">
        <v>21</v>
      </c>
      <c r="BA7" s="396" t="n">
        <f>$U$10</f>
        <v>2.06</v>
      </c>
      <c r="BB7" s="396" t="n">
        <f>$Z$10</f>
        <v>1</v>
      </c>
      <c r="BC7" s="394" t="n">
        <f t="shared" ref="BC7:BC8" si="6">IFERROR(IF(((BB7-BA7)/BA7)&gt;1,"100+%",((BB7-BA7)/BA7)), "n/a")</f>
        <v>-0.514563106796117</v>
      </c>
      <c r="BE7" s="391" t="s">
        <v>21</v>
      </c>
      <c r="BF7" s="396" t="n">
        <f>$U$10</f>
        <v>2.06</v>
      </c>
      <c r="BG7" s="396" t="n">
        <f>$Z$10</f>
        <v>1</v>
      </c>
      <c r="BH7" s="394" t="n">
        <f t="shared" ref="BH7:BH8" si="7">IFERROR(IF(((BG7-BF7)/BF7)&gt;1,"100+%",((BG7-BF7)/BF7)), "n/a")</f>
        <v>-0.514563106796117</v>
      </c>
    </row>
    <row r="8" spans="2:60" ht="15" customHeight="1" thickBot="1">
      <c r="B8" s="759"/>
      <c r="C8" s="761"/>
      <c r="H8" s="344" t="s">
        <v>137</v>
      </c>
      <c r="I8" s="572" t="str">
        <f>Assumptions!D11</f>
        <v>Granville</v>
      </c>
      <c r="J8" s="566" t="s">
        <v>1236</v>
      </c>
      <c r="K8" s="347" t="str">
        <f t="shared" si="0"/>
        <v>Target Crashes: Ran Stop Sign</v>
      </c>
      <c r="L8" s="349" t="n">
        <f>IFERROR(INDEX(Trends!$C:$C,MATCH($J8,Trends!$F:$F,0)),IFERROR(INDEX(Trends!$I:$I,MATCH($J8,Trends!$L:$L,0)),""))</f>
        <v>1</v>
      </c>
      <c r="M8" s="349" t="n">
        <f>IFERROR(INDEX(Trends!$D:$D,MATCH($J8,Trends!$F:$F,0)),IFERROR(INDEX(Trends!$J:$J,MATCH($J8,Trends!$L:$L,0)),""))</f>
        <v>0</v>
      </c>
      <c r="N8" s="101" t="n">
        <f t="shared" si="1"/>
        <v>-1</v>
      </c>
      <c r="T8" s="105" t="s">
        <v>7</v>
      </c>
      <c r="U8" s="34" t="n">
        <f>Before!AB8</f>
        <v>6</v>
      </c>
      <c r="V8" s="34" t="n">
        <f>Before!AC8</f>
        <v>3</v>
      </c>
      <c r="W8" s="34" t="n">
        <f>Before!AD8</f>
        <v>0</v>
      </c>
      <c r="X8" s="34" t="n">
        <f>Before!AE8</f>
        <v>0</v>
      </c>
      <c r="Y8" s="34" t="n">
        <f>Before!AF8</f>
        <v>3</v>
      </c>
      <c r="Z8" s="34" t="n">
        <f>After!AB8</f>
        <v>3</v>
      </c>
      <c r="AA8" s="34" t="n">
        <f>After!AC8</f>
        <v>2</v>
      </c>
      <c r="AB8" s="34" t="n">
        <f>After!AD8</f>
        <v>0</v>
      </c>
      <c r="AC8" s="34" t="n">
        <f>After!AE8</f>
        <v>0</v>
      </c>
      <c r="AD8" s="34" t="n">
        <f>After!AF8</f>
        <v>2</v>
      </c>
      <c r="AF8" s="398"/>
      <c r="AG8" s="399"/>
      <c r="AH8" s="399"/>
      <c r="AI8" s="399"/>
      <c r="AK8" s="400"/>
      <c r="AL8" s="401"/>
      <c r="AM8" s="401"/>
      <c r="AN8" s="402"/>
      <c r="AP8" s="398"/>
      <c r="AQ8" s="399"/>
      <c r="AR8" s="399"/>
      <c r="AS8" s="399"/>
      <c r="AU8" s="403" t="s">
        <v>340</v>
      </c>
      <c r="AV8" s="404" t="n">
        <f>AV6/('Evaluation Set-up'!$F$9+'Evaluation Set-up'!$G$9/12)</f>
        <v>1.52727272727273</v>
      </c>
      <c r="AW8" s="404" t="n">
        <f>AW6/('Evaluation Set-up'!$F$11+'Evaluation Set-up'!$G$11/12)</f>
        <v>0.654545454545455</v>
      </c>
      <c r="AX8" s="405" t="n">
        <f t="shared" si="5"/>
        <v>-0.571428571428571</v>
      </c>
      <c r="AZ8" s="403" t="s">
        <v>340</v>
      </c>
      <c r="BA8" s="404" t="n">
        <f>BA6/('Evaluation Set-up'!$F$9+'Evaluation Set-up'!$G$9/12)</f>
        <v>1.52727272727273</v>
      </c>
      <c r="BB8" s="404" t="n">
        <f>BB6/('Evaluation Set-up'!$F$11+'Evaluation Set-up'!$G$11/12)</f>
        <v>0.654545454545455</v>
      </c>
      <c r="BC8" s="405" t="n">
        <f t="shared" si="6"/>
        <v>-0.571428571428571</v>
      </c>
      <c r="BE8" s="403" t="s">
        <v>340</v>
      </c>
      <c r="BF8" s="404" t="n">
        <f>BF6/('Evaluation Set-up'!$F$9+'Evaluation Set-up'!$G$9/12)</f>
        <v>1.52727272727273</v>
      </c>
      <c r="BG8" s="404" t="n">
        <f>BG6/('Evaluation Set-up'!$F$11+'Evaluation Set-up'!$G$11/12)</f>
        <v>0.654545454545455</v>
      </c>
      <c r="BH8" s="405" t="n">
        <f t="shared" si="7"/>
        <v>-0.571428571428571</v>
      </c>
    </row>
    <row r="9" spans="2:60" ht="14.7" thickBot="1">
      <c r="B9" s="759" t="s">
        <v>45</v>
      </c>
      <c r="C9" s="761" t="s">
        <v>362</v>
      </c>
      <c r="E9" s="225" t="s">
        <v>320</v>
      </c>
      <c r="H9" s="344" t="s">
        <v>138</v>
      </c>
      <c r="I9" s="572" t="str">
        <f>Assumptions!D12</f>
        <v>Oxford</v>
      </c>
      <c r="J9" s="566" t="s">
        <v>1239</v>
      </c>
      <c r="K9" s="347" t="str">
        <f t="shared" si="0"/>
        <v>Rear End Crashes</v>
      </c>
      <c r="L9" s="349" t="n">
        <f>IFERROR(INDEX(Trends!$C:$C,MATCH($J9,Trends!$F:$F,0)),IFERROR(INDEX(Trends!$I:$I,MATCH($J9,Trends!$L:$L,0)),""))</f>
        <v>1</v>
      </c>
      <c r="M9" s="349" t="n">
        <f>IFERROR(INDEX(Trends!$D:$D,MATCH($J9,Trends!$F:$F,0)),IFERROR(INDEX(Trends!$J:$J,MATCH($J9,Trends!$L:$L,0)),""))</f>
        <v>0</v>
      </c>
      <c r="N9" s="101" t="n">
        <f t="shared" si="1"/>
        <v>-1</v>
      </c>
      <c r="T9" s="105" t="s">
        <v>13</v>
      </c>
      <c r="U9" s="34" t="n">
        <f>Before!AB9</f>
        <v>7</v>
      </c>
      <c r="V9" s="34" t="n">
        <f>Before!AC9</f>
        <v>3</v>
      </c>
      <c r="W9" s="34" t="n">
        <f>Before!AD9</f>
        <v>0</v>
      </c>
      <c r="X9" s="34" t="n">
        <f>Before!AE9</f>
        <v>0</v>
      </c>
      <c r="Y9" s="34" t="n">
        <f>Before!AF9</f>
        <v>3</v>
      </c>
      <c r="Z9" s="34" t="n">
        <f>After!AB9</f>
        <v>3</v>
      </c>
      <c r="AA9" s="34" t="n">
        <f>After!AC9</f>
        <v>2</v>
      </c>
      <c r="AB9" s="34" t="n">
        <f>After!AD9</f>
        <v>0</v>
      </c>
      <c r="AC9" s="34" t="n">
        <f>After!AE9</f>
        <v>0</v>
      </c>
      <c r="AD9" s="34" t="n">
        <f>After!AF9</f>
        <v>2</v>
      </c>
      <c r="AF9" s="391" t="s">
        <v>22</v>
      </c>
      <c r="AG9" s="406" t="n">
        <f>$V$9</f>
        <v>3</v>
      </c>
      <c r="AH9" s="393" t="n">
        <f>$AA$9</f>
        <v>2</v>
      </c>
      <c r="AI9" s="394" t="n">
        <f t="shared" ref="AI9:AI10" si="8">IFERROR(IF(((AH9-AG9)/AG9)&gt;1,"100+%",((AH9-AG9)/AG9)), "n/a")</f>
        <v>-0.333333333333333</v>
      </c>
      <c r="AK9" s="407" t="s">
        <v>63</v>
      </c>
      <c r="AL9" s="408" t="n">
        <f>Y9</f>
        <v>3</v>
      </c>
      <c r="AM9" s="409" t="n">
        <f>AD9</f>
        <v>2</v>
      </c>
      <c r="AN9" s="394" t="n">
        <f t="shared" ref="AN9:AN10" si="9">IFERROR(IF(((AM9-AL9)/AL9)&gt;1,"100+%",((AM9-AL9)/AL9)), "n/a")</f>
        <v>-0.333333333333333</v>
      </c>
      <c r="AP9" s="391" t="s">
        <v>22</v>
      </c>
      <c r="AQ9" s="406" t="n">
        <f>Y9</f>
        <v>3</v>
      </c>
      <c r="AR9" s="393" t="n">
        <f>AD9</f>
        <v>2</v>
      </c>
      <c r="AS9" s="394" t="n">
        <f t="shared" ref="AS9:AS10" si="10">IFERROR(IF(((AR9-AQ9)/AQ9)&gt;1,"100+%",((AR9-AQ9)/AQ9)), "n/a")</f>
        <v>-0.333333333333333</v>
      </c>
      <c r="AU9" s="398"/>
      <c r="AV9" s="399"/>
      <c r="AW9" s="399"/>
      <c r="AX9" s="399"/>
      <c r="AZ9" s="400"/>
      <c r="BA9" s="401"/>
      <c r="BB9" s="401"/>
      <c r="BC9" s="402"/>
      <c r="BE9" s="398"/>
      <c r="BF9" s="399"/>
      <c r="BG9" s="399"/>
      <c r="BH9" s="399"/>
    </row>
    <row r="10" spans="2:60" ht="15.6" thickBot="1">
      <c r="B10" s="759"/>
      <c r="C10" s="761"/>
      <c r="E10" s="345" t="b">
        <v>1</v>
      </c>
      <c r="F10" s="346" t="s">
        <v>321</v>
      </c>
      <c r="H10" s="353" t="s">
        <v>139</v>
      </c>
      <c r="I10" s="573">
        <f>Assumptions!D13</f>
        <v>5</v>
      </c>
      <c r="J10" s="566" t="s">
        <v>1241</v>
      </c>
      <c r="K10" s="354" t="str">
        <f t="shared" si="0"/>
        <v>On-Street Parking Crashes</v>
      </c>
      <c r="L10" s="355" t="n">
        <f>IFERROR(INDEX(Trends!$C:$C,MATCH($J10,Trends!$F:$F,0)),IFERROR(INDEX(Trends!$I:$I,MATCH($J10,Trends!$L:$L,0)),""))</f>
        <v>3</v>
      </c>
      <c r="M10" s="355" t="n">
        <f>IFERROR(INDEX(Trends!$D:$D,MATCH($J10,Trends!$F:$F,0)),IFERROR(INDEX(Trends!$J:$J,MATCH($J10,Trends!$L:$L,0)),""))</f>
        <v>0</v>
      </c>
      <c r="N10" s="102" t="n">
        <f t="shared" si="1"/>
        <v>-1</v>
      </c>
      <c r="T10" s="105" t="s">
        <v>14</v>
      </c>
      <c r="U10" s="410" t="n">
        <f>ROUND(Before!AB10,2)</f>
        <v>2.06</v>
      </c>
      <c r="V10" s="410" t="n">
        <f>ROUND(Before!AC10,2)</f>
        <v>1</v>
      </c>
      <c r="W10" s="410" t="n">
        <f>ROUND(Before!AD10,2)</f>
        <v>0</v>
      </c>
      <c r="X10" s="410" t="n">
        <f>ROUND(Before!AE10,2)</f>
        <v>0</v>
      </c>
      <c r="Y10" s="410" t="n">
        <f>ROUND(Before!AF10,2)</f>
        <v>1</v>
      </c>
      <c r="Z10" s="410" t="n">
        <f>ROUND(After!AB10,2)</f>
        <v>1</v>
      </c>
      <c r="AA10" s="410" t="n">
        <f>ROUND(After!AC10,2)</f>
        <v>1</v>
      </c>
      <c r="AB10" s="410" t="n">
        <f>ROUND(After!AD10,2)</f>
        <v>0</v>
      </c>
      <c r="AC10" s="410" t="n">
        <f>ROUND(After!AE10,2)</f>
        <v>0</v>
      </c>
      <c r="AD10" s="410" t="n">
        <f>ROUND(After!AF10,2)</f>
        <v>1</v>
      </c>
      <c r="AF10" s="391" t="s">
        <v>23</v>
      </c>
      <c r="AG10" s="396" t="n">
        <f>V10</f>
        <v>1</v>
      </c>
      <c r="AH10" s="396" t="n">
        <f>$AA$10</f>
        <v>1</v>
      </c>
      <c r="AI10" s="394" t="n">
        <f t="shared" si="8"/>
        <v>0</v>
      </c>
      <c r="AK10" s="397" t="s">
        <v>65</v>
      </c>
      <c r="AL10" s="411" t="n">
        <f>Y10</f>
        <v>1</v>
      </c>
      <c r="AM10" s="412" t="n">
        <f>AD10</f>
        <v>1</v>
      </c>
      <c r="AN10" s="394" t="n">
        <f t="shared" si="9"/>
        <v>0</v>
      </c>
      <c r="AP10" s="391" t="s">
        <v>23</v>
      </c>
      <c r="AQ10" s="413" t="n">
        <f>Y10</f>
        <v>1</v>
      </c>
      <c r="AR10" s="396" t="n">
        <f>AD10</f>
        <v>1</v>
      </c>
      <c r="AS10" s="394" t="n">
        <f t="shared" si="10"/>
        <v>0</v>
      </c>
      <c r="AU10" s="391" t="s">
        <v>22</v>
      </c>
      <c r="AV10" s="406" t="n">
        <f>$V$9</f>
        <v>3</v>
      </c>
      <c r="AW10" s="393" t="n">
        <f>$AA$9</f>
        <v>2</v>
      </c>
      <c r="AX10" s="395" t="s">
        <v>343</v>
      </c>
      <c r="AZ10" s="407" t="s">
        <v>63</v>
      </c>
      <c r="BA10" s="408" t="n">
        <f>Y9</f>
        <v>3</v>
      </c>
      <c r="BB10" s="409" t="n">
        <f>AD9</f>
        <v>2</v>
      </c>
      <c r="BC10" s="395" t="s">
        <v>343</v>
      </c>
      <c r="BE10" s="391" t="s">
        <v>22</v>
      </c>
      <c r="BF10" s="406" t="n">
        <f>Y9</f>
        <v>3</v>
      </c>
      <c r="BG10" s="393" t="n">
        <f>AD9</f>
        <v>2</v>
      </c>
      <c r="BH10" s="395" t="s">
        <v>343</v>
      </c>
    </row>
    <row r="11" spans="2:60" ht="15.75" customHeight="1" thickBot="1">
      <c r="B11" s="759"/>
      <c r="C11" s="761"/>
      <c r="E11" s="351" t="b">
        <v>0</v>
      </c>
      <c r="F11" s="352" t="s">
        <v>322</v>
      </c>
      <c r="I11" s="356"/>
      <c r="J11" t="s">
        <v>792</v>
      </c>
      <c r="AF11" s="398"/>
      <c r="AG11" s="399"/>
      <c r="AH11" s="399"/>
      <c r="AI11" s="399"/>
      <c r="AK11" s="400"/>
      <c r="AL11" s="401"/>
      <c r="AM11" s="401"/>
      <c r="AN11" s="402"/>
      <c r="AP11" s="398"/>
      <c r="AQ11" s="399"/>
      <c r="AR11" s="399"/>
      <c r="AS11" s="399"/>
      <c r="AU11" s="391" t="s">
        <v>23</v>
      </c>
      <c r="AV11" s="396" t="n">
        <f>V10</f>
        <v>1</v>
      </c>
      <c r="AW11" s="396" t="n">
        <f>$AA$10</f>
        <v>1</v>
      </c>
      <c r="AX11" s="394" t="n">
        <f t="shared" ref="AX11:AX12" si="11">IFERROR(IF(((AW11-AV11)/AV11)&gt;1,"100+%",((AW11-AV11)/AV11)), "n/a")</f>
        <v>0</v>
      </c>
      <c r="AZ11" s="397" t="s">
        <v>65</v>
      </c>
      <c r="BA11" s="411" t="n">
        <f>Y10</f>
        <v>1</v>
      </c>
      <c r="BB11" s="412" t="n">
        <f>AD10</f>
        <v>1</v>
      </c>
      <c r="BC11" s="394" t="n">
        <f t="shared" ref="BC11:BC12" si="12">IFERROR(IF(((BB11-BA11)/BA11)&gt;1,"100+%",((BB11-BA11)/BA11)), "n/a")</f>
        <v>0</v>
      </c>
      <c r="BE11" s="391" t="s">
        <v>23</v>
      </c>
      <c r="BF11" s="413" t="n">
        <f>Y10</f>
        <v>1</v>
      </c>
      <c r="BG11" s="396" t="n">
        <f>AD10</f>
        <v>1</v>
      </c>
      <c r="BH11" s="394" t="n">
        <f t="shared" ref="BH11:BH12" si="13">IFERROR(IF(((BG11-BF11)/BF11)&gt;1,"100+%",((BG11-BF11)/BF11)), "n/a")</f>
        <v>0</v>
      </c>
    </row>
    <row r="12" spans="2:60" ht="14.7" thickBot="1">
      <c r="B12" s="759" t="s">
        <v>45</v>
      </c>
      <c r="C12" s="761" t="s">
        <v>363</v>
      </c>
      <c r="H12" s="342" t="s">
        <v>141</v>
      </c>
      <c r="I12" s="568" t="str">
        <f>Assumptions!D14</f>
        <v>Construct a Mini-Roundabout, replacing the stop signs on Spring Street. Pedestrian upgrades included crosswalks and curb ramps on all four legs, splitter island refuges on the north and west legs, and in-street yield to pedestrian signs (R1-6) in those islands. Signs installed were yield (R1-2) and roundabout ahead (W2-6) signs on all four approaches and chevron signs (R6-4) on the central island.</v>
      </c>
      <c r="K12" s="98" t="s">
        <v>349</v>
      </c>
      <c r="AF12" s="391" t="str">
        <f>"Volume ("&amp;'Evaluation Set-up'!$N$5&amp;", "&amp;'Evaluation Set-up'!$N$6&amp;")"</f>
        <v>Volume (2019, 2025)</v>
      </c>
      <c r="AG12" s="414" t="n">
        <f>'Evaluation Set-up'!$R$5</f>
        <v>5100</v>
      </c>
      <c r="AH12" s="414" t="n">
        <f>'Evaluation Set-up'!$R$6</f>
        <v>4300</v>
      </c>
      <c r="AI12" s="394" t="n">
        <f t="shared" ref="AI12" si="14">IFERROR(IF(((AH12-AG12)/AG12)&gt;1,"100+%",((AH12-AG12)/AG12)), "n/a")</f>
        <v>-0.156862745098039</v>
      </c>
      <c r="AK12" s="407" t="s">
        <v>725</v>
      </c>
      <c r="AL12" s="408" t="n">
        <f>V9</f>
        <v>3</v>
      </c>
      <c r="AM12" s="409" t="n">
        <f>AA9</f>
        <v>2</v>
      </c>
      <c r="AN12" s="394" t="n">
        <f t="shared" ref="AN12:AN13" si="15">IFERROR(IF(((AM12-AL12)/AL12)&gt;1,"100+%",((AM12-AL12)/AL12)), "n/a")</f>
        <v>-0.333333333333333</v>
      </c>
      <c r="AP12" s="391" t="str">
        <f>"Volume ("&amp;'Evaluation Set-up'!$N$5&amp;", "&amp;'Evaluation Set-up'!$N$6&amp;")"</f>
        <v>Volume (2019, 2025)</v>
      </c>
      <c r="AQ12" s="414" t="n">
        <f>'Evaluation Set-up'!$R$5</f>
        <v>5100</v>
      </c>
      <c r="AR12" s="414" t="n">
        <f>'Evaluation Set-up'!$R$6</f>
        <v>4300</v>
      </c>
      <c r="AS12" s="394" t="n">
        <f t="shared" ref="AS12" si="16">IFERROR(IF(((AR12-AQ12)/AQ12)&gt;1,"100+%",((AR12-AQ12)/AQ12)), "n/a")</f>
        <v>-0.156862745098039</v>
      </c>
      <c r="AU12" s="403" t="s">
        <v>341</v>
      </c>
      <c r="AV12" s="404" t="n">
        <f>AV10/('Evaluation Set-up'!$F$9+'Evaluation Set-up'!$G$9/12)</f>
        <v>0.654545454545455</v>
      </c>
      <c r="AW12" s="404" t="n">
        <f>AW10/('Evaluation Set-up'!$F$11+'Evaluation Set-up'!$G$11/12)</f>
        <v>0.436363636363636</v>
      </c>
      <c r="AX12" s="405" t="n">
        <f t="shared" si="11"/>
        <v>-0.333333333333333</v>
      </c>
      <c r="AZ12" s="403" t="s">
        <v>345</v>
      </c>
      <c r="BA12" s="404" t="n">
        <f>BA10/('Evaluation Set-up'!$F$9+'Evaluation Set-up'!$G$9/12)</f>
        <v>0.654545454545455</v>
      </c>
      <c r="BB12" s="404" t="n">
        <f>BB10/('Evaluation Set-up'!$F$11+'Evaluation Set-up'!$G$11/12)</f>
        <v>0.436363636363636</v>
      </c>
      <c r="BC12" s="405" t="n">
        <f t="shared" si="12"/>
        <v>-0.333333333333333</v>
      </c>
      <c r="BE12" s="403" t="s">
        <v>345</v>
      </c>
      <c r="BF12" s="404" t="n">
        <f>BF10/('Evaluation Set-up'!$F$9+'Evaluation Set-up'!$G$9/12)</f>
        <v>0.654545454545455</v>
      </c>
      <c r="BG12" s="404" t="n">
        <f>BG10/('Evaluation Set-up'!$F$11+'Evaluation Set-up'!$G$11/12)</f>
        <v>0.436363636363636</v>
      </c>
      <c r="BH12" s="405" t="n">
        <f t="shared" si="13"/>
        <v>-0.333333333333333</v>
      </c>
    </row>
    <row r="13" spans="2:60" ht="15" customHeight="1" thickBot="1">
      <c r="B13" s="759"/>
      <c r="C13" s="761"/>
      <c r="E13" s="646" t="s">
        <v>42</v>
      </c>
      <c r="F13" s="647"/>
      <c r="H13" s="344" t="s">
        <v>156</v>
      </c>
      <c r="I13" s="569" t="n">
        <f>Assumptions!D16</f>
        <v>278000</v>
      </c>
      <c r="K13" s="768" t="s">
        <v>28</v>
      </c>
      <c r="L13" s="429" t="s">
        <v>16</v>
      </c>
      <c r="M13" s="429" t="s">
        <v>17</v>
      </c>
      <c r="N13" s="766" t="s">
        <v>29</v>
      </c>
      <c r="AF13" s="415"/>
      <c r="AG13" s="416"/>
      <c r="AH13" s="416"/>
      <c r="AI13" s="417"/>
      <c r="AK13" s="397" t="s">
        <v>726</v>
      </c>
      <c r="AL13" s="418" t="n">
        <f>V10</f>
        <v>1</v>
      </c>
      <c r="AM13" s="418" t="n">
        <f>AA10</f>
        <v>1</v>
      </c>
      <c r="AN13" s="394" t="n">
        <f t="shared" si="15"/>
        <v>0</v>
      </c>
      <c r="AP13" s="415"/>
      <c r="AQ13" s="416"/>
      <c r="AR13" s="416"/>
      <c r="AS13" s="417"/>
      <c r="AU13" s="398"/>
      <c r="AV13" s="399"/>
      <c r="AW13" s="399"/>
      <c r="AX13" s="399"/>
      <c r="AZ13" s="400"/>
      <c r="BA13" s="401"/>
      <c r="BB13" s="401"/>
      <c r="BC13" s="402"/>
      <c r="BE13" s="398"/>
      <c r="BF13" s="399"/>
      <c r="BG13" s="399"/>
      <c r="BH13" s="399"/>
    </row>
    <row r="14" spans="2:60" ht="15" customHeight="1" thickBot="1">
      <c r="B14" s="759"/>
      <c r="C14" s="761"/>
      <c r="E14" s="648" t="s">
        <v>38</v>
      </c>
      <c r="F14" s="649"/>
      <c r="H14" s="353" t="s">
        <v>158</v>
      </c>
      <c r="I14" s="570" t="n">
        <f>Assumptions!D17</f>
        <v>44545</v>
      </c>
      <c r="K14" s="769"/>
      <c r="L14" s="430" t="str">
        <f>"("&amp;TEXT(ROUND('Evaluation Set-up'!$F$9+'Evaluation Set-up'!$G$9/12, 2), "0.00")&amp;" years"&amp;")"</f>
        <v>(4.58 years)</v>
      </c>
      <c r="M14" s="430" t="str">
        <f>"("&amp;TEXT(ROUND('Evaluation Set-up'!$F$11+'Evaluation Set-up'!$G$11/12, 2), "0.00")&amp;" years"&amp;")"</f>
        <v>(4.58 years)</v>
      </c>
      <c r="N14" s="767"/>
      <c r="AF14" s="779" t="s">
        <v>24</v>
      </c>
      <c r="AG14" s="781" t="s">
        <v>16</v>
      </c>
      <c r="AH14" s="781" t="s">
        <v>17</v>
      </c>
      <c r="AI14" s="783" t="s">
        <v>25</v>
      </c>
      <c r="AK14" s="400"/>
      <c r="AL14" s="419"/>
      <c r="AM14" s="419"/>
      <c r="AN14" s="420"/>
      <c r="AP14" s="779" t="s">
        <v>24</v>
      </c>
      <c r="AQ14" s="781" t="s">
        <v>16</v>
      </c>
      <c r="AR14" s="781" t="s">
        <v>17</v>
      </c>
      <c r="AS14" s="783" t="s">
        <v>25</v>
      </c>
      <c r="AU14" s="391" t="str">
        <f>"Volume ("&amp;'Evaluation Set-up'!$N$5&amp;", "&amp;'Evaluation Set-up'!$N$6&amp;")"</f>
        <v>Volume (2019, 2025)</v>
      </c>
      <c r="AV14" s="414" t="n">
        <f>'Evaluation Set-up'!$R$5</f>
        <v>5100</v>
      </c>
      <c r="AW14" s="414" t="n">
        <f>'Evaluation Set-up'!$R$6</f>
        <v>4300</v>
      </c>
      <c r="AX14" s="394" t="n">
        <f t="shared" ref="AX14" si="17">IFERROR(IF(((AW14-AV14)/AV14)&gt;1,"100+%",((AW14-AV14)/AV14)), "n/a")</f>
        <v>-0.156862745098039</v>
      </c>
      <c r="AZ14" s="407" t="s">
        <v>725</v>
      </c>
      <c r="BA14" s="408" t="n">
        <f>V9</f>
        <v>3</v>
      </c>
      <c r="BB14" s="409" t="n">
        <f>AA9</f>
        <v>2</v>
      </c>
      <c r="BC14" s="395" t="s">
        <v>343</v>
      </c>
      <c r="BE14" s="391" t="str">
        <f>"Volume ("&amp;'Evaluation Set-up'!$N$5&amp;", "&amp;'Evaluation Set-up'!$N$6&amp;")"</f>
        <v>Volume (2019, 2025)</v>
      </c>
      <c r="BF14" s="414" t="n">
        <f>'Evaluation Set-up'!$R$5</f>
        <v>5100</v>
      </c>
      <c r="BG14" s="414" t="n">
        <f>'Evaluation Set-up'!$R$6</f>
        <v>4300</v>
      </c>
      <c r="BH14" s="394" t="n">
        <f t="shared" ref="BH14" si="18">IFERROR(IF(((BG14-BF14)/BF14)&gt;1,"100+%",((BG14-BF14)/BF14)), "n/a")</f>
        <v>-0.156862745098039</v>
      </c>
    </row>
    <row r="15" spans="2:60" ht="15.75" customHeight="1" thickBot="1">
      <c r="B15" s="759" t="s">
        <v>45</v>
      </c>
      <c r="C15" s="761" t="s">
        <v>708</v>
      </c>
      <c r="E15" s="764" t="s">
        <v>331</v>
      </c>
      <c r="F15" s="765"/>
      <c r="I15" s="356"/>
      <c r="K15" s="368" t="str">
        <f t="shared" ref="K15:K20" si="19">K5</f>
        <v>Target Crashes: Spring St At-Fault</v>
      </c>
      <c r="L15" s="369" t="str">
        <f>ROUND(L5/('Evaluation Set-up'!$F$9+'Evaluation Set-up'!$G$9/12),2)&amp;" cpy ("&amp;L5&amp;")"</f>
        <v>0.65 cpy (3)</v>
      </c>
      <c r="M15" s="369" t="str">
        <f>ROUND(M5/('Evaluation Set-up'!$F$11+'Evaluation Set-up'!$G$11/12),2)&amp;" cpy ("&amp;M5&amp;")"</f>
        <v>0.44 cpy (2)</v>
      </c>
      <c r="N15" s="370" t="n">
        <f>IFERROR(IF((((M5/('Evaluation Set-up'!$F$11+'Evaluation Set-up'!$G$11/12))-(L5/('Evaluation Set-up'!$F$9+'Evaluation Set-up'!$G$9/12)))/(L5/('Evaluation Set-up'!$F$9+'Evaluation Set-up'!$G$9/12)))&gt;1,"100+%",(((M5/('Evaluation Set-up'!$F$11+'Evaluation Set-up'!$G$11/12))-(L5/('Evaluation Set-up'!$F$9+'Evaluation Set-up'!$G$9/12)))/(L5/('Evaluation Set-up'!$F$9+'Evaluation Set-up'!$G$9/12)))), "n/a")</f>
        <v>-0.333333333333333</v>
      </c>
      <c r="AF15" s="780"/>
      <c r="AG15" s="782"/>
      <c r="AH15" s="782"/>
      <c r="AI15" s="784"/>
      <c r="AK15" s="407" t="s">
        <v>727</v>
      </c>
      <c r="AL15" s="408" t="n">
        <f>W9</f>
        <v>0</v>
      </c>
      <c r="AM15" s="409" t="n">
        <f>AB9</f>
        <v>0</v>
      </c>
      <c r="AN15" s="421" t="str">
        <f>IFERROR((AM15-AL15)/AL15, "n/a")</f>
        <v>n/a</v>
      </c>
      <c r="AP15" s="780"/>
      <c r="AQ15" s="782"/>
      <c r="AR15" s="782"/>
      <c r="AS15" s="784"/>
      <c r="AU15" s="415"/>
      <c r="AV15" s="416"/>
      <c r="AW15" s="416"/>
      <c r="AX15" s="417"/>
      <c r="AZ15" s="397" t="s">
        <v>726</v>
      </c>
      <c r="BA15" s="418" t="n">
        <f>V10</f>
        <v>1</v>
      </c>
      <c r="BB15" s="418" t="n">
        <f>AA10</f>
        <v>1</v>
      </c>
      <c r="BC15" s="394" t="n">
        <f t="shared" ref="BC15:BC16" si="20">IFERROR(IF(((BB15-BA15)/BA15)&gt;1,"100+%",((BB15-BA15)/BA15)), "n/a")</f>
        <v>0</v>
      </c>
      <c r="BE15" s="415"/>
      <c r="BF15" s="416"/>
      <c r="BG15" s="416"/>
      <c r="BH15" s="417"/>
    </row>
    <row r="16" spans="2:60" ht="14.7" thickBot="1">
      <c r="B16" s="759"/>
      <c r="C16" s="761"/>
      <c r="H16" s="357" t="s">
        <v>320</v>
      </c>
      <c r="I16" s="594" t="str">
        <f>IF(E10,"Treatment data consists of all crashes within "&amp;Assumptions!D19&amp;" ft of study intersection",IF(E11,"Treatment data consists of bike and ped crashes within "&amp;Assumptions!D19&amp;" ft of study intersection",""))</f>
        <v>Treatment data consists of all crashes within 150 ft of study intersection</v>
      </c>
      <c r="K16" s="371" t="str">
        <f t="shared" si="19"/>
        <v>Target Crashes: Main St At-Fault</v>
      </c>
      <c r="L16" s="372" t="str">
        <f>ROUND(L6/('Evaluation Set-up'!$F$9+'Evaluation Set-up'!$G$9/12),2)&amp;" cpy ("&amp;L6&amp;")"</f>
        <v>0 cpy (0)</v>
      </c>
      <c r="M16" s="372" t="str">
        <f>ROUND(M6/('Evaluation Set-up'!$F$11+'Evaluation Set-up'!$G$11/12),2)&amp;" cpy ("&amp;M6&amp;")"</f>
        <v>0 cpy (0)</v>
      </c>
      <c r="N16" s="373" t="str">
        <f>IFERROR(IF((((M6/('Evaluation Set-up'!$F$11+'Evaluation Set-up'!$G$11/12))-(L6/('Evaluation Set-up'!$F$9+'Evaluation Set-up'!$G$9/12)))/(L6/('Evaluation Set-up'!$F$9+'Evaluation Set-up'!$G$9/12)))&gt;1,"100+%",(((M6/('Evaluation Set-up'!$F$11+'Evaluation Set-up'!$G$11/12))-(L6/('Evaluation Set-up'!$F$9+'Evaluation Set-up'!$G$9/12)))/(L6/('Evaluation Set-up'!$F$9+'Evaluation Set-up'!$G$9/12)))), "n/a")</f>
        <v>n/a</v>
      </c>
      <c r="AF16" s="391" t="s">
        <v>114</v>
      </c>
      <c r="AG16" s="393" t="n">
        <f>U4</f>
        <v>0</v>
      </c>
      <c r="AH16" s="393" t="n">
        <f>Z4</f>
        <v>0</v>
      </c>
      <c r="AI16" s="394" t="str">
        <f t="shared" ref="AI16:AI20" si="21">IFERROR(IF(((AH16-AG16)/AG16)&gt;1,"100+%",((AH16-AG16)/AG16)), "n/a")</f>
        <v>n/a</v>
      </c>
      <c r="AK16" s="397" t="s">
        <v>728</v>
      </c>
      <c r="AL16" s="411" t="n">
        <f>W10</f>
        <v>0</v>
      </c>
      <c r="AM16" s="412" t="n">
        <f>AB10</f>
        <v>0</v>
      </c>
      <c r="AN16" s="394" t="str">
        <f t="shared" ref="AN16" si="22">IFERROR(IF(((AM16-AL16)/AL16)&gt;1,"100+%",((AM16-AL16)/AL16)), "n/a")</f>
        <v>n/a</v>
      </c>
      <c r="AP16" s="391" t="s">
        <v>114</v>
      </c>
      <c r="AQ16" s="393" t="n">
        <f>U4</f>
        <v>0</v>
      </c>
      <c r="AR16" s="393" t="n">
        <f>Z4</f>
        <v>0</v>
      </c>
      <c r="AS16" s="394" t="str">
        <f t="shared" ref="AS16:AS20" si="23">IFERROR(IF(((AR16-AQ16)/AQ16)&gt;1,"100+%",((AR16-AQ16)/AQ16)), "n/a")</f>
        <v>n/a</v>
      </c>
      <c r="AU16" s="779" t="s">
        <v>24</v>
      </c>
      <c r="AV16" s="389" t="s">
        <v>16</v>
      </c>
      <c r="AW16" s="389" t="s">
        <v>17</v>
      </c>
      <c r="AX16" s="783" t="s">
        <v>25</v>
      </c>
      <c r="AZ16" s="403" t="s">
        <v>729</v>
      </c>
      <c r="BA16" s="404" t="n">
        <f>BA14/('Evaluation Set-up'!$F$9+'Evaluation Set-up'!$G$9/12)</f>
        <v>0.654545454545455</v>
      </c>
      <c r="BB16" s="404" t="n">
        <f>BB14/('Evaluation Set-up'!$F$11+'Evaluation Set-up'!$G$11/12)</f>
        <v>0.436363636363636</v>
      </c>
      <c r="BC16" s="405" t="n">
        <f t="shared" si="20"/>
        <v>-0.333333333333333</v>
      </c>
      <c r="BE16" s="779" t="s">
        <v>24</v>
      </c>
      <c r="BF16" s="389" t="s">
        <v>16</v>
      </c>
      <c r="BG16" s="389" t="s">
        <v>17</v>
      </c>
      <c r="BH16" s="783" t="s">
        <v>25</v>
      </c>
    </row>
    <row r="17" spans="2:60" ht="14.7" thickBot="1">
      <c r="B17" s="759"/>
      <c r="C17" s="761"/>
      <c r="I17" s="356"/>
      <c r="K17" s="371" t="str">
        <f t="shared" si="19"/>
        <v>Target Crashes: Failed to Yield</v>
      </c>
      <c r="L17" s="372" t="str">
        <f>ROUND(L7/('Evaluation Set-up'!$F$9+'Evaluation Set-up'!$G$9/12),2)&amp;" cpy ("&amp;L7&amp;")"</f>
        <v>0.44 cpy (2)</v>
      </c>
      <c r="M17" s="372" t="str">
        <f>ROUND(M7/('Evaluation Set-up'!$F$11+'Evaluation Set-up'!$G$11/12),2)&amp;" cpy ("&amp;M7&amp;")"</f>
        <v>0.44 cpy (2)</v>
      </c>
      <c r="N17" s="373" t="n">
        <f>IFERROR(IF((((M7/('Evaluation Set-up'!$F$11+'Evaluation Set-up'!$G$11/12))-(L7/('Evaluation Set-up'!$F$9+'Evaluation Set-up'!$G$9/12)))/(L7/('Evaluation Set-up'!$F$9+'Evaluation Set-up'!$G$9/12)))&gt;1,"100+%",(((M7/('Evaluation Set-up'!$F$11+'Evaluation Set-up'!$G$11/12))-(L7/('Evaluation Set-up'!$F$9+'Evaluation Set-up'!$G$9/12)))/(L7/('Evaluation Set-up'!$F$9+'Evaluation Set-up'!$G$9/12)))), "n/a")</f>
        <v>0</v>
      </c>
      <c r="AF17" s="391" t="s">
        <v>115</v>
      </c>
      <c r="AG17" s="393" t="n">
        <f>U5</f>
        <v>0</v>
      </c>
      <c r="AH17" s="393" t="n">
        <f>Z5</f>
        <v>0</v>
      </c>
      <c r="AI17" s="394" t="str">
        <f t="shared" si="21"/>
        <v>n/a</v>
      </c>
      <c r="AK17" s="400"/>
      <c r="AL17" s="419"/>
      <c r="AM17" s="419"/>
      <c r="AN17" s="420"/>
      <c r="AP17" s="391" t="s">
        <v>115</v>
      </c>
      <c r="AQ17" s="393" t="n">
        <f>U5</f>
        <v>0</v>
      </c>
      <c r="AR17" s="393" t="n">
        <f>Z5</f>
        <v>0</v>
      </c>
      <c r="AS17" s="394" t="str">
        <f t="shared" si="23"/>
        <v>n/a</v>
      </c>
      <c r="AU17" s="780"/>
      <c r="AV17" s="390" t="str">
        <f>"("&amp;TEXT(ROUND('Evaluation Set-up'!$F$9+'Evaluation Set-up'!$G$9/12, 2), "0.00")&amp;" years"&amp;")"</f>
        <v>(4.58 years)</v>
      </c>
      <c r="AW17" s="390" t="str">
        <f>"("&amp;TEXT(ROUND('Evaluation Set-up'!$F$11+'Evaluation Set-up'!$G$11/12, 2), "0.00")&amp;" years"&amp;")"</f>
        <v>(4.58 years)</v>
      </c>
      <c r="AX17" s="784"/>
      <c r="AZ17" s="400"/>
      <c r="BA17" s="419"/>
      <c r="BB17" s="419"/>
      <c r="BC17" s="420"/>
      <c r="BE17" s="780"/>
      <c r="BF17" s="390" t="str">
        <f>"("&amp;TEXT(ROUND('Evaluation Set-up'!$F$9+'Evaluation Set-up'!$G$9/12, 2), "0.00")&amp;" years"&amp;")"</f>
        <v>(4.58 years)</v>
      </c>
      <c r="BG17" s="390" t="str">
        <f>"("&amp;TEXT(ROUND('Evaluation Set-up'!$F$11+'Evaluation Set-up'!$G$11/12, 2), "0.00")&amp;" years"&amp;")"</f>
        <v>(4.58 years)</v>
      </c>
      <c r="BH17" s="784"/>
    </row>
    <row r="18" spans="2:60" ht="15.3">
      <c r="B18" s="343" t="s">
        <v>45</v>
      </c>
      <c r="C18" s="358" t="s">
        <v>364</v>
      </c>
      <c r="H18" s="342" t="s">
        <v>242</v>
      </c>
      <c r="I18" s="571" t="str">
        <f>Assumptions!D20</f>
        <v>Frontal Impact Crashes in Intersection: Angle, Left Turn Different Roadways (LTDR), Left Turn Same Roadway (LTSR), Right Turn Different Roadways (RTDR), Right Turn Same Roadway (RTSR) and Head-On</v>
      </c>
      <c r="K18" s="371" t="str">
        <f t="shared" si="19"/>
        <v>Target Crashes: Ran Stop Sign</v>
      </c>
      <c r="L18" s="372" t="str">
        <f>ROUND(L8/('Evaluation Set-up'!$F$9+'Evaluation Set-up'!$G$9/12),2)&amp;" cpy ("&amp;L8&amp;")"</f>
        <v>0.22 cpy (1)</v>
      </c>
      <c r="M18" s="372" t="str">
        <f>ROUND(M8/('Evaluation Set-up'!$F$11+'Evaluation Set-up'!$G$11/12),2)&amp;" cpy ("&amp;M8&amp;")"</f>
        <v>0 cpy (0)</v>
      </c>
      <c r="N18" s="373" t="n">
        <f>IFERROR(IF((((M8/('Evaluation Set-up'!$F$11+'Evaluation Set-up'!$G$11/12))-(L8/('Evaluation Set-up'!$F$9+'Evaluation Set-up'!$G$9/12)))/(L8/('Evaluation Set-up'!$F$9+'Evaluation Set-up'!$G$9/12)))&gt;1,"100+%",(((M8/('Evaluation Set-up'!$F$11+'Evaluation Set-up'!$G$11/12))-(L8/('Evaluation Set-up'!$F$9+'Evaluation Set-up'!$G$9/12)))/(L8/('Evaluation Set-up'!$F$9+'Evaluation Set-up'!$G$9/12)))), "n/a")</f>
        <v>-1</v>
      </c>
      <c r="V18" s="100"/>
      <c r="AF18" s="391" t="s">
        <v>116</v>
      </c>
      <c r="AG18" s="393" t="n">
        <f>U6</f>
        <v>0</v>
      </c>
      <c r="AH18" s="393" t="n">
        <f>Z6</f>
        <v>0</v>
      </c>
      <c r="AI18" s="394" t="str">
        <f t="shared" si="21"/>
        <v>n/a</v>
      </c>
      <c r="AK18" s="407" t="str">
        <f>"Volume ("&amp;'Evaluation Set-up'!$N$5&amp;", "&amp;'Evaluation Set-up'!$N$6&amp;")"</f>
        <v>Volume (2019, 2025)</v>
      </c>
      <c r="AL18" s="422" t="n">
        <f>'Evaluation Set-up'!$R$5</f>
        <v>5100</v>
      </c>
      <c r="AM18" s="422" t="n">
        <f>'Evaluation Set-up'!$R$6</f>
        <v>4300</v>
      </c>
      <c r="AN18" s="394" t="n">
        <f t="shared" ref="AN18" si="24">IFERROR(IF(((AM18-AL18)/AL18)&gt;1,"100+%",((AM18-AL18)/AL18)), "n/a")</f>
        <v>-0.156862745098039</v>
      </c>
      <c r="AP18" s="391" t="s">
        <v>116</v>
      </c>
      <c r="AQ18" s="393" t="n">
        <f>U6</f>
        <v>0</v>
      </c>
      <c r="AR18" s="393" t="n">
        <f>Z6</f>
        <v>0</v>
      </c>
      <c r="AS18" s="394" t="str">
        <f t="shared" si="23"/>
        <v>n/a</v>
      </c>
      <c r="AU18" s="391" t="s">
        <v>114</v>
      </c>
      <c r="AV18" s="393" t="n">
        <f>U4</f>
        <v>0</v>
      </c>
      <c r="AW18" s="393" t="n">
        <f>Z4</f>
        <v>0</v>
      </c>
      <c r="AX18" s="395" t="s">
        <v>343</v>
      </c>
      <c r="AZ18" s="407" t="s">
        <v>727</v>
      </c>
      <c r="BA18" s="408" t="n">
        <f>W9</f>
        <v>0</v>
      </c>
      <c r="BB18" s="409" t="n">
        <f>AB9</f>
        <v>0</v>
      </c>
      <c r="BC18" s="395" t="s">
        <v>343</v>
      </c>
      <c r="BE18" s="391" t="s">
        <v>114</v>
      </c>
      <c r="BF18" s="393" t="n">
        <f>U4</f>
        <v>0</v>
      </c>
      <c r="BG18" s="393" t="n">
        <f>Z4</f>
        <v>0</v>
      </c>
      <c r="BH18" s="395" t="s">
        <v>343</v>
      </c>
    </row>
    <row r="19" spans="2:60" ht="15.3">
      <c r="B19" s="759" t="s">
        <v>45</v>
      </c>
      <c r="C19" s="761" t="s">
        <v>365</v>
      </c>
      <c r="H19" s="344" t="s">
        <v>243</v>
      </c>
      <c r="I19" s="572" t="str">
        <f>IF(Assumptions!D21&gt;0,Assumptions!D21,"")</f>
        <v/>
      </c>
      <c r="K19" s="371" t="str">
        <f t="shared" si="19"/>
        <v>Rear End Crashes</v>
      </c>
      <c r="L19" s="372" t="str">
        <f>ROUND(L9/('Evaluation Set-up'!$F$9+'Evaluation Set-up'!$G$9/12),2)&amp;" cpy ("&amp;L9&amp;")"</f>
        <v>0.22 cpy (1)</v>
      </c>
      <c r="M19" s="372" t="str">
        <f>ROUND(M9/('Evaluation Set-up'!$F$11+'Evaluation Set-up'!$G$11/12),2)&amp;" cpy ("&amp;M9&amp;")"</f>
        <v>0 cpy (0)</v>
      </c>
      <c r="N19" s="373" t="n">
        <f>IFERROR(IF((((M9/('Evaluation Set-up'!$F$11+'Evaluation Set-up'!$G$11/12))-(L9/('Evaluation Set-up'!$F$9+'Evaluation Set-up'!$G$9/12)))/(L9/('Evaluation Set-up'!$F$9+'Evaluation Set-up'!$G$9/12)))&gt;1,"100+%",(((M9/('Evaluation Set-up'!$F$11+'Evaluation Set-up'!$G$11/12))-(L9/('Evaluation Set-up'!$F$9+'Evaluation Set-up'!$G$9/12)))/(L9/('Evaluation Set-up'!$F$9+'Evaluation Set-up'!$G$9/12)))), "n/a")</f>
        <v>-1</v>
      </c>
      <c r="AF19" s="391" t="s">
        <v>26</v>
      </c>
      <c r="AG19" s="393" t="n">
        <f>U7</f>
        <v>1</v>
      </c>
      <c r="AH19" s="393" t="n">
        <f>Z7</f>
        <v>0</v>
      </c>
      <c r="AI19" s="394" t="n">
        <f t="shared" si="21"/>
        <v>-1</v>
      </c>
      <c r="AK19" s="415"/>
      <c r="AL19" s="416"/>
      <c r="AM19" s="416"/>
      <c r="AN19" s="417"/>
      <c r="AP19" s="391" t="s">
        <v>26</v>
      </c>
      <c r="AQ19" s="393" t="n">
        <f>U7</f>
        <v>1</v>
      </c>
      <c r="AR19" s="393" t="n">
        <f>Z7</f>
        <v>0</v>
      </c>
      <c r="AS19" s="394" t="n">
        <f t="shared" si="23"/>
        <v>-1</v>
      </c>
      <c r="AU19" s="391" t="s">
        <v>115</v>
      </c>
      <c r="AV19" s="393" t="n">
        <f>U5</f>
        <v>0</v>
      </c>
      <c r="AW19" s="393" t="n">
        <f>Z5</f>
        <v>0</v>
      </c>
      <c r="AX19" s="395" t="s">
        <v>343</v>
      </c>
      <c r="AZ19" s="397" t="s">
        <v>728</v>
      </c>
      <c r="BA19" s="411" t="n">
        <f>W10</f>
        <v>0</v>
      </c>
      <c r="BB19" s="412" t="n">
        <f>AB10</f>
        <v>0</v>
      </c>
      <c r="BC19" s="394" t="str">
        <f t="shared" ref="BC19:BC20" si="25">IFERROR(IF(((BB19-BA19)/BA19)&gt;1,"100+%",((BB19-BA19)/BA19)), "n/a")</f>
        <v>n/a</v>
      </c>
      <c r="BE19" s="391" t="s">
        <v>115</v>
      </c>
      <c r="BF19" s="393" t="n">
        <f>U5</f>
        <v>0</v>
      </c>
      <c r="BG19" s="393" t="n">
        <f>Z5</f>
        <v>0</v>
      </c>
      <c r="BH19" s="395" t="s">
        <v>343</v>
      </c>
    </row>
    <row r="20" spans="2:60" ht="15.6" thickBot="1">
      <c r="B20" s="759"/>
      <c r="C20" s="761"/>
      <c r="H20" s="353" t="s">
        <v>309</v>
      </c>
      <c r="I20" s="573" t="str">
        <f>IF(Assumptions!D22&gt;0,Assumptions!D22,"")</f>
        <v/>
      </c>
      <c r="K20" s="374" t="str">
        <f t="shared" si="19"/>
        <v>On-Street Parking Crashes</v>
      </c>
      <c r="L20" s="375" t="str">
        <f>ROUND(L10/('Evaluation Set-up'!$F$9+'Evaluation Set-up'!$G$9/12),2)&amp;" cpy ("&amp;L10&amp;")"</f>
        <v>0.65 cpy (3)</v>
      </c>
      <c r="M20" s="375" t="str">
        <f>ROUND(M10/('Evaluation Set-up'!$F$11+'Evaluation Set-up'!$G$11/12),2)&amp;" cpy ("&amp;M10&amp;")"</f>
        <v>0 cpy (0)</v>
      </c>
      <c r="N20" s="376" t="n">
        <f>IFERROR(IF((((M10/('Evaluation Set-up'!$F$11+'Evaluation Set-up'!$G$11/12))-(L10/('Evaluation Set-up'!$F$9+'Evaluation Set-up'!$G$9/12)))/(L10/('Evaluation Set-up'!$F$9+'Evaluation Set-up'!$G$9/12)))&gt;1,"100+%",(((M10/('Evaluation Set-up'!$F$11+'Evaluation Set-up'!$G$11/12))-(L10/('Evaluation Set-up'!$F$9+'Evaluation Set-up'!$G$9/12)))/(L10/('Evaluation Set-up'!$F$9+'Evaluation Set-up'!$G$9/12)))), "n/a")</f>
        <v>-1</v>
      </c>
      <c r="AF20" s="391" t="s">
        <v>27</v>
      </c>
      <c r="AG20" s="393" t="n">
        <f>U8</f>
        <v>6</v>
      </c>
      <c r="AH20" s="393" t="n">
        <f>Z8</f>
        <v>3</v>
      </c>
      <c r="AI20" s="394" t="n">
        <f t="shared" si="21"/>
        <v>-0.5</v>
      </c>
      <c r="AK20" s="779" t="s">
        <v>24</v>
      </c>
      <c r="AL20" s="781" t="s">
        <v>16</v>
      </c>
      <c r="AM20" s="781" t="s">
        <v>17</v>
      </c>
      <c r="AN20" s="783" t="s">
        <v>25</v>
      </c>
      <c r="AP20" s="391" t="s">
        <v>27</v>
      </c>
      <c r="AQ20" s="393" t="n">
        <f>U8</f>
        <v>6</v>
      </c>
      <c r="AR20" s="393" t="n">
        <f>Z8</f>
        <v>3</v>
      </c>
      <c r="AS20" s="394" t="n">
        <f t="shared" si="23"/>
        <v>-0.5</v>
      </c>
      <c r="AU20" s="391" t="s">
        <v>116</v>
      </c>
      <c r="AV20" s="393" t="n">
        <f>U6</f>
        <v>0</v>
      </c>
      <c r="AW20" s="393" t="n">
        <f>Z6</f>
        <v>0</v>
      </c>
      <c r="AX20" s="395" t="s">
        <v>343</v>
      </c>
      <c r="AZ20" s="403" t="s">
        <v>730</v>
      </c>
      <c r="BA20" s="404" t="n">
        <f>BA18/('Evaluation Set-up'!$F$9+'Evaluation Set-up'!$G$9/12)</f>
        <v>0</v>
      </c>
      <c r="BB20" s="404" t="n">
        <f>BB18/('Evaluation Set-up'!$F$11+'Evaluation Set-up'!$G$11/12)</f>
        <v>0</v>
      </c>
      <c r="BC20" s="405" t="str">
        <f t="shared" si="25"/>
        <v>n/a</v>
      </c>
      <c r="BE20" s="391" t="s">
        <v>116</v>
      </c>
      <c r="BF20" s="393" t="n">
        <f>U6</f>
        <v>0</v>
      </c>
      <c r="BG20" s="393" t="n">
        <f>Z6</f>
        <v>0</v>
      </c>
      <c r="BH20" s="395" t="s">
        <v>343</v>
      </c>
    </row>
    <row r="21" spans="2:60" ht="15.6" thickBot="1">
      <c r="B21" s="759" t="s">
        <v>45</v>
      </c>
      <c r="C21" s="761" t="s">
        <v>710</v>
      </c>
      <c r="AF21" s="423"/>
      <c r="AG21" s="423"/>
      <c r="AH21" s="423"/>
      <c r="AI21" s="423"/>
      <c r="AK21" s="780"/>
      <c r="AL21" s="782"/>
      <c r="AM21" s="782"/>
      <c r="AN21" s="784"/>
      <c r="AP21" s="423"/>
      <c r="AQ21" s="423"/>
      <c r="AR21" s="423"/>
      <c r="AS21" s="423"/>
      <c r="AU21" s="391" t="s">
        <v>26</v>
      </c>
      <c r="AV21" s="393" t="n">
        <f>U7</f>
        <v>1</v>
      </c>
      <c r="AW21" s="393" t="n">
        <f>Z7</f>
        <v>0</v>
      </c>
      <c r="AX21" s="395" t="s">
        <v>343</v>
      </c>
      <c r="AZ21" s="400"/>
      <c r="BA21" s="419"/>
      <c r="BB21" s="419"/>
      <c r="BC21" s="420"/>
      <c r="BE21" s="391" t="s">
        <v>26</v>
      </c>
      <c r="BF21" s="393" t="n">
        <f>U7</f>
        <v>1</v>
      </c>
      <c r="BG21" s="393" t="n">
        <f>Z7</f>
        <v>0</v>
      </c>
      <c r="BH21" s="395" t="s">
        <v>343</v>
      </c>
    </row>
    <row r="22" spans="2:60" ht="15" customHeight="1">
      <c r="B22" s="759"/>
      <c r="C22" s="761"/>
      <c r="H22" s="342" t="s">
        <v>147</v>
      </c>
      <c r="I22" s="359" t="s">
        <v>775</v>
      </c>
      <c r="K22" s="360"/>
      <c r="L22" s="361" t="s">
        <v>142</v>
      </c>
      <c r="M22" s="361" t="s">
        <v>143</v>
      </c>
      <c r="N22" s="361" t="s">
        <v>441</v>
      </c>
      <c r="T22" s="424"/>
      <c r="U22" s="424"/>
      <c r="V22" s="100"/>
      <c r="AF22" s="776" t="s">
        <v>66</v>
      </c>
      <c r="AG22" s="781" t="s">
        <v>16</v>
      </c>
      <c r="AH22" s="781" t="s">
        <v>17</v>
      </c>
      <c r="AI22" s="783" t="s">
        <v>25</v>
      </c>
      <c r="AK22" s="391" t="s">
        <v>114</v>
      </c>
      <c r="AL22" s="393" t="n">
        <f>U4</f>
        <v>0</v>
      </c>
      <c r="AM22" s="393" t="n">
        <f>Z4</f>
        <v>0</v>
      </c>
      <c r="AN22" s="394" t="str">
        <f t="shared" ref="AN22:AN26" si="26">IFERROR(IF(((AM22-AL22)/AL22)&gt;1,"100+%",((AM22-AL22)/AL22)), "n/a")</f>
        <v>n/a</v>
      </c>
      <c r="AP22" s="776" t="s">
        <v>154</v>
      </c>
      <c r="AQ22" s="781" t="s">
        <v>16</v>
      </c>
      <c r="AR22" s="781" t="s">
        <v>17</v>
      </c>
      <c r="AS22" s="783" t="s">
        <v>25</v>
      </c>
      <c r="AU22" s="391" t="s">
        <v>27</v>
      </c>
      <c r="AV22" s="393" t="n">
        <f>U8</f>
        <v>6</v>
      </c>
      <c r="AW22" s="393" t="n">
        <f>Z8</f>
        <v>3</v>
      </c>
      <c r="AX22" s="395" t="s">
        <v>343</v>
      </c>
      <c r="AZ22" s="407" t="str">
        <f>"Volume ("&amp;'Evaluation Set-up'!$N$5&amp;", "&amp;'Evaluation Set-up'!$N$6&amp;")"</f>
        <v>Volume (2019, 2025)</v>
      </c>
      <c r="BA22" s="422" t="n">
        <f>'Evaluation Set-up'!$R$5</f>
        <v>5100</v>
      </c>
      <c r="BB22" s="422" t="n">
        <f>'Evaluation Set-up'!$R$6</f>
        <v>4300</v>
      </c>
      <c r="BC22" s="394" t="n">
        <f t="shared" ref="BC22" si="27">IFERROR(IF(((BB22-BA22)/BA22)&gt;1,"100+%",((BB22-BA22)/BA22)), "n/a")</f>
        <v>-0.156862745098039</v>
      </c>
      <c r="BE22" s="391" t="s">
        <v>27</v>
      </c>
      <c r="BF22" s="393" t="n">
        <f>U8</f>
        <v>6</v>
      </c>
      <c r="BG22" s="393" t="n">
        <f>Z8</f>
        <v>3</v>
      </c>
      <c r="BH22" s="395" t="s">
        <v>343</v>
      </c>
    </row>
    <row r="23" spans="2:60">
      <c r="B23" s="759" t="s">
        <v>45</v>
      </c>
      <c r="C23" s="761" t="s">
        <v>711</v>
      </c>
      <c r="H23" s="344" t="s">
        <v>145</v>
      </c>
      <c r="I23" s="362" t="s">
        <v>776</v>
      </c>
      <c r="K23" s="363" t="s">
        <v>112</v>
      </c>
      <c r="L23" s="377" t="n">
        <f>'Evaluation Set-up'!D9</f>
        <v>42795</v>
      </c>
      <c r="M23" s="377" t="n">
        <f>'Evaluation Set-up'!E9</f>
        <v>44469</v>
      </c>
      <c r="N23" s="378" t="str">
        <f>'Evaluation Set-up'!F9&amp;"y, "&amp;'Evaluation Set-up'!G9&amp;"m"</f>
        <v>4y, 7m</v>
      </c>
      <c r="AF23" s="777"/>
      <c r="AG23" s="782"/>
      <c r="AH23" s="782"/>
      <c r="AI23" s="784"/>
      <c r="AK23" s="391" t="s">
        <v>115</v>
      </c>
      <c r="AL23" s="393" t="n">
        <f>U5</f>
        <v>0</v>
      </c>
      <c r="AM23" s="393" t="n">
        <f>Z5</f>
        <v>0</v>
      </c>
      <c r="AN23" s="394" t="str">
        <f t="shared" si="26"/>
        <v>n/a</v>
      </c>
      <c r="AP23" s="777"/>
      <c r="AQ23" s="782"/>
      <c r="AR23" s="782"/>
      <c r="AS23" s="784"/>
      <c r="AU23" s="398"/>
      <c r="AV23" s="399"/>
      <c r="AW23" s="399"/>
      <c r="AX23" s="399"/>
      <c r="AZ23" s="415"/>
      <c r="BA23" s="416"/>
      <c r="BB23" s="416"/>
      <c r="BC23" s="417"/>
      <c r="BE23" s="398"/>
      <c r="BF23" s="399"/>
      <c r="BG23" s="399"/>
      <c r="BH23" s="399"/>
    </row>
    <row r="24" spans="2:60" ht="14.7" thickBot="1">
      <c r="B24" s="759"/>
      <c r="C24" s="761"/>
      <c r="H24" s="353" t="s">
        <v>146</v>
      </c>
      <c r="I24" s="614">
        <v>46289</v>
      </c>
      <c r="K24" s="363" t="s">
        <v>144</v>
      </c>
      <c r="L24" s="377" t="n">
        <f>'Evaluation Set-up'!D10</f>
        <v>44470</v>
      </c>
      <c r="M24" s="377" t="n">
        <f>'Evaluation Set-up'!E10</f>
        <v>44561</v>
      </c>
      <c r="N24" s="378" t="str">
        <f>'Evaluation Set-up'!F10&amp;"y, "&amp;'Evaluation Set-up'!G10&amp;"m"</f>
        <v>0y, 3m</v>
      </c>
      <c r="AF24" s="391" t="s">
        <v>114</v>
      </c>
      <c r="AG24" s="393" t="n">
        <f>V4</f>
        <v>0</v>
      </c>
      <c r="AH24" s="393" t="n">
        <f>AA4</f>
        <v>0</v>
      </c>
      <c r="AI24" s="394" t="str">
        <f t="shared" ref="AI24:AI28" si="28">IFERROR(IF(((AH24-AG24)/AG24)&gt;1,"100+%",((AH24-AG24)/AG24)), "n/a")</f>
        <v>n/a</v>
      </c>
      <c r="AK24" s="391" t="s">
        <v>116</v>
      </c>
      <c r="AL24" s="393" t="n">
        <f>U6</f>
        <v>0</v>
      </c>
      <c r="AM24" s="393" t="n">
        <f>Z6</f>
        <v>0</v>
      </c>
      <c r="AN24" s="394" t="str">
        <f t="shared" si="26"/>
        <v>n/a</v>
      </c>
      <c r="AP24" s="391" t="s">
        <v>114</v>
      </c>
      <c r="AQ24" s="393" t="n">
        <f>Y4</f>
        <v>0</v>
      </c>
      <c r="AR24" s="393" t="n">
        <f>AD4</f>
        <v>0</v>
      </c>
      <c r="AS24" s="394" t="str">
        <f t="shared" ref="AS24:AS28" si="29">IFERROR(IF(((AR24-AQ24)/AQ24)&gt;1,"100+%",((AR24-AQ24)/AQ24)), "n/a")</f>
        <v>n/a</v>
      </c>
      <c r="AU24" s="403" t="s">
        <v>342</v>
      </c>
      <c r="AV24" s="425" t="n">
        <f>ROUND(SUM(AV18:AV21)/('Evaluation Set-up'!$F$9+'Evaluation Set-up'!$G$9/12),2)</f>
        <v>0.22</v>
      </c>
      <c r="AW24" s="425" t="n">
        <f>ROUND(SUM(AW18:AW21)/('Evaluation Set-up'!$F$11+'Evaluation Set-up'!$G$11/12),2)</f>
        <v>0</v>
      </c>
      <c r="AX24" s="405" t="n">
        <f t="shared" ref="AX24" si="30">IFERROR(IF(((AW24-AV24)/AV24)&gt;1,"100+%",((AW24-AV24)/AV24)), "n/a")</f>
        <v>-1</v>
      </c>
      <c r="AZ24" s="779" t="s">
        <v>24</v>
      </c>
      <c r="BA24" s="389" t="s">
        <v>16</v>
      </c>
      <c r="BB24" s="389" t="s">
        <v>17</v>
      </c>
      <c r="BC24" s="783" t="s">
        <v>25</v>
      </c>
      <c r="BE24" s="403" t="s">
        <v>342</v>
      </c>
      <c r="BF24" s="425" t="n">
        <f>ROUND(SUM(BF18:BF21)/('Evaluation Set-up'!$F$9+'Evaluation Set-up'!$G$9/12),2)</f>
        <v>0.22</v>
      </c>
      <c r="BG24" s="425" t="n">
        <f>ROUND(SUM(BG18:BG21)/('Evaluation Set-up'!$F$11+'Evaluation Set-up'!$G$11/12),2)</f>
        <v>0</v>
      </c>
      <c r="BH24" s="405" t="n">
        <f t="shared" ref="BH24" si="31">IFERROR(IF(((BG24-BF24)/BF24)&gt;1,"100+%",((BG24-BF24)/BF24)), "n/a")</f>
        <v>-1</v>
      </c>
    </row>
    <row r="25" spans="2:60" ht="14.7" thickBot="1">
      <c r="B25" s="759"/>
      <c r="C25" s="761"/>
      <c r="K25" s="363" t="s">
        <v>113</v>
      </c>
      <c r="L25" s="377" t="n">
        <f>'Evaluation Set-up'!D11</f>
        <v>44562</v>
      </c>
      <c r="M25" s="377" t="n">
        <f>'Evaluation Set-up'!E11</f>
        <v>46234</v>
      </c>
      <c r="N25" s="378" t="str">
        <f>'Evaluation Set-up'!F11&amp;"y, "&amp;'Evaluation Set-up'!G11&amp;"m"</f>
        <v>4y, 7m</v>
      </c>
      <c r="AF25" s="391" t="s">
        <v>115</v>
      </c>
      <c r="AG25" s="393" t="n">
        <f>V5</f>
        <v>0</v>
      </c>
      <c r="AH25" s="393" t="n">
        <f>AA5</f>
        <v>0</v>
      </c>
      <c r="AI25" s="394" t="str">
        <f t="shared" si="28"/>
        <v>n/a</v>
      </c>
      <c r="AK25" s="391" t="s">
        <v>26</v>
      </c>
      <c r="AL25" s="393" t="n">
        <f>U7</f>
        <v>1</v>
      </c>
      <c r="AM25" s="393" t="n">
        <f>Z7</f>
        <v>0</v>
      </c>
      <c r="AN25" s="394" t="n">
        <f t="shared" si="26"/>
        <v>-1</v>
      </c>
      <c r="AP25" s="391" t="s">
        <v>115</v>
      </c>
      <c r="AQ25" s="393" t="n">
        <f>Y5</f>
        <v>0</v>
      </c>
      <c r="AR25" s="393" t="n">
        <f>AD5</f>
        <v>0</v>
      </c>
      <c r="AS25" s="394" t="str">
        <f t="shared" si="29"/>
        <v>n/a</v>
      </c>
      <c r="AU25" s="415"/>
      <c r="AV25" s="426"/>
      <c r="AW25" s="426"/>
      <c r="AX25" s="417"/>
      <c r="AZ25" s="780"/>
      <c r="BA25" s="390" t="str">
        <f>"("&amp;TEXT(ROUND('Evaluation Set-up'!$F$9+'Evaluation Set-up'!$G$9/12, 2), "0.00")&amp;" years"&amp;")"</f>
        <v>(4.58 years)</v>
      </c>
      <c r="BB25" s="390" t="str">
        <f>"("&amp;TEXT(ROUND('Evaluation Set-up'!$F$11+'Evaluation Set-up'!$G$11/12, 2), "0.00")&amp;" years"&amp;")"</f>
        <v>(4.58 years)</v>
      </c>
      <c r="BC25" s="784"/>
      <c r="BE25" s="415"/>
      <c r="BF25" s="426"/>
      <c r="BG25" s="426"/>
      <c r="BH25" s="417"/>
    </row>
    <row r="26" spans="2:60" ht="15.6" thickBot="1">
      <c r="B26" s="759" t="s">
        <v>45</v>
      </c>
      <c r="C26" s="757" t="s">
        <v>734</v>
      </c>
      <c r="H26" s="357" t="s">
        <v>709</v>
      </c>
      <c r="I26" s="621" t="s">
        <v>779</v>
      </c>
      <c r="AF26" s="391" t="s">
        <v>116</v>
      </c>
      <c r="AG26" s="393" t="n">
        <f>V6</f>
        <v>0</v>
      </c>
      <c r="AH26" s="393" t="n">
        <f>AA6</f>
        <v>0</v>
      </c>
      <c r="AI26" s="394" t="str">
        <f t="shared" si="28"/>
        <v>n/a</v>
      </c>
      <c r="AK26" s="391" t="s">
        <v>27</v>
      </c>
      <c r="AL26" s="393" t="n">
        <f>U8</f>
        <v>6</v>
      </c>
      <c r="AM26" s="393" t="n">
        <f>Z8</f>
        <v>3</v>
      </c>
      <c r="AN26" s="394" t="n">
        <f t="shared" si="26"/>
        <v>-0.5</v>
      </c>
      <c r="AP26" s="391" t="s">
        <v>116</v>
      </c>
      <c r="AQ26" s="393" t="n">
        <f>Y6</f>
        <v>0</v>
      </c>
      <c r="AR26" s="393" t="n">
        <f>AD6</f>
        <v>0</v>
      </c>
      <c r="AS26" s="394" t="str">
        <f t="shared" si="29"/>
        <v>n/a</v>
      </c>
      <c r="AU26" s="778" t="s">
        <v>66</v>
      </c>
      <c r="AV26" s="389" t="s">
        <v>16</v>
      </c>
      <c r="AW26" s="427" t="s">
        <v>17</v>
      </c>
      <c r="AX26" s="785" t="s">
        <v>25</v>
      </c>
      <c r="AZ26" s="391" t="s">
        <v>114</v>
      </c>
      <c r="BA26" s="393" t="n">
        <f>U4</f>
        <v>0</v>
      </c>
      <c r="BB26" s="393" t="n">
        <f>Z4</f>
        <v>0</v>
      </c>
      <c r="BC26" s="395" t="s">
        <v>343</v>
      </c>
      <c r="BE26" s="776" t="s">
        <v>154</v>
      </c>
      <c r="BF26" s="389" t="s">
        <v>16</v>
      </c>
      <c r="BG26" s="389" t="s">
        <v>17</v>
      </c>
      <c r="BH26" s="783" t="s">
        <v>25</v>
      </c>
    </row>
    <row r="27" spans="2:60" ht="15.3">
      <c r="B27" s="759"/>
      <c r="C27" s="757"/>
      <c r="K27" s="790" t="s">
        <v>442</v>
      </c>
      <c r="L27" s="792" t="s">
        <v>111</v>
      </c>
      <c r="M27" s="792" t="s">
        <v>443</v>
      </c>
      <c r="N27" s="792" t="s">
        <v>444</v>
      </c>
      <c r="AF27" s="391" t="s">
        <v>26</v>
      </c>
      <c r="AG27" s="393" t="n">
        <f>V7</f>
        <v>0</v>
      </c>
      <c r="AH27" s="393" t="n">
        <f>AA7</f>
        <v>0</v>
      </c>
      <c r="AI27" s="394" t="str">
        <f t="shared" si="28"/>
        <v>n/a</v>
      </c>
      <c r="AK27" s="423"/>
      <c r="AL27" s="423"/>
      <c r="AM27" s="423"/>
      <c r="AN27" s="423"/>
      <c r="AP27" s="391" t="s">
        <v>26</v>
      </c>
      <c r="AQ27" s="393" t="n">
        <f>Y7</f>
        <v>0</v>
      </c>
      <c r="AR27" s="393" t="n">
        <f>AD7</f>
        <v>0</v>
      </c>
      <c r="AS27" s="394" t="str">
        <f t="shared" si="29"/>
        <v>n/a</v>
      </c>
      <c r="AU27" s="778"/>
      <c r="AV27" s="390" t="str">
        <f>"("&amp;TEXT(ROUND('Evaluation Set-up'!$F$9+'Evaluation Set-up'!$G$9/12, 2), "0.00")&amp;" years"&amp;")"</f>
        <v>(4.58 years)</v>
      </c>
      <c r="AW27" s="428" t="str">
        <f>"("&amp;TEXT(ROUND('Evaluation Set-up'!$F$11+'Evaluation Set-up'!$G$11/12, 2), "0.00")&amp;" years"&amp;")"</f>
        <v>(4.58 years)</v>
      </c>
      <c r="AX27" s="785"/>
      <c r="AZ27" s="391" t="s">
        <v>115</v>
      </c>
      <c r="BA27" s="393" t="n">
        <f>U5</f>
        <v>0</v>
      </c>
      <c r="BB27" s="393" t="n">
        <f>Z5</f>
        <v>0</v>
      </c>
      <c r="BC27" s="395" t="s">
        <v>343</v>
      </c>
      <c r="BE27" s="777"/>
      <c r="BF27" s="390" t="str">
        <f>"("&amp;TEXT(ROUND('Evaluation Set-up'!$F$9+'Evaluation Set-up'!$G$9/12, 2), "0.00")&amp;" years"&amp;")"</f>
        <v>(4.58 years)</v>
      </c>
      <c r="BG27" s="390" t="str">
        <f>"("&amp;TEXT(ROUND('Evaluation Set-up'!$F$11+'Evaluation Set-up'!$G$11/12, 2), "0.00")&amp;" years"&amp;")"</f>
        <v>(4.58 years)</v>
      </c>
      <c r="BH27" s="784"/>
    </row>
    <row r="28" spans="2:60" ht="15.3">
      <c r="B28" s="759"/>
      <c r="C28" s="757"/>
      <c r="K28" s="791"/>
      <c r="L28" s="793"/>
      <c r="M28" s="793"/>
      <c r="N28" s="793"/>
      <c r="AF28" s="391" t="s">
        <v>27</v>
      </c>
      <c r="AG28" s="393" t="n">
        <f>V8</f>
        <v>3</v>
      </c>
      <c r="AH28" s="393" t="n">
        <f>AA8</f>
        <v>2</v>
      </c>
      <c r="AI28" s="394" t="n">
        <f t="shared" si="28"/>
        <v>-0.333333333333333</v>
      </c>
      <c r="AK28" s="776" t="s">
        <v>154</v>
      </c>
      <c r="AL28" s="781" t="s">
        <v>16</v>
      </c>
      <c r="AM28" s="781" t="s">
        <v>17</v>
      </c>
      <c r="AN28" s="783" t="s">
        <v>25</v>
      </c>
      <c r="AP28" s="391" t="s">
        <v>27</v>
      </c>
      <c r="AQ28" s="393" t="n">
        <f>Y8</f>
        <v>3</v>
      </c>
      <c r="AR28" s="393" t="n">
        <f>AD8</f>
        <v>2</v>
      </c>
      <c r="AS28" s="394" t="n">
        <f t="shared" si="29"/>
        <v>-0.333333333333333</v>
      </c>
      <c r="AU28" s="391" t="s">
        <v>114</v>
      </c>
      <c r="AV28" s="409" t="n">
        <f>V4</f>
        <v>0</v>
      </c>
      <c r="AW28" s="409" t="n">
        <f>AA4</f>
        <v>0</v>
      </c>
      <c r="AX28" s="395" t="s">
        <v>343</v>
      </c>
      <c r="AZ28" s="391" t="s">
        <v>116</v>
      </c>
      <c r="BA28" s="393" t="n">
        <f>U6</f>
        <v>0</v>
      </c>
      <c r="BB28" s="393" t="n">
        <f>Z6</f>
        <v>0</v>
      </c>
      <c r="BC28" s="395" t="s">
        <v>343</v>
      </c>
      <c r="BE28" s="391" t="s">
        <v>114</v>
      </c>
      <c r="BF28" s="393" t="n">
        <f>Y4</f>
        <v>0</v>
      </c>
      <c r="BG28" s="393" t="n">
        <f>AD4</f>
        <v>0</v>
      </c>
      <c r="BH28" s="395" t="s">
        <v>343</v>
      </c>
    </row>
    <row r="29" spans="2:60" ht="15.6" thickBot="1">
      <c r="B29" s="760"/>
      <c r="C29" s="758"/>
      <c r="K29" s="364" t="s">
        <v>149</v>
      </c>
      <c r="L29" s="378" t="str">
        <f>ROUND(Assumptions!H6,2)&amp; " years"</f>
        <v>10 years</v>
      </c>
      <c r="M29" s="378" t="str">
        <f>TEXT(ROUND('Evaluation Set-up'!$F$9+'Evaluation Set-up'!$G$9/12, 2), "0.00")&amp;" years"</f>
        <v>4.58 years</v>
      </c>
      <c r="N29" s="378" t="str">
        <f>TEXT(ROUND('Evaluation Set-up'!$F$11+'Evaluation Set-up'!$G$11/12, 2), "0.00")&amp;" years"</f>
        <v>4.58 years</v>
      </c>
      <c r="AK29" s="777"/>
      <c r="AL29" s="782"/>
      <c r="AM29" s="782"/>
      <c r="AN29" s="784"/>
      <c r="AU29" s="391" t="s">
        <v>115</v>
      </c>
      <c r="AV29" s="393" t="n">
        <f>V5</f>
        <v>0</v>
      </c>
      <c r="AW29" s="393" t="n">
        <f>AA5</f>
        <v>0</v>
      </c>
      <c r="AX29" s="395" t="s">
        <v>343</v>
      </c>
      <c r="AZ29" s="391" t="s">
        <v>26</v>
      </c>
      <c r="BA29" s="393" t="n">
        <f>U7</f>
        <v>1</v>
      </c>
      <c r="BB29" s="393" t="n">
        <f>Z7</f>
        <v>0</v>
      </c>
      <c r="BC29" s="395" t="s">
        <v>343</v>
      </c>
      <c r="BE29" s="391" t="s">
        <v>115</v>
      </c>
      <c r="BF29" s="393" t="n">
        <f>Y5</f>
        <v>0</v>
      </c>
      <c r="BG29" s="393" t="n">
        <f>AD5</f>
        <v>0</v>
      </c>
      <c r="BH29" s="395" t="s">
        <v>343</v>
      </c>
    </row>
    <row r="30" spans="2:60" ht="15.3">
      <c r="K30" s="364" t="s">
        <v>142</v>
      </c>
      <c r="L30" s="377" t="n">
        <f>Assumptions!H7</f>
        <v>40391</v>
      </c>
      <c r="M30" s="377" t="n">
        <f>'Evaluation Set-up'!D9</f>
        <v>42795</v>
      </c>
      <c r="N30" s="377" t="n">
        <f>'Evaluation Set-up'!D11</f>
        <v>44562</v>
      </c>
      <c r="AK30" s="391" t="s">
        <v>114</v>
      </c>
      <c r="AL30" s="393" t="n">
        <f>Y4</f>
        <v>0</v>
      </c>
      <c r="AM30" s="393" t="n">
        <f>AD4</f>
        <v>0</v>
      </c>
      <c r="AN30" s="394" t="str">
        <f t="shared" ref="AN30:AN34" si="32">IFERROR(IF(((AM30-AL30)/AL30)&gt;1,"100+%",((AM30-AL30)/AL30)), "n/a")</f>
        <v>n/a</v>
      </c>
      <c r="AU30" s="391" t="s">
        <v>116</v>
      </c>
      <c r="AV30" s="393" t="n">
        <f>V6</f>
        <v>0</v>
      </c>
      <c r="AW30" s="393" t="n">
        <f>AA6</f>
        <v>0</v>
      </c>
      <c r="AX30" s="395" t="s">
        <v>343</v>
      </c>
      <c r="AZ30" s="391" t="s">
        <v>27</v>
      </c>
      <c r="BA30" s="393" t="n">
        <f>U8</f>
        <v>6</v>
      </c>
      <c r="BB30" s="393" t="n">
        <f>Z8</f>
        <v>3</v>
      </c>
      <c r="BC30" s="395" t="s">
        <v>343</v>
      </c>
      <c r="BE30" s="391" t="s">
        <v>116</v>
      </c>
      <c r="BF30" s="393" t="n">
        <f>Y6</f>
        <v>0</v>
      </c>
      <c r="BG30" s="393" t="n">
        <f>AD6</f>
        <v>0</v>
      </c>
      <c r="BH30" s="395" t="s">
        <v>343</v>
      </c>
    </row>
    <row r="31" spans="2:60" ht="15.3">
      <c r="K31" s="364" t="s">
        <v>143</v>
      </c>
      <c r="L31" s="377" t="n">
        <f>Assumptions!H8</f>
        <v>44043</v>
      </c>
      <c r="M31" s="377" t="n">
        <f>'Evaluation Set-up'!E9</f>
        <v>44469</v>
      </c>
      <c r="N31" s="377" t="n">
        <f>'Evaluation Set-up'!E11</f>
        <v>46234</v>
      </c>
      <c r="AK31" s="391" t="s">
        <v>115</v>
      </c>
      <c r="AL31" s="393" t="n">
        <f>Y5</f>
        <v>0</v>
      </c>
      <c r="AM31" s="393" t="n">
        <f>AD5</f>
        <v>0</v>
      </c>
      <c r="AN31" s="394" t="str">
        <f t="shared" si="32"/>
        <v>n/a</v>
      </c>
      <c r="AU31" s="391" t="s">
        <v>26</v>
      </c>
      <c r="AV31" s="393" t="n">
        <f>V7</f>
        <v>0</v>
      </c>
      <c r="AW31" s="393" t="n">
        <f>AA7</f>
        <v>0</v>
      </c>
      <c r="AX31" s="395" t="s">
        <v>343</v>
      </c>
      <c r="AZ31" s="398"/>
      <c r="BA31" s="399"/>
      <c r="BB31" s="399"/>
      <c r="BC31" s="399"/>
      <c r="BE31" s="391" t="s">
        <v>26</v>
      </c>
      <c r="BF31" s="393" t="n">
        <f>Y7</f>
        <v>0</v>
      </c>
      <c r="BG31" s="393" t="n">
        <f>AD7</f>
        <v>0</v>
      </c>
      <c r="BH31" s="395" t="s">
        <v>343</v>
      </c>
    </row>
    <row r="32" spans="2:60" ht="15.3">
      <c r="K32" s="365"/>
      <c r="L32" s="379"/>
      <c r="M32" s="380"/>
      <c r="N32" s="380"/>
      <c r="AK32" s="391" t="s">
        <v>116</v>
      </c>
      <c r="AL32" s="393" t="n">
        <f>Y6</f>
        <v>0</v>
      </c>
      <c r="AM32" s="393" t="n">
        <f>AD6</f>
        <v>0</v>
      </c>
      <c r="AN32" s="394" t="str">
        <f t="shared" si="32"/>
        <v>n/a</v>
      </c>
      <c r="AU32" s="391" t="s">
        <v>27</v>
      </c>
      <c r="AV32" s="393" t="n">
        <f>V8</f>
        <v>3</v>
      </c>
      <c r="AW32" s="393" t="n">
        <f>AA8</f>
        <v>2</v>
      </c>
      <c r="AX32" s="395" t="s">
        <v>343</v>
      </c>
      <c r="AZ32" s="403" t="s">
        <v>342</v>
      </c>
      <c r="BA32" s="425" t="n">
        <f>ROUND(SUM(BA26:BA29)/('Evaluation Set-up'!$F$9+'Evaluation Set-up'!$G$9/12),2)</f>
        <v>0.22</v>
      </c>
      <c r="BB32" s="425" t="n">
        <f>ROUND(SUM(BB26:BB29)/('Evaluation Set-up'!$F$11+'Evaluation Set-up'!$G$11/12),2)</f>
        <v>0</v>
      </c>
      <c r="BC32" s="405" t="n">
        <f t="shared" ref="BC32" si="33">IFERROR(IF(((BB32-BA32)/BA32)&gt;1,"100+%",((BB32-BA32)/BA32)), "n/a")</f>
        <v>-1</v>
      </c>
      <c r="BE32" s="391" t="s">
        <v>27</v>
      </c>
      <c r="BF32" s="393" t="n">
        <f>Y8</f>
        <v>3</v>
      </c>
      <c r="BG32" s="393" t="n">
        <f>AD8</f>
        <v>2</v>
      </c>
      <c r="BH32" s="395" t="s">
        <v>343</v>
      </c>
    </row>
    <row r="33" spans="2:60">
      <c r="K33" s="366" t="s">
        <v>13</v>
      </c>
      <c r="L33" s="381" t="n">
        <f>Assumptions!I10</f>
        <v>1.9</v>
      </c>
      <c r="M33" s="381" t="n">
        <f>U9/('Evaluation Set-up'!$F$9+'Evaluation Set-up'!$G$9/12)</f>
        <v>1.52727272727273</v>
      </c>
      <c r="N33" s="381" t="n">
        <f>Z9/('Evaluation Set-up'!$F$9+'Evaluation Set-up'!$G$9/12)</f>
        <v>0.654545454545455</v>
      </c>
      <c r="AK33" s="391" t="s">
        <v>26</v>
      </c>
      <c r="AL33" s="393" t="n">
        <f>Y7</f>
        <v>0</v>
      </c>
      <c r="AM33" s="393" t="n">
        <f>AD7</f>
        <v>0</v>
      </c>
      <c r="AN33" s="394" t="str">
        <f t="shared" si="32"/>
        <v>n/a</v>
      </c>
      <c r="AU33" s="398"/>
      <c r="AV33" s="399"/>
      <c r="AW33" s="399"/>
      <c r="AX33" s="399"/>
      <c r="AZ33" s="415"/>
      <c r="BA33" s="426"/>
      <c r="BB33" s="426"/>
      <c r="BC33" s="417"/>
      <c r="BE33" s="398"/>
      <c r="BF33" s="399"/>
      <c r="BG33" s="399"/>
      <c r="BH33" s="399"/>
    </row>
    <row r="34" spans="2:60">
      <c r="K34" s="350" t="s">
        <v>150</v>
      </c>
      <c r="L34" s="381" t="n">
        <f>Assumptions!I11</f>
        <v>0</v>
      </c>
      <c r="M34" s="381" t="n">
        <f>U4/('Evaluation Set-up'!$F$9+'Evaluation Set-up'!$G$9/12)</f>
        <v>0</v>
      </c>
      <c r="N34" s="381" t="n">
        <f>Z4/('Evaluation Set-up'!$F$9+'Evaluation Set-up'!$G$9/12)</f>
        <v>0</v>
      </c>
      <c r="AK34" s="391" t="s">
        <v>27</v>
      </c>
      <c r="AL34" s="393" t="n">
        <f>Y8</f>
        <v>3</v>
      </c>
      <c r="AM34" s="393" t="n">
        <f>AD8</f>
        <v>2</v>
      </c>
      <c r="AN34" s="394" t="n">
        <f t="shared" si="32"/>
        <v>-0.333333333333333</v>
      </c>
      <c r="AU34" s="403" t="s">
        <v>344</v>
      </c>
      <c r="AV34" s="425" t="n">
        <f>ROUND(SUM(AV28:AV31)/('Evaluation Set-up'!$F$9+'Evaluation Set-up'!$G$9/12),2)</f>
        <v>0</v>
      </c>
      <c r="AW34" s="425" t="n">
        <f>ROUND(SUM(AW28:AW31)/('Evaluation Set-up'!$F$11+'Evaluation Set-up'!$G$11/12),2)</f>
        <v>0</v>
      </c>
      <c r="AX34" s="405" t="str">
        <f t="shared" ref="AX34" si="34">IFERROR(IF(((AW34-AV34)/AV34)&gt;1,"100+%",((AW34-AV34)/AV34)), "n/a")</f>
        <v>n/a</v>
      </c>
      <c r="AZ34" s="776" t="s">
        <v>154</v>
      </c>
      <c r="BA34" s="389" t="s">
        <v>16</v>
      </c>
      <c r="BB34" s="389" t="s">
        <v>17</v>
      </c>
      <c r="BC34" s="783" t="s">
        <v>25</v>
      </c>
      <c r="BE34" s="403" t="s">
        <v>346</v>
      </c>
      <c r="BF34" s="425" t="n">
        <f>ROUND(SUM(BF28:BF31)/('Evaluation Set-up'!$F$9+'Evaluation Set-up'!$G$9/12),2)</f>
        <v>0</v>
      </c>
      <c r="BG34" s="425" t="n">
        <f>ROUND(SUM(BG28:BG31)/('Evaluation Set-up'!$F$11+'Evaluation Set-up'!$G$11/12),2)</f>
        <v>0</v>
      </c>
      <c r="BH34" s="405" t="str">
        <f t="shared" ref="BH34" si="35">IFERROR(IF(((BG34-BF34)/BF34)&gt;1,"100+%",((BG34-BF34)/BF34)), "n/a")</f>
        <v>n/a</v>
      </c>
    </row>
    <row r="35" spans="2:60">
      <c r="K35" s="350" t="s">
        <v>151</v>
      </c>
      <c r="L35" s="381" t="n">
        <f>Assumptions!I12</f>
        <v>0</v>
      </c>
      <c r="M35" s="381" t="n">
        <f>U5/('Evaluation Set-up'!$F$9+'Evaluation Set-up'!$G$9/12)</f>
        <v>0</v>
      </c>
      <c r="N35" s="381" t="n">
        <f>Z5/('Evaluation Set-up'!$F$9+'Evaluation Set-up'!$G$9/12)</f>
        <v>0</v>
      </c>
      <c r="AZ35" s="777"/>
      <c r="BA35" s="390" t="str">
        <f>"("&amp;TEXT(ROUND('Evaluation Set-up'!$F$9+'Evaluation Set-up'!$G$9/12, 2), "0.00")&amp;" years"&amp;")"</f>
        <v>(4.58 years)</v>
      </c>
      <c r="BB35" s="390" t="str">
        <f>"("&amp;TEXT(ROUND('Evaluation Set-up'!$F$11+'Evaluation Set-up'!$G$11/12, 2), "0.00")&amp;" years"&amp;")"</f>
        <v>(4.58 years)</v>
      </c>
      <c r="BC35" s="784"/>
    </row>
    <row r="36" spans="2:60" ht="15.3">
      <c r="B36" s="367"/>
      <c r="C36" s="97"/>
      <c r="K36" s="350" t="s">
        <v>152</v>
      </c>
      <c r="L36" s="381" t="n">
        <f>Assumptions!I13</f>
        <v>0.1</v>
      </c>
      <c r="M36" s="381" t="n">
        <f>U6/('Evaluation Set-up'!$F$9+'Evaluation Set-up'!$G$9/12)</f>
        <v>0</v>
      </c>
      <c r="N36" s="381" t="n">
        <f>Z6/('Evaluation Set-up'!$F$9+'Evaluation Set-up'!$G$9/12)</f>
        <v>0</v>
      </c>
      <c r="AZ36" s="391" t="s">
        <v>114</v>
      </c>
      <c r="BA36" s="393" t="n">
        <f>Y4</f>
        <v>0</v>
      </c>
      <c r="BB36" s="393" t="n">
        <f>AD4</f>
        <v>0</v>
      </c>
      <c r="BC36" s="395" t="s">
        <v>343</v>
      </c>
    </row>
    <row r="37" spans="2:60" ht="15.3">
      <c r="B37" s="367"/>
      <c r="C37" s="97"/>
      <c r="K37" s="350" t="s">
        <v>153</v>
      </c>
      <c r="L37" s="381" t="n">
        <f>Assumptions!I14</f>
        <v>0.3</v>
      </c>
      <c r="M37" s="381" t="n">
        <f>U7/('Evaluation Set-up'!$F$9+'Evaluation Set-up'!$G$9/12)</f>
        <v>0.218181818181818</v>
      </c>
      <c r="N37" s="381" t="n">
        <f>Z7/('Evaluation Set-up'!$F$9+'Evaluation Set-up'!$G$9/12)</f>
        <v>0</v>
      </c>
      <c r="AZ37" s="391" t="s">
        <v>115</v>
      </c>
      <c r="BA37" s="393" t="n">
        <f>Y5</f>
        <v>0</v>
      </c>
      <c r="BB37" s="393" t="n">
        <f>AD5</f>
        <v>0</v>
      </c>
      <c r="BC37" s="395" t="s">
        <v>343</v>
      </c>
    </row>
    <row r="38" spans="2:60" ht="15.3">
      <c r="B38" s="367"/>
      <c r="C38" s="97"/>
      <c r="K38" s="350" t="s">
        <v>27</v>
      </c>
      <c r="L38" s="381" t="n">
        <f>Assumptions!I15</f>
        <v>1.5</v>
      </c>
      <c r="M38" s="381" t="n">
        <f>U8/('Evaluation Set-up'!$F$9+'Evaluation Set-up'!$G$9/12)</f>
        <v>1.30909090909091</v>
      </c>
      <c r="N38" s="381" t="n">
        <f>Z8/('Evaluation Set-up'!$F$9+'Evaluation Set-up'!$G$9/12)</f>
        <v>0.654545454545455</v>
      </c>
      <c r="AZ38" s="391" t="s">
        <v>116</v>
      </c>
      <c r="BA38" s="393" t="n">
        <f>Y6</f>
        <v>0</v>
      </c>
      <c r="BB38" s="393" t="n">
        <f>AD6</f>
        <v>0</v>
      </c>
      <c r="BC38" s="395" t="s">
        <v>343</v>
      </c>
    </row>
    <row r="39" spans="2:60" ht="15.3">
      <c r="AZ39" s="391" t="s">
        <v>26</v>
      </c>
      <c r="BA39" s="393" t="n">
        <f>Y7</f>
        <v>0</v>
      </c>
      <c r="BB39" s="393" t="n">
        <f>AD7</f>
        <v>0</v>
      </c>
      <c r="BC39" s="395" t="s">
        <v>343</v>
      </c>
    </row>
    <row r="40" spans="2:60" ht="15.3">
      <c r="AZ40" s="391" t="s">
        <v>27</v>
      </c>
      <c r="BA40" s="393" t="n">
        <f>Y8</f>
        <v>3</v>
      </c>
      <c r="BB40" s="393" t="n">
        <f>AD8</f>
        <v>2</v>
      </c>
      <c r="BC40" s="395" t="s">
        <v>343</v>
      </c>
    </row>
    <row r="41" spans="2:60">
      <c r="AZ41" s="398"/>
      <c r="BA41" s="399"/>
      <c r="BB41" s="399"/>
      <c r="BC41" s="399"/>
    </row>
    <row r="42" spans="2:60">
      <c r="AZ42" s="403" t="s">
        <v>346</v>
      </c>
      <c r="BA42" s="425" t="n">
        <f>ROUND(SUM(BA36:BA39)/('Evaluation Set-up'!$F$9+'Evaluation Set-up'!$G$9/12),2)</f>
        <v>0</v>
      </c>
      <c r="BB42" s="425" t="n">
        <f>ROUND(SUM(BB36:BB39)/('Evaluation Set-up'!$F$11+'Evaluation Set-up'!$G$11/12),2)</f>
        <v>0</v>
      </c>
      <c r="BC42" s="405" t="str">
        <f t="shared" ref="BC42" si="36">IFERROR(IF(((BB42-BA42)/BA42)&gt;1,"100+%",((BB42-BA42)/BA42)), "n/a")</f>
        <v>n/a</v>
      </c>
    </row>
    <row r="44" spans="2:60" ht="15" customHeight="1"/>
    <row r="54" ht="15" customHeight="1"/>
    <row r="62" ht="15" customHeight="1"/>
  </sheetData>
  <sheetProtection formatColumns="0" formatRows="0"/>
  <mergeCells count="88">
    <mergeCell ref="K27:K28"/>
    <mergeCell ref="L27:L28"/>
    <mergeCell ref="M27:M28"/>
    <mergeCell ref="N27:N28"/>
    <mergeCell ref="AF22:AF23"/>
    <mergeCell ref="AF14:AF15"/>
    <mergeCell ref="AG14:AG15"/>
    <mergeCell ref="AH14:AH15"/>
    <mergeCell ref="AI14:AI15"/>
    <mergeCell ref="AG22:AG23"/>
    <mergeCell ref="AH22:AH23"/>
    <mergeCell ref="U2:Y2"/>
    <mergeCell ref="Z2:AD2"/>
    <mergeCell ref="AF4:AF5"/>
    <mergeCell ref="AG4:AG5"/>
    <mergeCell ref="AH4:AH5"/>
    <mergeCell ref="AK28:AK29"/>
    <mergeCell ref="AL28:AL29"/>
    <mergeCell ref="AM28:AM29"/>
    <mergeCell ref="AN28:AN29"/>
    <mergeCell ref="AI22:AI23"/>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BE4:BE5"/>
    <mergeCell ref="BH4:BH5"/>
    <mergeCell ref="AX16:AX17"/>
    <mergeCell ref="BE16:BE17"/>
    <mergeCell ref="AX4:AX5"/>
    <mergeCell ref="AZ4:AZ5"/>
    <mergeCell ref="BC4:BC5"/>
    <mergeCell ref="BC34:BC35"/>
    <mergeCell ref="AX26:AX27"/>
    <mergeCell ref="BE26:BE27"/>
    <mergeCell ref="BH26:BH27"/>
    <mergeCell ref="BH16:BH17"/>
    <mergeCell ref="AZ24:AZ25"/>
    <mergeCell ref="BC24:BC25"/>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E13:F13"/>
    <mergeCell ref="E14:F14"/>
    <mergeCell ref="E15:F15"/>
    <mergeCell ref="C7:C8"/>
    <mergeCell ref="N13:N14"/>
    <mergeCell ref="K13:K14"/>
    <mergeCell ref="B2:C2"/>
    <mergeCell ref="C19:C20"/>
    <mergeCell ref="B7:B8"/>
    <mergeCell ref="B9:B11"/>
    <mergeCell ref="B12:B14"/>
    <mergeCell ref="B19:B20"/>
    <mergeCell ref="C9:C11"/>
    <mergeCell ref="C12:C14"/>
    <mergeCell ref="C4:C6"/>
    <mergeCell ref="B4:B6"/>
    <mergeCell ref="C15:C17"/>
    <mergeCell ref="C26:C29"/>
    <mergeCell ref="B26:B29"/>
    <mergeCell ref="B15:B17"/>
    <mergeCell ref="C21:C22"/>
    <mergeCell ref="C23:C25"/>
    <mergeCell ref="B21:B22"/>
    <mergeCell ref="B23:B25"/>
  </mergeCells>
  <conditionalFormatting sqref="L29:L31">
    <cfRule type="containsBlanks" dxfId="21" priority="2">
      <formula>LEN(TRIM(L29))=0</formula>
    </cfRule>
  </conditionalFormatting>
  <conditionalFormatting sqref="L33:L38">
    <cfRule type="containsBlanks" dxfId="20"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786" t="s">
        <v>202</v>
      </c>
      <c r="T3" s="787"/>
      <c r="U3" s="787"/>
      <c r="V3" s="787"/>
      <c r="W3" s="787"/>
      <c r="X3" s="788"/>
      <c r="Y3" s="786" t="s">
        <v>203</v>
      </c>
      <c r="Z3" s="787"/>
      <c r="AA3" s="787"/>
      <c r="AB3" s="787"/>
      <c r="AC3" s="787"/>
      <c r="AD3" s="788"/>
      <c r="AE3" s="786" t="s">
        <v>204</v>
      </c>
      <c r="AF3" s="787"/>
      <c r="AG3" s="787"/>
      <c r="AH3" s="787"/>
      <c r="AI3" s="787"/>
      <c r="AJ3" s="788"/>
      <c r="AK3" s="786" t="s">
        <v>205</v>
      </c>
      <c r="AL3" s="787"/>
      <c r="AM3" s="787"/>
      <c r="AN3" s="787"/>
      <c r="AO3" s="787"/>
      <c r="AP3" s="788"/>
      <c r="AQ3" s="786" t="s">
        <v>206</v>
      </c>
      <c r="AR3" s="787"/>
      <c r="AS3" s="787"/>
      <c r="AT3" s="787"/>
      <c r="AU3" s="787"/>
      <c r="AV3" s="788"/>
      <c r="AW3" s="786" t="s">
        <v>207</v>
      </c>
      <c r="AX3" s="787"/>
      <c r="AY3" s="787"/>
      <c r="AZ3" s="787"/>
      <c r="BA3" s="787"/>
      <c r="BB3" s="788"/>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05-20-62123 (TIP #HS-2005A)</v>
      </c>
      <c r="C5" s="51" t="str">
        <f>'One Pager'!I6</f>
        <v>SR 1602 (Main Street) at SR 1207 (Spring Street)</v>
      </c>
      <c r="D5" s="51" t="str">
        <f>'One Pager'!I8</f>
        <v>Granville</v>
      </c>
      <c r="E5" s="51" t="str">
        <f>'One Pager'!I7</f>
        <v>36.310027, -78.587328</v>
      </c>
      <c r="F5" s="51" t="n">
        <f>'One Pager'!I13</f>
        <v>278000</v>
      </c>
      <c r="G5" s="51" t="str">
        <f>'One Pager'!I12</f>
        <v>Construct a Mini-Roundabout, replacing the stop signs on Spring Street. Pedestrian upgrades included crosswalks and curb ramps on all four legs, splitter island refuges on the north and west legs, and in-street yield to pedestrian signs (R1-6) in those islands. Signs installed were yield (R1-2) and roundabout ahead (W2-6) signs on all four approaches and chevron signs (R6-4) on the central island.</v>
      </c>
      <c r="H5" s="34" t="str">
        <f>Assumptions!D15</f>
        <v>Roundabout</v>
      </c>
      <c r="I5" s="34" t="n">
        <f>Assumptions!O6</f>
        <v>35</v>
      </c>
      <c r="J5" s="34" t="n">
        <f>Assumptions!O7</f>
        <v>25</v>
      </c>
      <c r="K5" s="34" t="n">
        <f>IF(YEAR('Evaluation Set-up'!$D$10) = YEAR('Evaluation Set-up'!$E$10), YEAR('Evaluation Set-up'!$D$10), YEAR('Evaluation Set-up'!$D$10)&amp;" - "&amp;YEAR('Evaluation Set-up'!$E$10))</f>
        <v>2021</v>
      </c>
      <c r="L5" s="34" t="n">
        <f>IF(VLOOKUP(YEAR('Evaluation Set-up'!$D$10)-3,$J$13:$K$37,2,0)&lt;&gt;12,"",YEAR('Evaluation Set-up'!$D$10)-3)</f>
        <v>2018</v>
      </c>
      <c r="M5" s="34" t="n">
        <f>IF(VLOOKUP(YEAR('Evaluation Set-up'!$D$10)-2,$J$13:$K$37,2,0)&lt;&gt;12,"",YEAR('Evaluation Set-up'!$D$10)-2)</f>
        <v>2019</v>
      </c>
      <c r="N5" s="34" t="n">
        <f>IF(VLOOKUP(YEAR('Evaluation Set-up'!$D$10)-1,$J$13:$K$37,2,0)&lt;&gt;12,"",YEAR('Evaluation Set-up'!$D$10)-1)</f>
        <v>2020</v>
      </c>
      <c r="O5" s="34" t="n">
        <f>IF(VLOOKUP(YEAR('Evaluation Set-up'!$E$10)+1,$Y$13:$Z$37,2,0)&lt;&gt;12,"",YEAR('Evaluation Set-up'!$E$10)+1)</f>
        <v>2022</v>
      </c>
      <c r="P5" s="34" t="n">
        <f>IF(VLOOKUP(YEAR('Evaluation Set-up'!$E$10)+2,$Y$13:$Z$37,2,0)&lt;&gt;12,"",YEAR('Evaluation Set-up'!$E$10)+2)</f>
        <v>2023</v>
      </c>
      <c r="Q5" s="34" t="n">
        <f>IF(VLOOKUP(YEAR('Evaluation Set-up'!$E$10)+3,$Y$13:$Z$37,2,0)&lt;&gt;12,"",YEAR('Evaluation Set-up'!$E$10)+3)</f>
        <v>2024</v>
      </c>
      <c r="R5" s="431"/>
      <c r="S5" s="34" t="n">
        <f>IF(L5="","",VLOOKUP($L5,$B$12:$H$37,2,0))</f>
        <v>1</v>
      </c>
      <c r="T5" s="34" t="n">
        <f>IF(L5="","",VLOOKUP($L5,$B$12:$H$37,3,0))</f>
        <v>0</v>
      </c>
      <c r="U5" s="34" t="n">
        <f>IF(L5="","",VLOOKUP($L5,$B$12:$H$37,4,0))</f>
        <v>0</v>
      </c>
      <c r="V5" s="34" t="n">
        <f>IF(L5="","",VLOOKUP($L5,$B$12:$H$37,5,0))</f>
        <v>0</v>
      </c>
      <c r="W5" s="34" t="n">
        <f>IF(L5="","",VLOOKUP($L5,$B$12:$H$37,6,0))</f>
        <v>3000</v>
      </c>
      <c r="X5" s="34" t="n">
        <f>IF(L5="","",VLOOKUP($L5,$B$12:$H$37,7,0))</f>
        <v>2450</v>
      </c>
      <c r="Y5" s="34" t="n">
        <f>IF(M5="","",VLOOKUP($M5,$B$12:$H$37,2,0))</f>
        <v>1</v>
      </c>
      <c r="Z5" s="34" t="n">
        <f>IF(M5="","",VLOOKUP($M5,$B$12:$H$37,3,0))</f>
        <v>0</v>
      </c>
      <c r="AA5" s="34" t="n">
        <f>IF(M5="","",VLOOKUP($M5,$B$12:$H$37,4,0))</f>
        <v>1</v>
      </c>
      <c r="AB5" s="34" t="n">
        <f>IF(M5="","",VLOOKUP($M5,$B$12:$H$37,5,0))</f>
        <v>1</v>
      </c>
      <c r="AC5" s="34" t="n">
        <f>IF(M5="","",VLOOKUP($M5,$B$12:$H$37,6,0))</f>
        <v>2850</v>
      </c>
      <c r="AD5" s="34" t="n">
        <f>IF(M5="","",VLOOKUP($M5,$B$12:$H$37,7,0))</f>
        <v>2200</v>
      </c>
      <c r="AE5" s="34" t="n">
        <f>IF(N5="","",VLOOKUP($N5,$B$12:$H$37,2,0))</f>
        <v>1</v>
      </c>
      <c r="AF5" s="34" t="n">
        <f>IF(N5="","",VLOOKUP($N5,$B$12:$H$37,3,0))</f>
        <v>0</v>
      </c>
      <c r="AG5" s="34" t="n">
        <f>IF(N5="","",VLOOKUP($N5,$B$12:$H$37,4,0))</f>
        <v>0</v>
      </c>
      <c r="AH5" s="34" t="n">
        <f>IF(N5="","",VLOOKUP($N5,$B$12:$H$37,5,0))</f>
        <v>0</v>
      </c>
      <c r="AI5" s="34" t="n">
        <f>IF(N5="","",VLOOKUP($N5,$B$12:$H$37,6,0))</f>
        <v>2300</v>
      </c>
      <c r="AJ5" s="34" t="n">
        <f>IF(N5="","",VLOOKUP($N5,$B$12:$H$37,7,0))</f>
        <v>1750</v>
      </c>
      <c r="AK5" s="34" t="n">
        <f>IF(O5="","",VLOOKUP($O5,$B$12:$H$37,2,0))</f>
        <v>1</v>
      </c>
      <c r="AL5" s="34" t="n">
        <f>IF(O5="","",VLOOKUP($O5,$B$12:$H$37,3,0))</f>
        <v>1</v>
      </c>
      <c r="AM5" s="34" t="n">
        <f>IF(O5="","",VLOOKUP($O5,$B$12:$H$37,4,0))</f>
        <v>0</v>
      </c>
      <c r="AN5" s="34" t="n">
        <f>IF(O5="","",VLOOKUP($O5,$B$12:$H$37,5,0))</f>
        <v>0</v>
      </c>
      <c r="AO5" s="34" t="n">
        <f>IF(O5="","",VLOOKUP($O5,$B$12:$H$37,6,0))</f>
        <v>2500</v>
      </c>
      <c r="AP5" s="34" t="n">
        <f>IF(O5="","",VLOOKUP($O5,$B$12:$H$37,7,0))</f>
        <v>1800</v>
      </c>
      <c r="AQ5" s="34" t="n">
        <f>IF(P5="","",VLOOKUP($P5,$B$12:$H$37,2,0))</f>
        <v>0</v>
      </c>
      <c r="AR5" s="34" t="n">
        <f>IF(P5="","",VLOOKUP($P5,$B$12:$H$37,3,0))</f>
        <v>0</v>
      </c>
      <c r="AS5" s="34" t="n">
        <f>IF(P5="","",VLOOKUP($P5,$B$12:$H$37,4,0))</f>
        <v>0</v>
      </c>
      <c r="AT5" s="34" t="n">
        <f>IF(P5="","",VLOOKUP($P5,$B$12:$H$37,5,0))</f>
        <v>0</v>
      </c>
      <c r="AU5" s="34" t="n">
        <f>IF(P5="","",VLOOKUP($P5,$B$12:$H$37,6,0))</f>
        <v>2350</v>
      </c>
      <c r="AV5" s="34" t="n">
        <f>IF(P5="","",VLOOKUP($P5,$B$12:$H$37,7,0))</f>
        <v>1750</v>
      </c>
      <c r="AW5" s="34" t="n">
        <f>IF(Q5="","",VLOOKUP($Q5,$B$12:$H$37,2,0))</f>
        <v>1</v>
      </c>
      <c r="AX5" s="34" t="n">
        <f>IF(Q5="","",VLOOKUP($Q5,$B$12:$H$37,3,0))</f>
        <v>0</v>
      </c>
      <c r="AY5" s="34" t="n">
        <f>IF(Q5="","",VLOOKUP($Q5,$B$12:$H$37,4,0))</f>
        <v>0</v>
      </c>
      <c r="AZ5" s="34" t="n">
        <f>IF(Q5="","",VLOOKUP($Q5,$B$12:$H$37,5,0))</f>
        <v>0</v>
      </c>
      <c r="BA5" s="34" t="n">
        <f>IF(Q5="","",VLOOKUP($Q5,$B$12:$H$37,6,0))</f>
        <v>2450</v>
      </c>
      <c r="BB5" s="34" t="n">
        <f>IF(Q5="","",VLOOKUP($Q5,$B$12:$H$37,7,0))</f>
        <v>1800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794" t="s">
        <v>234</v>
      </c>
      <c r="K11" s="796"/>
      <c r="L11" s="794" t="s">
        <v>230</v>
      </c>
      <c r="M11" s="795"/>
      <c r="N11" s="795"/>
      <c r="O11" s="795"/>
      <c r="P11" s="795"/>
      <c r="Q11" s="795"/>
      <c r="R11" s="795"/>
      <c r="S11" s="795"/>
      <c r="T11" s="795"/>
      <c r="U11" s="795"/>
      <c r="V11" s="795"/>
      <c r="W11" s="796"/>
      <c r="X11" s="48"/>
      <c r="Y11" s="794" t="s">
        <v>235</v>
      </c>
      <c r="Z11" s="796"/>
      <c r="AA11" s="794" t="s">
        <v>230</v>
      </c>
      <c r="AB11" s="795"/>
      <c r="AC11" s="795"/>
      <c r="AD11" s="795"/>
      <c r="AE11" s="795"/>
      <c r="AF11" s="795"/>
      <c r="AG11" s="795"/>
      <c r="AH11" s="795"/>
      <c r="AI11" s="795"/>
      <c r="AJ11" s="795"/>
      <c r="AK11" s="795"/>
      <c r="AL11" s="796"/>
    </row>
    <row r="12" spans="1:54" s="47" customFormat="1" ht="29.1" thickBot="1">
      <c r="B12" s="75" t="s">
        <v>31</v>
      </c>
      <c r="C12" s="56" t="s">
        <v>19</v>
      </c>
      <c r="D12" s="57" t="s">
        <v>67</v>
      </c>
      <c r="E12" s="57" t="s">
        <v>39</v>
      </c>
      <c r="F12" s="58" t="s">
        <v>231</v>
      </c>
      <c r="G12" s="56" t="s">
        <v>68</v>
      </c>
      <c r="H12" s="58" t="s">
        <v>69</v>
      </c>
      <c r="I12" s="46"/>
      <c r="J12" s="432" t="s">
        <v>241</v>
      </c>
      <c r="K12" s="433"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t="n">
        <f>COUNTIF(Before!$Q:$Q,B13) + COUNTIF(After!$Q:$Q,B13)</f>
        <v>0</v>
      </c>
      <c r="D13" s="79" t="n">
        <f>COUNTIFS(Before!$C:$C,"&gt;=23",Before!$C:$C,"&lt;=27", Before!$Q:$Q,B13)+COUNTIFS(Before!$C:$C,"30", Before!$Q:$Q,B13) + COUNTIFS(After!$C:$C,"&gt;=23",After!$C:$C,"&lt;=27", After!$Q:$Q,B13)+COUNTIFS(After!$C:$C,"30", After!$Q:$Q,B13)</f>
        <v>0</v>
      </c>
      <c r="E13" s="79" t="n">
        <f>COUNTIFS(Before!$C:$C,"&gt;=21",Before!$C:$C,"&lt;=22", Before!$Q:$Q,B13) + COUNTIFS(After!$C:$C,"&gt;=21",After!$C:$C,"&lt;=22", After!$Q:$Q,B13)</f>
        <v>0</v>
      </c>
      <c r="F13" s="80" t="n">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t="n">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t="n">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t="n">
        <f>COUNTIF(Before!$Q:$Q,B14) + COUNTIF(After!$Q:$Q,B14)</f>
        <v>0</v>
      </c>
      <c r="D14" s="34" t="n">
        <f>COUNTIFS(Before!$C:$C,"&gt;=23",Before!$C:$C,"&lt;=27", Before!$Q:$Q,B14)+COUNTIFS(Before!$C:$C,"30", Before!$Q:$Q,B14) + COUNTIFS(After!$C:$C,"&gt;=23",After!$C:$C,"&lt;=27", After!$Q:$Q,B14)+COUNTIFS(After!$C:$C,"30", After!$Q:$Q,B14)</f>
        <v>0</v>
      </c>
      <c r="E14" s="34" t="n">
        <f>COUNTIFS(Before!$C:$C,"&gt;=21",Before!$C:$C,"&lt;=22", Before!$Q:$Q,B14) + COUNTIFS(After!$C:$C,"&gt;=21",After!$C:$C,"&lt;=22", After!$Q:$Q,B14)</f>
        <v>0</v>
      </c>
      <c r="F14" s="82" t="n">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t="n">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t="n">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t="n">
        <f>COUNTIF(Before!$Q:$Q,B15) + COUNTIF(After!$Q:$Q,B15)</f>
        <v>0</v>
      </c>
      <c r="D15" s="34" t="n">
        <f>COUNTIFS(Before!$C:$C,"&gt;=23",Before!$C:$C,"&lt;=27", Before!$Q:$Q,B15)+COUNTIFS(Before!$C:$C,"30", Before!$Q:$Q,B15) + COUNTIFS(After!$C:$C,"&gt;=23",After!$C:$C,"&lt;=27", After!$Q:$Q,B15)+COUNTIFS(After!$C:$C,"30", After!$Q:$Q,B15)</f>
        <v>0</v>
      </c>
      <c r="E15" s="34" t="n">
        <f>COUNTIFS(Before!$C:$C,"&gt;=21",Before!$C:$C,"&lt;=22", Before!$Q:$Q,B15) + COUNTIFS(After!$C:$C,"&gt;=21",After!$C:$C,"&lt;=22", After!$Q:$Q,B15)</f>
        <v>0</v>
      </c>
      <c r="F15" s="82" t="n">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t="n">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t="n">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t="n">
        <f>COUNTIF(Before!$Q:$Q,B16) + COUNTIF(After!$Q:$Q,B16)</f>
        <v>0</v>
      </c>
      <c r="D16" s="34" t="n">
        <f>COUNTIFS(Before!$C:$C,"&gt;=23",Before!$C:$C,"&lt;=27", Before!$Q:$Q,B16)+COUNTIFS(Before!$C:$C,"30", Before!$Q:$Q,B16) + COUNTIFS(After!$C:$C,"&gt;=23",After!$C:$C,"&lt;=27", After!$Q:$Q,B16)+COUNTIFS(After!$C:$C,"30", After!$Q:$Q,B16)</f>
        <v>0</v>
      </c>
      <c r="E16" s="34" t="n">
        <f>COUNTIFS(Before!$C:$C,"&gt;=21",Before!$C:$C,"&lt;=22", Before!$Q:$Q,B16) + COUNTIFS(After!$C:$C,"&gt;=21",After!$C:$C,"&lt;=22", After!$Q:$Q,B16)</f>
        <v>0</v>
      </c>
      <c r="F16" s="82" t="n">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t="n">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t="n">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t="n">
        <f>COUNTIF(Before!$Q:$Q,B17) + COUNTIF(After!$Q:$Q,B17)</f>
        <v>0</v>
      </c>
      <c r="D17" s="34" t="n">
        <f>COUNTIFS(Before!$C:$C,"&gt;=23",Before!$C:$C,"&lt;=27", Before!$Q:$Q,B17)+COUNTIFS(Before!$C:$C,"30", Before!$Q:$Q,B17) + COUNTIFS(After!$C:$C,"&gt;=23",After!$C:$C,"&lt;=27", After!$Q:$Q,B17)+COUNTIFS(After!$C:$C,"30", After!$Q:$Q,B17)</f>
        <v>0</v>
      </c>
      <c r="E17" s="34" t="n">
        <f>COUNTIFS(Before!$C:$C,"&gt;=21",Before!$C:$C,"&lt;=22", Before!$Q:$Q,B17) + COUNTIFS(After!$C:$C,"&gt;=21",After!$C:$C,"&lt;=22", After!$Q:$Q,B17)</f>
        <v>0</v>
      </c>
      <c r="F17" s="82" t="n">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t="n">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t="n">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t="n">
        <f>COUNTIF(Before!$Q:$Q,B18) + COUNTIF(After!$Q:$Q,B18)</f>
        <v>0</v>
      </c>
      <c r="D18" s="34" t="n">
        <f>COUNTIFS(Before!$C:$C,"&gt;=23",Before!$C:$C,"&lt;=27", Before!$Q:$Q,B18)+COUNTIFS(Before!$C:$C,"30", Before!$Q:$Q,B18) + COUNTIFS(After!$C:$C,"&gt;=23",After!$C:$C,"&lt;=27", After!$Q:$Q,B18)+COUNTIFS(After!$C:$C,"30", After!$Q:$Q,B18)</f>
        <v>0</v>
      </c>
      <c r="E18" s="34" t="n">
        <f>COUNTIFS(Before!$C:$C,"&gt;=21",Before!$C:$C,"&lt;=22", Before!$Q:$Q,B18) + COUNTIFS(After!$C:$C,"&gt;=21",After!$C:$C,"&lt;=22", After!$Q:$Q,B18)</f>
        <v>0</v>
      </c>
      <c r="F18" s="82" t="n">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t="n">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t="n">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t="n">
        <f>COUNTIF(Before!$Q:$Q,B19) + COUNTIF(After!$Q:$Q,B19)</f>
        <v>0</v>
      </c>
      <c r="D19" s="34" t="n">
        <f>COUNTIFS(Before!$C:$C,"&gt;=23",Before!$C:$C,"&lt;=27", Before!$Q:$Q,B19)+COUNTIFS(Before!$C:$C,"30", Before!$Q:$Q,B19) + COUNTIFS(After!$C:$C,"&gt;=23",After!$C:$C,"&lt;=27", After!$Q:$Q,B19)+COUNTIFS(After!$C:$C,"30", After!$Q:$Q,B19)</f>
        <v>0</v>
      </c>
      <c r="E19" s="34" t="n">
        <f>COUNTIFS(Before!$C:$C,"&gt;=21",Before!$C:$C,"&lt;=22", Before!$Q:$Q,B19) + COUNTIFS(After!$C:$C,"&gt;=21",After!$C:$C,"&lt;=22", After!$Q:$Q,B19)</f>
        <v>0</v>
      </c>
      <c r="F19" s="82" t="n">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t="n">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
      </c>
      <c r="X19" s="1"/>
      <c r="Y19" s="49">
        <v>2016</v>
      </c>
      <c r="Z19" s="65" t="n">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t="n">
        <f>COUNTIF(Before!$Q:$Q,B20) + COUNTIF(After!$Q:$Q,B20)</f>
        <v>3</v>
      </c>
      <c r="D20" s="34" t="n">
        <f>COUNTIFS(Before!$C:$C,"&gt;=23",Before!$C:$C,"&lt;=27", Before!$Q:$Q,B20)+COUNTIFS(Before!$C:$C,"30", Before!$Q:$Q,B20) + COUNTIFS(After!$C:$C,"&gt;=23",After!$C:$C,"&lt;=27", After!$Q:$Q,B20)+COUNTIFS(After!$C:$C,"30", After!$Q:$Q,B20)</f>
        <v>1</v>
      </c>
      <c r="E20" s="34" t="n">
        <f>COUNTIFS(Before!$C:$C,"&gt;=21",Before!$C:$C,"&lt;=22", Before!$Q:$Q,B20) + COUNTIFS(After!$C:$C,"&gt;=21",After!$C:$C,"&lt;=22", After!$Q:$Q,B20)</f>
        <v>0</v>
      </c>
      <c r="F20" s="82" t="n">
        <f>COUNTIFS(Before!$Q:$Q,$B20, Before!$G:$G, "K") + COUNTIFS(Before!$Q:$Q,$B20, Before!$G:$G, "A") + COUNTIFS(Before!$Q:$Q,$B20, Before!$G:$G, "B") + COUNTIFS(Before!$Q:$Q,$B20, Before!$G:$G, "C")
+ COUNTIFS(After!$Q:$Q,$B20, After!$G:$G, "K") + COUNTIFS(After!$Q:$Q,$B20, After!$G:$G, "A") + COUNTIFS(After!$Q:$Q,$B20, After!$G:$G, "B") + COUNTIFS(After!$Q:$Q,$B20, After!$G:$G, "C")</f>
        <v>0</v>
      </c>
      <c r="G20" s="85" t="n">
        <f>VLOOKUP($B20, 'Evaluation Set-up'!$K$11:$R$35, 4, FALSE)</f>
        <v>3150</v>
      </c>
      <c r="H20" s="86" t="n">
        <f>VLOOKUP($B20, 'Evaluation Set-up'!$K$11:$R$35, 7, FALSE)</f>
        <v>2650</v>
      </c>
      <c r="J20" s="49">
        <v>2017</v>
      </c>
      <c r="K20" s="65" t="n">
        <f t="shared" si="0"/>
        <v>10</v>
      </c>
      <c r="L20" s="1" t="str">
        <f>IF(OR(DATE($J20, L$12, 1) &lt; 'Evaluation Set-up'!$D$9, DATE($J20, L$12, 1) &gt;= 'Evaluation Set-up'!$E$9), "", "Before")</f>
        <v/>
      </c>
      <c r="M20" s="1" t="str">
        <f>IF(OR(DATE($J20, M$12, 1) &lt; 'Evaluation Set-up'!$D$9, DATE($J20, M$12, 1) &gt;= 'Evaluation Set-up'!$E$9), "", "Before")</f>
        <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t="n">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t="n">
        <f>COUNTIF(Before!$Q:$Q,B21) + COUNTIF(After!$Q:$Q,B21)</f>
        <v>1</v>
      </c>
      <c r="D21" s="34" t="n">
        <f>COUNTIFS(Before!$C:$C,"&gt;=23",Before!$C:$C,"&lt;=27", Before!$Q:$Q,B21)+COUNTIFS(Before!$C:$C,"30", Before!$Q:$Q,B21) + COUNTIFS(After!$C:$C,"&gt;=23",After!$C:$C,"&lt;=27", After!$Q:$Q,B21)+COUNTIFS(After!$C:$C,"30", After!$Q:$Q,B21)</f>
        <v>0</v>
      </c>
      <c r="E21" s="34" t="n">
        <f>COUNTIFS(Before!$C:$C,"&gt;=21",Before!$C:$C,"&lt;=22", Before!$Q:$Q,B21) + COUNTIFS(After!$C:$C,"&gt;=21",After!$C:$C,"&lt;=22", After!$Q:$Q,B21)</f>
        <v>0</v>
      </c>
      <c r="F21" s="82" t="n">
        <f>COUNTIFS(Before!$Q:$Q,$B21, Before!$G:$G, "K") + COUNTIFS(Before!$Q:$Q,$B21, Before!$G:$G, "A") + COUNTIFS(Before!$Q:$Q,$B21, Before!$G:$G, "B") + COUNTIFS(Before!$Q:$Q,$B21, Before!$G:$G, "C")
+ COUNTIFS(After!$Q:$Q,$B21, After!$G:$G, "K") + COUNTIFS(After!$Q:$Q,$B21, After!$G:$G, "A") + COUNTIFS(After!$Q:$Q,$B21, After!$G:$G, "B") + COUNTIFS(After!$Q:$Q,$B21, After!$G:$G, "C")</f>
        <v>0</v>
      </c>
      <c r="G21" s="85" t="n">
        <f>VLOOKUP($B21, 'Evaluation Set-up'!$K$11:$R$35, 4, FALSE)</f>
        <v>3000</v>
      </c>
      <c r="H21" s="86" t="n">
        <f>VLOOKUP($B21, 'Evaluation Set-up'!$K$11:$R$35, 7, FALSE)</f>
        <v>2450</v>
      </c>
      <c r="J21" s="49">
        <v>2018</v>
      </c>
      <c r="K21" s="65" t="n">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t="n">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t="n">
        <f>COUNTIF(Before!$Q:$Q,B22) + COUNTIF(After!$Q:$Q,B22)</f>
        <v>1</v>
      </c>
      <c r="D22" s="34" t="n">
        <f>COUNTIFS(Before!$C:$C,"&gt;=23",Before!$C:$C,"&lt;=27", Before!$Q:$Q,B22)+COUNTIFS(Before!$C:$C,"30", Before!$Q:$Q,B22) + COUNTIFS(After!$C:$C,"&gt;=23",After!$C:$C,"&lt;=27", After!$Q:$Q,B22)+COUNTIFS(After!$C:$C,"30", After!$Q:$Q,B22)</f>
        <v>0</v>
      </c>
      <c r="E22" s="34" t="n">
        <f>COUNTIFS(Before!$C:$C,"&gt;=21",Before!$C:$C,"&lt;=22", Before!$Q:$Q,B22) + COUNTIFS(After!$C:$C,"&gt;=21",After!$C:$C,"&lt;=22", After!$Q:$Q,B22)</f>
        <v>1</v>
      </c>
      <c r="F22" s="82" t="n">
        <f>COUNTIFS(Before!$Q:$Q,$B22, Before!$G:$G, "K") + COUNTIFS(Before!$Q:$Q,$B22, Before!$G:$G, "A") + COUNTIFS(Before!$Q:$Q,$B22, Before!$G:$G, "B") + COUNTIFS(Before!$Q:$Q,$B22, Before!$G:$G, "C")
+ COUNTIFS(After!$Q:$Q,$B22, After!$G:$G, "K") + COUNTIFS(After!$Q:$Q,$B22, After!$G:$G, "A") + COUNTIFS(After!$Q:$Q,$B22, After!$G:$G, "B") + COUNTIFS(After!$Q:$Q,$B22, After!$G:$G, "C")</f>
        <v>1</v>
      </c>
      <c r="G22" s="85" t="n">
        <f>VLOOKUP($B22, 'Evaluation Set-up'!$K$11:$R$35, 4, FALSE)</f>
        <v>2850</v>
      </c>
      <c r="H22" s="86" t="n">
        <f>VLOOKUP($B22, 'Evaluation Set-up'!$K$11:$R$35, 7, FALSE)</f>
        <v>2200</v>
      </c>
      <c r="J22" s="49">
        <v>2019</v>
      </c>
      <c r="K22" s="65" t="n">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t="n">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t="n">
        <f>COUNTIF(Before!$Q:$Q,B23) + COUNTIF(After!$Q:$Q,B23)</f>
        <v>1</v>
      </c>
      <c r="D23" s="34" t="n">
        <f>COUNTIFS(Before!$C:$C,"&gt;=23",Before!$C:$C,"&lt;=27", Before!$Q:$Q,B23)+COUNTIFS(Before!$C:$C,"30", Before!$Q:$Q,B23) + COUNTIFS(After!$C:$C,"&gt;=23",After!$C:$C,"&lt;=27", After!$Q:$Q,B23)+COUNTIFS(After!$C:$C,"30", After!$Q:$Q,B23)</f>
        <v>0</v>
      </c>
      <c r="E23" s="34" t="n">
        <f>COUNTIFS(Before!$C:$C,"&gt;=21",Before!$C:$C,"&lt;=22", Before!$Q:$Q,B23) + COUNTIFS(After!$C:$C,"&gt;=21",After!$C:$C,"&lt;=22", After!$Q:$Q,B23)</f>
        <v>0</v>
      </c>
      <c r="F23" s="82" t="n">
        <f>COUNTIFS(Before!$Q:$Q,$B23, Before!$G:$G, "K") + COUNTIFS(Before!$Q:$Q,$B23, Before!$G:$G, "A") + COUNTIFS(Before!$Q:$Q,$B23, Before!$G:$G, "B") + COUNTIFS(Before!$Q:$Q,$B23, Before!$G:$G, "C")
+ COUNTIFS(After!$Q:$Q,$B23, After!$G:$G, "K") + COUNTIFS(After!$Q:$Q,$B23, After!$G:$G, "A") + COUNTIFS(After!$Q:$Q,$B23, After!$G:$G, "B") + COUNTIFS(After!$Q:$Q,$B23, After!$G:$G, "C")</f>
        <v>0</v>
      </c>
      <c r="G23" s="85" t="n">
        <f>VLOOKUP($B23, 'Evaluation Set-up'!$K$11:$R$35, 4, FALSE)</f>
        <v>2300</v>
      </c>
      <c r="H23" s="86" t="n">
        <f>VLOOKUP($B23, 'Evaluation Set-up'!$K$11:$R$35, 7, FALSE)</f>
        <v>1750</v>
      </c>
      <c r="J23" s="49">
        <v>2020</v>
      </c>
      <c r="K23" s="65" t="n">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t="n">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t="n">
        <f>COUNTIF(Before!$Q:$Q,B24) + COUNTIF(After!$Q:$Q,B24)</f>
        <v>1</v>
      </c>
      <c r="D24" s="34" t="n">
        <f>COUNTIFS(Before!$C:$C,"&gt;=23",Before!$C:$C,"&lt;=27", Before!$Q:$Q,B24)+COUNTIFS(Before!$C:$C,"30", Before!$Q:$Q,B24) + COUNTIFS(After!$C:$C,"&gt;=23",After!$C:$C,"&lt;=27", After!$Q:$Q,B24)+COUNTIFS(After!$C:$C,"30", After!$Q:$Q,B24)</f>
        <v>1</v>
      </c>
      <c r="E24" s="34" t="n">
        <f>COUNTIFS(Before!$C:$C,"&gt;=21",Before!$C:$C,"&lt;=22", Before!$Q:$Q,B24) + COUNTIFS(After!$C:$C,"&gt;=21",After!$C:$C,"&lt;=22", After!$Q:$Q,B24)</f>
        <v>0</v>
      </c>
      <c r="F24" s="82" t="n">
        <f>COUNTIFS(Before!$Q:$Q,$B24, Before!$G:$G, "K") + COUNTIFS(Before!$Q:$Q,$B24, Before!$G:$G, "A") + COUNTIFS(Before!$Q:$Q,$B24, Before!$G:$G, "B") + COUNTIFS(Before!$Q:$Q,$B24, Before!$G:$G, "C")
+ COUNTIFS(After!$Q:$Q,$B24, After!$G:$G, "K") + COUNTIFS(After!$Q:$Q,$B24, After!$G:$G, "A") + COUNTIFS(After!$Q:$Q,$B24, After!$G:$G, "B") + COUNTIFS(After!$Q:$Q,$B24, After!$G:$G, "C")</f>
        <v>0</v>
      </c>
      <c r="G24" s="85" t="n">
        <f>VLOOKUP($B24, 'Evaluation Set-up'!$K$11:$R$35, 4, FALSE)</f>
        <v>2650</v>
      </c>
      <c r="H24" s="86" t="n">
        <f>VLOOKUP($B24, 'Evaluation Set-up'!$K$11:$R$35, 7, FALSE)</f>
        <v>1950</v>
      </c>
      <c r="J24" s="49">
        <v>2021</v>
      </c>
      <c r="K24" s="65" t="n">
        <f t="shared" si="0"/>
        <v>9</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Before</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t="n">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
      </c>
    </row>
    <row r="25" spans="2:38">
      <c r="B25" s="77">
        <v>2022</v>
      </c>
      <c r="C25" s="81" t="n">
        <f>COUNTIF(Before!$Q:$Q,B25) + COUNTIF(After!$Q:$Q,B25)</f>
        <v>1</v>
      </c>
      <c r="D25" s="34" t="n">
        <f>COUNTIFS(Before!$C:$C,"&gt;=23",Before!$C:$C,"&lt;=27", Before!$Q:$Q,B25)+COUNTIFS(Before!$C:$C,"30", Before!$Q:$Q,B25) + COUNTIFS(After!$C:$C,"&gt;=23",After!$C:$C,"&lt;=27", After!$Q:$Q,B25)+COUNTIFS(After!$C:$C,"30", After!$Q:$Q,B25)</f>
        <v>1</v>
      </c>
      <c r="E25" s="34" t="n">
        <f>COUNTIFS(Before!$C:$C,"&gt;=21",Before!$C:$C,"&lt;=22", Before!$Q:$Q,B25) + COUNTIFS(After!$C:$C,"&gt;=21",After!$C:$C,"&lt;=22", After!$Q:$Q,B25)</f>
        <v>0</v>
      </c>
      <c r="F25" s="82" t="n">
        <f>COUNTIFS(Before!$Q:$Q,$B25, Before!$G:$G, "K") + COUNTIFS(Before!$Q:$Q,$B25, Before!$G:$G, "A") + COUNTIFS(Before!$Q:$Q,$B25, Before!$G:$G, "B") + COUNTIFS(Before!$Q:$Q,$B25, Before!$G:$G, "C")
+ COUNTIFS(After!$Q:$Q,$B25, After!$G:$G, "K") + COUNTIFS(After!$Q:$Q,$B25, After!$G:$G, "A") + COUNTIFS(After!$Q:$Q,$B25, After!$G:$G, "B") + COUNTIFS(After!$Q:$Q,$B25, After!$G:$G, "C")</f>
        <v>0</v>
      </c>
      <c r="G25" s="85" t="n">
        <f>VLOOKUP($B25, 'Evaluation Set-up'!$K$11:$R$35, 4, FALSE)</f>
        <v>2500</v>
      </c>
      <c r="H25" s="86" t="n">
        <f>VLOOKUP($B25, 'Evaluation Set-up'!$K$11:$R$35, 7, FALSE)</f>
        <v>1800</v>
      </c>
      <c r="J25" s="49">
        <v>2022</v>
      </c>
      <c r="K25" s="65" t="n">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t="n">
        <f t="shared" si="1"/>
        <v>12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t="n">
        <f>COUNTIF(Before!$Q:$Q,B26) + COUNTIF(After!$Q:$Q,B26)</f>
        <v>0</v>
      </c>
      <c r="D26" s="34" t="n">
        <f>COUNTIFS(Before!$C:$C,"&gt;=23",Before!$C:$C,"&lt;=27", Before!$Q:$Q,B26)+COUNTIFS(Before!$C:$C,"30", Before!$Q:$Q,B26) + COUNTIFS(After!$C:$C,"&gt;=23",After!$C:$C,"&lt;=27", After!$Q:$Q,B26)+COUNTIFS(After!$C:$C,"30", After!$Q:$Q,B26)</f>
        <v>0</v>
      </c>
      <c r="E26" s="34" t="n">
        <f>COUNTIFS(Before!$C:$C,"&gt;=21",Before!$C:$C,"&lt;=22", Before!$Q:$Q,B26) + COUNTIFS(After!$C:$C,"&gt;=21",After!$C:$C,"&lt;=22", After!$Q:$Q,B26)</f>
        <v>0</v>
      </c>
      <c r="F26" s="82" t="n">
        <f>COUNTIFS(Before!$Q:$Q,$B26, Before!$G:$G, "K") + COUNTIFS(Before!$Q:$Q,$B26, Before!$G:$G, "A") + COUNTIFS(Before!$Q:$Q,$B26, Before!$G:$G, "B") + COUNTIFS(Before!$Q:$Q,$B26, Before!$G:$G, "C")
+ COUNTIFS(After!$Q:$Q,$B26, After!$G:$G, "K") + COUNTIFS(After!$Q:$Q,$B26, After!$G:$G, "A") + COUNTIFS(After!$Q:$Q,$B26, After!$G:$G, "B") + COUNTIFS(After!$Q:$Q,$B26, After!$G:$G, "C")</f>
        <v>0</v>
      </c>
      <c r="G26" s="85" t="n">
        <f>VLOOKUP($B26, 'Evaluation Set-up'!$K$11:$R$35, 4, FALSE)</f>
        <v>2350</v>
      </c>
      <c r="H26" s="86" t="n">
        <f>VLOOKUP($B26, 'Evaluation Set-up'!$K$11:$R$35, 7, FALSE)</f>
        <v>1750</v>
      </c>
      <c r="J26" s="49">
        <v>2023</v>
      </c>
      <c r="K26" s="65" t="n">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t="n">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t="n">
        <f>COUNTIF(Before!$Q:$Q,B27) + COUNTIF(After!$Q:$Q,B27)</f>
        <v>1</v>
      </c>
      <c r="D27" s="34" t="n">
        <f>COUNTIFS(Before!$C:$C,"&gt;=23",Before!$C:$C,"&lt;=27", Before!$Q:$Q,B27)+COUNTIFS(Before!$C:$C,"30", Before!$Q:$Q,B27) + COUNTIFS(After!$C:$C,"&gt;=23",After!$C:$C,"&lt;=27", After!$Q:$Q,B27)+COUNTIFS(After!$C:$C,"30", After!$Q:$Q,B27)</f>
        <v>0</v>
      </c>
      <c r="E27" s="34" t="n">
        <f>COUNTIFS(Before!$C:$C,"&gt;=21",Before!$C:$C,"&lt;=22", Before!$Q:$Q,B27) + COUNTIFS(After!$C:$C,"&gt;=21",After!$C:$C,"&lt;=22", After!$Q:$Q,B27)</f>
        <v>0</v>
      </c>
      <c r="F27" s="82" t="n">
        <f>COUNTIFS(Before!$Q:$Q,$B27, Before!$G:$G, "K") + COUNTIFS(Before!$Q:$Q,$B27, Before!$G:$G, "A") + COUNTIFS(Before!$Q:$Q,$B27, Before!$G:$G, "B") + COUNTIFS(Before!$Q:$Q,$B27, Before!$G:$G, "C")
+ COUNTIFS(After!$Q:$Q,$B27, After!$G:$G, "K") + COUNTIFS(After!$Q:$Q,$B27, After!$G:$G, "A") + COUNTIFS(After!$Q:$Q,$B27, After!$G:$G, "B") + COUNTIFS(After!$Q:$Q,$B27, After!$G:$G, "C")</f>
        <v>0</v>
      </c>
      <c r="G27" s="85" t="n">
        <f>VLOOKUP($B27, 'Evaluation Set-up'!$K$11:$R$35, 4, FALSE)</f>
        <v>2450</v>
      </c>
      <c r="H27" s="86" t="n">
        <f>VLOOKUP($B27, 'Evaluation Set-up'!$K$11:$R$35, 7, FALSE)</f>
        <v>1800</v>
      </c>
      <c r="J27" s="49">
        <v>2024</v>
      </c>
      <c r="K27" s="65" t="n">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t="n">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t="n">
        <f>COUNTIF(Before!$Q:$Q,B28) + COUNTIF(After!$Q:$Q,B28)</f>
        <v>1</v>
      </c>
      <c r="D28" s="34" t="n">
        <f>COUNTIFS(Before!$C:$C,"&gt;=23",Before!$C:$C,"&lt;=27", Before!$Q:$Q,B28)+COUNTIFS(Before!$C:$C,"30", Before!$Q:$Q,B28) + COUNTIFS(After!$C:$C,"&gt;=23",After!$C:$C,"&lt;=27", After!$Q:$Q,B28)+COUNTIFS(After!$C:$C,"30", After!$Q:$Q,B28)</f>
        <v>1</v>
      </c>
      <c r="E28" s="34" t="n">
        <f>COUNTIFS(Before!$C:$C,"&gt;=21",Before!$C:$C,"&lt;=22", Before!$Q:$Q,B28) + COUNTIFS(After!$C:$C,"&gt;=21",After!$C:$C,"&lt;=22", After!$Q:$Q,B28)</f>
        <v>0</v>
      </c>
      <c r="F28" s="82" t="n">
        <f>COUNTIFS(Before!$Q:$Q,$B28, Before!$G:$G, "K") + COUNTIFS(Before!$Q:$Q,$B28, Before!$G:$G, "A") + COUNTIFS(Before!$Q:$Q,$B28, Before!$G:$G, "B") + COUNTIFS(Before!$Q:$Q,$B28, Before!$G:$G, "C")
+ COUNTIFS(After!$Q:$Q,$B28, After!$G:$G, "K") + COUNTIFS(After!$Q:$Q,$B28, After!$G:$G, "A") + COUNTIFS(After!$Q:$Q,$B28, After!$G:$G, "B") + COUNTIFS(After!$Q:$Q,$B28, After!$G:$G, "C")</f>
        <v>0</v>
      </c>
      <c r="G28" s="85" t="n">
        <f>VLOOKUP($B28, 'Evaluation Set-up'!$K$11:$R$35, 4, FALSE)</f>
        <v>2350</v>
      </c>
      <c r="H28" s="86" t="n">
        <f>VLOOKUP($B28, 'Evaluation Set-up'!$K$11:$R$35, 7, FALSE)</f>
        <v>1900</v>
      </c>
      <c r="J28" s="49">
        <v>2025</v>
      </c>
      <c r="K28" s="65" t="n">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t="n">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t="n">
        <f>COUNTIF(Before!$Q:$Q,B29) + COUNTIF(After!$Q:$Q,B29)</f>
        <v>0</v>
      </c>
      <c r="D29" s="34" t="n">
        <f>COUNTIFS(Before!$C:$C,"&gt;=23",Before!$C:$C,"&lt;=27", Before!$Q:$Q,B29)+COUNTIFS(Before!$C:$C,"30", Before!$Q:$Q,B29) + COUNTIFS(After!$C:$C,"&gt;=23",After!$C:$C,"&lt;=27", After!$Q:$Q,B29)+COUNTIFS(After!$C:$C,"30", After!$Q:$Q,B29)</f>
        <v>0</v>
      </c>
      <c r="E29" s="34" t="n">
        <f>COUNTIFS(Before!$C:$C,"&gt;=21",Before!$C:$C,"&lt;=22", Before!$Q:$Q,B29) + COUNTIFS(After!$C:$C,"&gt;=21",After!$C:$C,"&lt;=22", After!$Q:$Q,B29)</f>
        <v>0</v>
      </c>
      <c r="F29" s="82" t="n">
        <f>COUNTIFS(Before!$Q:$Q,$B29, Before!$G:$G, "K") + COUNTIFS(Before!$Q:$Q,$B29, Before!$G:$G, "A") + COUNTIFS(Before!$Q:$Q,$B29, Before!$G:$G, "B") + COUNTIFS(Before!$Q:$Q,$B29, Before!$G:$G, "C")
+ COUNTIFS(After!$Q:$Q,$B29, After!$G:$G, "K") + COUNTIFS(After!$Q:$Q,$B29, After!$G:$G, "A") + COUNTIFS(After!$Q:$Q,$B29, After!$G:$G, "B") + COUNTIFS(After!$Q:$Q,$B29, After!$G:$G, "C")</f>
        <v>0</v>
      </c>
      <c r="G29" s="85" t="n">
        <f>VLOOKUP($B29, 'Evaluation Set-up'!$K$11:$R$35, 4, FALSE)</f>
        <v>2350</v>
      </c>
      <c r="H29" s="86" t="n">
        <f>VLOOKUP($B29, 'Evaluation Set-up'!$K$11:$R$35, 7, FALSE)</f>
        <v>1900</v>
      </c>
      <c r="J29" s="49">
        <v>2026</v>
      </c>
      <c r="K29" s="65" t="n">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t="n">
        <f t="shared" si="1"/>
        <v>7</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t="n">
        <f>COUNTIF(Before!$Q:$Q,B30) + COUNTIF(After!$Q:$Q,B30)</f>
        <v>0</v>
      </c>
      <c r="D30" s="34" t="n">
        <f>COUNTIFS(Before!$C:$C,"&gt;=23",Before!$C:$C,"&lt;=27", Before!$Q:$Q,B30)+COUNTIFS(Before!$C:$C,"30", Before!$Q:$Q,B30) + COUNTIFS(After!$C:$C,"&gt;=23",After!$C:$C,"&lt;=27", After!$Q:$Q,B30)+COUNTIFS(After!$C:$C,"30", After!$Q:$Q,B30)</f>
        <v>0</v>
      </c>
      <c r="E30" s="34" t="n">
        <f>COUNTIFS(Before!$C:$C,"&gt;=21",Before!$C:$C,"&lt;=22", Before!$Q:$Q,B30) + COUNTIFS(After!$C:$C,"&gt;=21",After!$C:$C,"&lt;=22", After!$Q:$Q,B30)</f>
        <v>0</v>
      </c>
      <c r="F30" s="82" t="n">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t="n">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t="n">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t="n">
        <f>COUNTIF(Before!$Q:$Q,B31) + COUNTIF(After!$Q:$Q,B31)</f>
        <v>0</v>
      </c>
      <c r="D31" s="34" t="n">
        <f>COUNTIFS(Before!$C:$C,"&gt;=23",Before!$C:$C,"&lt;=27", Before!$Q:$Q,B31)+COUNTIFS(Before!$C:$C,"30", Before!$Q:$Q,B31) + COUNTIFS(After!$C:$C,"&gt;=23",After!$C:$C,"&lt;=27", After!$Q:$Q,B31)+COUNTIFS(After!$C:$C,"30", After!$Q:$Q,B31)</f>
        <v>0</v>
      </c>
      <c r="E31" s="34" t="n">
        <f>COUNTIFS(Before!$C:$C,"&gt;=21",Before!$C:$C,"&lt;=22", Before!$Q:$Q,B31) + COUNTIFS(After!$C:$C,"&gt;=21",After!$C:$C,"&lt;=22", After!$Q:$Q,B31)</f>
        <v>0</v>
      </c>
      <c r="F31" s="82" t="n">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t="n">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t="n">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t="n">
        <f>COUNTIF(Before!$Q:$Q,B32) + COUNTIF(After!$Q:$Q,B32)</f>
        <v>0</v>
      </c>
      <c r="D32" s="34" t="n">
        <f>COUNTIFS(Before!$C:$C,"&gt;=23",Before!$C:$C,"&lt;=27", Before!$Q:$Q,B32)+COUNTIFS(Before!$C:$C,"30", Before!$Q:$Q,B32) + COUNTIFS(After!$C:$C,"&gt;=23",After!$C:$C,"&lt;=27", After!$Q:$Q,B32)+COUNTIFS(After!$C:$C,"30", After!$Q:$Q,B32)</f>
        <v>0</v>
      </c>
      <c r="E32" s="34" t="n">
        <f>COUNTIFS(Before!$C:$C,"&gt;=21",Before!$C:$C,"&lt;=22", Before!$Q:$Q,B32) + COUNTIFS(After!$C:$C,"&gt;=21",After!$C:$C,"&lt;=22", After!$Q:$Q,B32)</f>
        <v>0</v>
      </c>
      <c r="F32" s="82" t="n">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t="n">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t="n">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t="n">
        <f>COUNTIF(Before!$Q:$Q,B33) + COUNTIF(After!$Q:$Q,B33)</f>
        <v>0</v>
      </c>
      <c r="D33" s="34" t="n">
        <f>COUNTIFS(Before!$C:$C,"&gt;=23",Before!$C:$C,"&lt;=27", Before!$Q:$Q,B33)+COUNTIFS(Before!$C:$C,"30", Before!$Q:$Q,B33) + COUNTIFS(After!$C:$C,"&gt;=23",After!$C:$C,"&lt;=27", After!$Q:$Q,B33)+COUNTIFS(After!$C:$C,"30", After!$Q:$Q,B33)</f>
        <v>0</v>
      </c>
      <c r="E33" s="34" t="n">
        <f>COUNTIFS(Before!$C:$C,"&gt;=21",Before!$C:$C,"&lt;=22", Before!$Q:$Q,B33) + COUNTIFS(After!$C:$C,"&gt;=21",After!$C:$C,"&lt;=22", After!$Q:$Q,B33)</f>
        <v>0</v>
      </c>
      <c r="F33" s="82" t="n">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t="n">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t="n">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t="n">
        <f>COUNTIF(Before!$Q:$Q,B34) + COUNTIF(After!$Q:$Q,B34)</f>
        <v>0</v>
      </c>
      <c r="D34" s="34" t="n">
        <f>COUNTIFS(Before!$C:$C,"&gt;=23",Before!$C:$C,"&lt;=27", Before!$Q:$Q,B34)+COUNTIFS(Before!$C:$C,"30", Before!$Q:$Q,B34) + COUNTIFS(After!$C:$C,"&gt;=23",After!$C:$C,"&lt;=27", After!$Q:$Q,B34)+COUNTIFS(After!$C:$C,"30", After!$Q:$Q,B34)</f>
        <v>0</v>
      </c>
      <c r="E34" s="34" t="n">
        <f>COUNTIFS(Before!$C:$C,"&gt;=21",Before!$C:$C,"&lt;=22", Before!$Q:$Q,B34) + COUNTIFS(After!$C:$C,"&gt;=21",After!$C:$C,"&lt;=22", After!$Q:$Q,B34)</f>
        <v>0</v>
      </c>
      <c r="F34" s="82" t="n">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t="n">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t="n">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t="n">
        <f>COUNTIF(Before!$Q:$Q,B35) + COUNTIF(After!$Q:$Q,B35)</f>
        <v>0</v>
      </c>
      <c r="D35" s="34" t="n">
        <f>COUNTIFS(Before!$C:$C,"&gt;=23",Before!$C:$C,"&lt;=27", Before!$Q:$Q,B35)+COUNTIFS(Before!$C:$C,"30", Before!$Q:$Q,B35) + COUNTIFS(After!$C:$C,"&gt;=23",After!$C:$C,"&lt;=27", After!$Q:$Q,B35)+COUNTIFS(After!$C:$C,"30", After!$Q:$Q,B35)</f>
        <v>0</v>
      </c>
      <c r="E35" s="34" t="n">
        <f>COUNTIFS(Before!$C:$C,"&gt;=21",Before!$C:$C,"&lt;=22", Before!$Q:$Q,B35) + COUNTIFS(After!$C:$C,"&gt;=21",After!$C:$C,"&lt;=22", After!$Q:$Q,B35)</f>
        <v>0</v>
      </c>
      <c r="F35" s="82" t="n">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t="n">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t="n">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t="n">
        <f>COUNTIF(Before!$Q:$Q,B36) + COUNTIF(After!$Q:$Q,B36)</f>
        <v>0</v>
      </c>
      <c r="D36" s="34" t="n">
        <f>COUNTIFS(Before!$C:$C,"&gt;=23",Before!$C:$C,"&lt;=27", Before!$Q:$Q,B36)+COUNTIFS(Before!$C:$C,"30", Before!$Q:$Q,B36) + COUNTIFS(After!$C:$C,"&gt;=23",After!$C:$C,"&lt;=27", After!$Q:$Q,B36)+COUNTIFS(After!$C:$C,"30", After!$Q:$Q,B36)</f>
        <v>0</v>
      </c>
      <c r="E36" s="34" t="n">
        <f>COUNTIFS(Before!$C:$C,"&gt;=21",Before!$C:$C,"&lt;=22", Before!$Q:$Q,B36) + COUNTIFS(After!$C:$C,"&gt;=21",After!$C:$C,"&lt;=22", After!$Q:$Q,B36)</f>
        <v>0</v>
      </c>
      <c r="F36" s="82" t="n">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t="n">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t="n">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t="n">
        <f>COUNTIF(Before!$Q:$Q,B37) + COUNTIF(After!$Q:$Q,B37)</f>
        <v>0</v>
      </c>
      <c r="D37" s="54" t="n">
        <f>COUNTIFS(Before!$C:$C,"&gt;=23",Before!$C:$C,"&lt;=27", Before!$Q:$Q,B37)+COUNTIFS(Before!$C:$C,"30", Before!$Q:$Q,B37) + COUNTIFS(After!$C:$C,"&gt;=23",After!$C:$C,"&lt;=27", After!$Q:$Q,B37)+COUNTIFS(After!$C:$C,"30", After!$Q:$Q,B37)</f>
        <v>0</v>
      </c>
      <c r="E37" s="54" t="n">
        <f>COUNTIFS(Before!$C:$C,"&gt;=21",Before!$C:$C,"&lt;=22", Before!$Q:$Q,B37) + COUNTIFS(After!$C:$C,"&gt;=21",After!$C:$C,"&lt;=22", After!$Q:$Q,B37)</f>
        <v>0</v>
      </c>
      <c r="F37" s="55" t="n">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t="n">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t="n">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9" priority="2">
      <formula>LEN(TRIM(H5))=0</formula>
    </cfRule>
  </conditionalFormatting>
  <conditionalFormatting sqref="R5">
    <cfRule type="containsBlanks" dxfId="18"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4" bestFit="1" customWidth="1"/>
    <col min="36" max="36" width="13.47265625" style="98" bestFit="1" customWidth="1"/>
    <col min="37" max="37" width="9.15625" style="98"/>
    <col min="38" max="38" width="13.15625" style="98" bestFit="1" customWidth="1"/>
    <col min="39" max="16384" width="9.15625" style="98"/>
  </cols>
  <sheetData>
    <row r="1" spans="1:38">
      <c r="A1" s="225" t="s">
        <v>413</v>
      </c>
    </row>
    <row r="2" spans="1:38" s="449" customFormat="1" ht="31.5">
      <c r="A2" s="435" t="s">
        <v>386</v>
      </c>
      <c r="B2" s="436" t="s">
        <v>387</v>
      </c>
      <c r="C2" s="436" t="s">
        <v>388</v>
      </c>
      <c r="D2" s="436" t="s">
        <v>389</v>
      </c>
      <c r="E2" s="436" t="s">
        <v>108</v>
      </c>
      <c r="F2" s="436" t="s">
        <v>390</v>
      </c>
      <c r="G2" s="437" t="s">
        <v>391</v>
      </c>
      <c r="H2" s="436" t="s">
        <v>392</v>
      </c>
      <c r="I2" s="438"/>
      <c r="J2" s="439" t="s">
        <v>393</v>
      </c>
      <c r="K2" s="439" t="s">
        <v>394</v>
      </c>
      <c r="L2" s="439" t="s">
        <v>395</v>
      </c>
      <c r="M2" s="440" t="s">
        <v>396</v>
      </c>
      <c r="N2" s="441"/>
      <c r="O2" s="442" t="s">
        <v>397</v>
      </c>
      <c r="P2" s="439" t="s">
        <v>398</v>
      </c>
      <c r="Q2" s="439" t="s">
        <v>399</v>
      </c>
      <c r="R2" s="439" t="s">
        <v>400</v>
      </c>
      <c r="S2" s="439" t="s">
        <v>401</v>
      </c>
      <c r="T2" s="439" t="s">
        <v>402</v>
      </c>
      <c r="U2" s="440" t="s">
        <v>403</v>
      </c>
      <c r="V2" s="443"/>
      <c r="W2" s="444" t="s">
        <v>404</v>
      </c>
      <c r="X2" s="445" t="s">
        <v>405</v>
      </c>
      <c r="Y2" s="445" t="s">
        <v>406</v>
      </c>
      <c r="Z2" s="445" t="s">
        <v>407</v>
      </c>
      <c r="AA2" s="445" t="s">
        <v>408</v>
      </c>
      <c r="AB2" s="445" t="s">
        <v>409</v>
      </c>
      <c r="AC2" s="446" t="s">
        <v>410</v>
      </c>
      <c r="AD2" s="445" t="s">
        <v>411</v>
      </c>
      <c r="AE2" s="447" t="s">
        <v>412</v>
      </c>
      <c r="AF2" s="448"/>
      <c r="AH2" s="595"/>
      <c r="AI2" s="595"/>
      <c r="AJ2" s="450"/>
      <c r="AK2" s="450"/>
      <c r="AL2" s="450"/>
    </row>
    <row r="3" spans="1:38" s="449" customFormat="1" ht="12.9">
      <c r="A3" s="451" t="s">
        <v>375</v>
      </c>
      <c r="B3" s="452" t="s">
        <v>376</v>
      </c>
      <c r="C3" s="453" t="s">
        <v>186</v>
      </c>
      <c r="D3" s="454" t="s">
        <v>377</v>
      </c>
      <c r="E3" s="454" t="s">
        <v>378</v>
      </c>
      <c r="F3" s="455" t="s">
        <v>379</v>
      </c>
      <c r="G3" s="455" t="s">
        <v>380</v>
      </c>
      <c r="H3" s="456" t="s">
        <v>381</v>
      </c>
      <c r="I3" s="457"/>
      <c r="J3" s="458">
        <v>72</v>
      </c>
      <c r="K3" s="459"/>
      <c r="L3" s="460" t="n">
        <f>(100-J3)/100</f>
        <v>0.28</v>
      </c>
      <c r="M3" s="461">
        <v>0.04</v>
      </c>
      <c r="N3" s="462"/>
      <c r="O3" s="463">
        <v>20</v>
      </c>
      <c r="P3" s="464" t="s">
        <v>382</v>
      </c>
      <c r="Q3" s="464">
        <v>0</v>
      </c>
      <c r="R3" s="465" t="s">
        <v>13</v>
      </c>
      <c r="S3" s="465" t="n">
        <f>VLOOKUP(R3,'[1]CRASH COSTS'!$B$5:$E$19,2,FALSE)</f>
        <v>4129000</v>
      </c>
      <c r="T3" s="465" t="n">
        <f>VLOOKUP(R3,'[1]CRASH COSTS'!$B$5:$E$19,3,FALSE)</f>
        <v>187000</v>
      </c>
      <c r="U3" s="466" t="n">
        <f>VLOOKUP(R3,'[1]CRASH COSTS'!$B$5:$E$19,4,FALSE)</f>
        <v>15100</v>
      </c>
      <c r="V3" s="462"/>
      <c r="W3" s="467" t="s">
        <v>383</v>
      </c>
      <c r="X3" s="468" t="s">
        <v>384</v>
      </c>
      <c r="Y3" s="468">
        <v>2010</v>
      </c>
      <c r="Z3" s="469">
        <v>253</v>
      </c>
      <c r="AA3" s="468">
        <v>3131</v>
      </c>
      <c r="AB3" s="468">
        <v>3</v>
      </c>
      <c r="AC3" s="470"/>
      <c r="AD3" s="471" t="s">
        <v>385</v>
      </c>
      <c r="AE3" s="472" t="s">
        <v>385</v>
      </c>
      <c r="AF3" s="448"/>
      <c r="AH3" s="595"/>
      <c r="AI3" s="595"/>
    </row>
    <row r="4" spans="1:38" s="449" customFormat="1" ht="10.8" thickBot="1">
      <c r="A4" s="473"/>
      <c r="B4" s="473"/>
      <c r="C4" s="474"/>
      <c r="D4" s="475"/>
      <c r="E4" s="475"/>
      <c r="F4" s="476"/>
      <c r="G4" s="476"/>
      <c r="H4" s="477"/>
      <c r="I4" s="478"/>
      <c r="J4" s="479"/>
      <c r="K4" s="480"/>
      <c r="L4" s="481"/>
      <c r="M4" s="482"/>
      <c r="N4" s="483"/>
      <c r="O4" s="481"/>
      <c r="P4" s="484"/>
      <c r="Q4" s="484"/>
      <c r="R4" s="483"/>
      <c r="S4" s="483"/>
      <c r="T4" s="483"/>
      <c r="U4" s="483"/>
      <c r="V4" s="483"/>
      <c r="W4" s="485"/>
      <c r="X4" s="482"/>
      <c r="Y4" s="482"/>
      <c r="Z4" s="486"/>
      <c r="AA4" s="482"/>
      <c r="AB4" s="482"/>
      <c r="AC4" s="485"/>
      <c r="AD4" s="487"/>
      <c r="AE4" s="487"/>
      <c r="AF4" s="448"/>
    </row>
    <row r="5" spans="1:38" ht="14.7" thickBot="1">
      <c r="D5" s="123" t="s">
        <v>415</v>
      </c>
      <c r="E5" s="527" t="str">
        <f>Assumptions!D7&amp;IF(Assumptions!D8="N/A",""," - Signal ID "&amp;Assumptions!D8)</f>
        <v>05-20-62123 (TIP #HS-2005A)</v>
      </c>
      <c r="G5" s="488" t="s">
        <v>42</v>
      </c>
      <c r="O5" s="98" t="s">
        <v>696</v>
      </c>
      <c r="AF5" s="449"/>
      <c r="AG5" s="489" t="s">
        <v>424</v>
      </c>
      <c r="AH5" s="490" t="s">
        <v>16</v>
      </c>
      <c r="AI5" s="491" t="s">
        <v>17</v>
      </c>
      <c r="AJ5" s="489" t="s">
        <v>434</v>
      </c>
    </row>
    <row r="6" spans="1:38">
      <c r="D6" s="492" t="s">
        <v>731</v>
      </c>
      <c r="E6" s="528" t="str">
        <f>Assumptions!D9&amp;", "&amp;Assumptions!D11&amp;" County"</f>
        <v>SR 1602 (Main Street) at SR 1207 (Spring Street), Granville County</v>
      </c>
      <c r="G6" s="493" t="s">
        <v>38</v>
      </c>
      <c r="N6" s="98" t="s">
        <v>697</v>
      </c>
      <c r="O6" s="98" t="str">
        <f>Assumptions!D9</f>
        <v>SR 1602 (Main Street) at SR 1207 (Spring Street)</v>
      </c>
      <c r="AF6" s="449"/>
      <c r="AG6" s="514" t="s">
        <v>19</v>
      </c>
      <c r="AH6" s="515" t="n">
        <f>Before!$AB$9</f>
        <v>7</v>
      </c>
      <c r="AI6" s="516" t="n">
        <f>After!$AB$9</f>
        <v>3</v>
      </c>
      <c r="AJ6" s="509" t="n">
        <f>IFERROR(ROUND((AI6-AH6)/AH6,2), "n/a")</f>
        <v>-0.57</v>
      </c>
    </row>
    <row r="7" spans="1:38" ht="14.7" thickBot="1">
      <c r="D7" s="492" t="s">
        <v>367</v>
      </c>
      <c r="E7" s="530" t="str">
        <f>"https://www.google.com/maps/search/?api=1&amp;query=" &amp; Assumptions!D10</f>
        <v>https://www.google.com/maps/search/?api=1&amp;query=36.310027, -78.587328</v>
      </c>
      <c r="G7" s="494" t="s">
        <v>331</v>
      </c>
      <c r="N7" s="98" t="s">
        <v>698</v>
      </c>
      <c r="O7" s="98" t="str" cm="1">
        <f t="array" ref="O7">_xlfn.REGEXEXTRACT(E5,"[0-9]{2}-[0-9]{2}-[0-9]{5}")</f>
        <v>05-20-62123</v>
      </c>
      <c r="AG7" s="517" t="s">
        <v>22</v>
      </c>
      <c r="AH7" s="518" t="n">
        <f>Before!$AF$9</f>
        <v>3</v>
      </c>
      <c r="AI7" s="519" t="n">
        <f>After!$AF$9</f>
        <v>2</v>
      </c>
      <c r="AJ7" s="510" t="n">
        <f>IFERROR(ROUND((AI7-AH7)/AH7,2), "n/a")</f>
        <v>-0.33</v>
      </c>
    </row>
    <row r="8" spans="1:38">
      <c r="D8" s="492" t="s">
        <v>416</v>
      </c>
      <c r="E8" s="495"/>
      <c r="N8" s="98" t="s">
        <v>699</v>
      </c>
      <c r="O8" s="98" t="str" cm="1">
        <f t="array" ref="O8">_xlfn.REGEXEXTRACT(E5,"[A-Z]{1,2}-[0-9]{4}[A-Z]{1,2}")</f>
        <v>HS-2005A</v>
      </c>
      <c r="AG8" s="517" t="s">
        <v>380</v>
      </c>
      <c r="AH8" s="520" t="n">
        <f>SUM(Before!$AB$4:$AB$7)</f>
        <v>1</v>
      </c>
      <c r="AI8" s="521" t="n">
        <f>SUM(After!$AB$4:$AB$7)</f>
        <v>0</v>
      </c>
      <c r="AJ8" s="511" t="n">
        <f t="shared" ref="AJ8:AJ19" si="0">IFERROR(ROUND((AI8-AH8)/AH8,2), "n/a")</f>
        <v>-1</v>
      </c>
    </row>
    <row r="9" spans="1:38">
      <c r="A9" s="225"/>
      <c r="D9" s="492" t="s">
        <v>417</v>
      </c>
      <c r="E9" s="528"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100% decrease in Injury Crashes</v>
      </c>
      <c r="AG9" s="517" t="s">
        <v>428</v>
      </c>
      <c r="AH9" s="520" t="n">
        <f>SUM(Before!$AF$4:$AF$7)</f>
        <v>0</v>
      </c>
      <c r="AI9" s="521" t="n">
        <f>SUM(After!$AF$4:$AF$7)</f>
        <v>0</v>
      </c>
      <c r="AJ9" s="511" t="str">
        <f t="shared" si="0"/>
        <v>n/a</v>
      </c>
    </row>
    <row r="10" spans="1:38" ht="14.7" thickBot="1">
      <c r="A10" s="225"/>
      <c r="D10" s="130" t="s">
        <v>418</v>
      </c>
      <c r="E10" s="529"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2" t="s">
        <v>319</v>
      </c>
      <c r="AH10" s="520" t="n">
        <f>COUNTIFS(Before!$D$4:$D$1003,"&gt;=2",Before!$D$4:$D$1003,"&lt;=3")</f>
        <v>1</v>
      </c>
      <c r="AI10" s="521" t="n">
        <f>COUNTIFS(After!$D$4:$D$1003,"&gt;=2",After!$D$4:$D$1003,"&lt;=3")</f>
        <v>0</v>
      </c>
      <c r="AJ10" s="511" t="n">
        <f t="shared" si="0"/>
        <v>-1</v>
      </c>
    </row>
    <row r="11" spans="1:38" ht="14.7" thickBot="1">
      <c r="D11" s="225"/>
      <c r="AG11" s="522" t="s">
        <v>427</v>
      </c>
      <c r="AH11" s="520" t="n">
        <f>COUNTIFS(Before!$D$4:$D$1003,"&gt;=2",Before!$D$4:$D$1003,"&lt;=3")</f>
        <v>1</v>
      </c>
      <c r="AI11" s="521" t="n">
        <f>COUNTIFS(After!$D$4:$D$1003,"&gt;=2",After!$D$4:$D$1003,"&lt;=3")</f>
        <v>0</v>
      </c>
      <c r="AJ11" s="511" t="n">
        <f t="shared" si="0"/>
        <v>-1</v>
      </c>
    </row>
    <row r="12" spans="1:38" ht="14.7" thickBot="1">
      <c r="D12" s="118" t="s">
        <v>440</v>
      </c>
      <c r="E12" s="531"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decreased by 57% (7 to 3); Target crashes decreased by 33% (3 to 2)</v>
      </c>
      <c r="AG12" s="522" t="s">
        <v>429</v>
      </c>
      <c r="AH12" s="520" t="n">
        <f>COUNTIFS(Before!$F$4:$F$1003,"&gt;=4",Before!$F$4:$F$1003,"&lt;=6")</f>
        <v>1</v>
      </c>
      <c r="AI12" s="521" t="n">
        <f>COUNTIFS(After!$F$4:$F$1003,"&gt;=4",After!$F$4:$F$1003,"&lt;=6")</f>
        <v>0</v>
      </c>
      <c r="AJ12" s="511" t="n">
        <f t="shared" si="0"/>
        <v>-1</v>
      </c>
    </row>
    <row r="13" spans="1:38" ht="14.7" thickBot="1">
      <c r="AG13" s="522" t="s">
        <v>430</v>
      </c>
      <c r="AH13" s="520" t="n">
        <f>COUNTIFS(Before!$F$4:$F$1003,"&gt;=4",Before!$F$4:$F$1003,"&lt;=6",Before!$G$4:$G$1003,"K")</f>
        <v>0</v>
      </c>
      <c r="AI13" s="521" t="n">
        <f>COUNTIFS(After!$F$4:$F$1003,"&gt;=4",After!$F$4:$F$1003,"&lt;=6",After!$G$4:$G$1003,"K")</f>
        <v>0</v>
      </c>
      <c r="AJ13" s="511" t="str">
        <f t="shared" si="0"/>
        <v>n/a</v>
      </c>
    </row>
    <row r="14" spans="1:38">
      <c r="D14" s="809" t="s">
        <v>419</v>
      </c>
      <c r="E14" s="800" vm="1" t="e">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01"/>
      <c r="G14" s="801"/>
      <c r="H14" s="802"/>
      <c r="AG14" s="522" t="s">
        <v>431</v>
      </c>
      <c r="AH14" s="520" t="n">
        <f>COUNTIFS(Before!$F$4:$F$1003,"&gt;=4",Before!$F$4:$F$1003,"&lt;=6",Before!$G$4:$G$1003,"A")+COUNTIFS(Before!$F$4:$F$1003,"&gt;=4",Before!$F$4:$F$1003,"&lt;=6",Before!$G$4:$G$1003,"B")+COUNTIFS(Before!$F$4:$F$1003,"&gt;=4",Before!$F$4:$F$1003,"&lt;=6",Before!$G$4:$G$1003,"C")</f>
        <v>1</v>
      </c>
      <c r="AI14" s="521" t="n">
        <f>COUNTIFS(After!$F$4:$F$1003,"&gt;=4",After!$F$4:$F$1003,"&lt;=6",After!$G$4:$G$1003,"A")+COUNTIFS(After!$F$4:$F$1003,"&gt;=4",After!$F$4:$F$1003,"&lt;=6",After!$G$4:$G$1003,"B")+COUNTIFS(After!$F$4:$F$1003,"&gt;=4",After!$F$4:$F$1003,"&lt;=6",After!$G$4:$G$1003,"C")</f>
        <v>0</v>
      </c>
      <c r="AJ14" s="511" t="n">
        <f t="shared" si="0"/>
        <v>-1</v>
      </c>
    </row>
    <row r="15" spans="1:38">
      <c r="D15" s="810"/>
      <c r="E15" s="803"/>
      <c r="F15" s="804"/>
      <c r="G15" s="804"/>
      <c r="H15" s="805"/>
      <c r="AG15" s="522" t="s">
        <v>432</v>
      </c>
      <c r="AH15" s="520" t="n">
        <f>COUNTIFS(Before!$F$4:$F$1003,"&gt;=4",Before!$F$4:$F$1003,"&lt;=6",Before!$G$4:$G$1003,"O")</f>
        <v>0</v>
      </c>
      <c r="AI15" s="521" t="n">
        <f>COUNTIFS(After!$F$4:$F$1003,"&gt;=4",After!$F$4:$F$1003,"&lt;=6",After!$G$4:$G$1003,"O")</f>
        <v>0</v>
      </c>
      <c r="AJ15" s="511" t="str">
        <f t="shared" si="0"/>
        <v>n/a</v>
      </c>
    </row>
    <row r="16" spans="1:38">
      <c r="D16" s="810"/>
      <c r="E16" s="803"/>
      <c r="F16" s="804"/>
      <c r="G16" s="804"/>
      <c r="H16" s="805"/>
      <c r="AG16" s="522" t="s">
        <v>433</v>
      </c>
      <c r="AH16" s="520" t="n">
        <f>COUNTIFS(Before!$F$4:$F$1003,"&gt;=1",Before!$F$4:$F$1003,"&lt;=3")</f>
        <v>6</v>
      </c>
      <c r="AI16" s="521" t="n">
        <f>COUNTIFS(After!$F$4:$F$1003,"&gt;=1",After!$F$4:$F$1003,"&lt;=3")</f>
        <v>3</v>
      </c>
      <c r="AJ16" s="511" t="n">
        <f t="shared" si="0"/>
        <v>-0.5</v>
      </c>
    </row>
    <row r="17" spans="4:36" ht="15" customHeight="1">
      <c r="D17" s="810"/>
      <c r="E17" s="803"/>
      <c r="F17" s="804"/>
      <c r="G17" s="804"/>
      <c r="H17" s="805"/>
      <c r="AG17" s="522" t="s">
        <v>425</v>
      </c>
      <c r="AH17" s="520" t="n">
        <f>Before!$AB$4</f>
        <v>0</v>
      </c>
      <c r="AI17" s="521" t="n">
        <f>After!$AB$4</f>
        <v>0</v>
      </c>
      <c r="AJ17" s="511" t="str">
        <f t="shared" si="0"/>
        <v>n/a</v>
      </c>
    </row>
    <row r="18" spans="4:36">
      <c r="D18" s="810"/>
      <c r="E18" s="803"/>
      <c r="F18" s="804"/>
      <c r="G18" s="804"/>
      <c r="H18" s="805"/>
      <c r="AG18" s="517" t="s">
        <v>421</v>
      </c>
      <c r="AH18" s="520" t="n">
        <f>SUM(Before!$AB$4:$AB$6)</f>
        <v>0</v>
      </c>
      <c r="AI18" s="521" t="n">
        <f>SUM(After!$AB$4:$AB$6)</f>
        <v>0</v>
      </c>
      <c r="AJ18" s="511" t="str">
        <f t="shared" si="0"/>
        <v>n/a</v>
      </c>
    </row>
    <row r="19" spans="4:36">
      <c r="D19" s="810"/>
      <c r="E19" s="803"/>
      <c r="F19" s="804"/>
      <c r="G19" s="804"/>
      <c r="H19" s="805"/>
      <c r="AG19" s="522" t="s">
        <v>422</v>
      </c>
      <c r="AH19" s="520" t="n">
        <f>SUM(Before!$AB$4:$AB$5)</f>
        <v>0</v>
      </c>
      <c r="AI19" s="521" t="n">
        <f>SUM(After!$AB$4:$AB$5)</f>
        <v>0</v>
      </c>
      <c r="AJ19" s="511" t="str">
        <f t="shared" si="0"/>
        <v>n/a</v>
      </c>
    </row>
    <row r="20" spans="4:36" ht="14.7" thickBot="1">
      <c r="D20" s="811"/>
      <c r="E20" s="806"/>
      <c r="F20" s="807"/>
      <c r="G20" s="807"/>
      <c r="H20" s="808"/>
      <c r="AG20" s="522" t="s">
        <v>423</v>
      </c>
      <c r="AH20" s="520" t="n">
        <f>SUM(Before!$AB$6:$AB$7)</f>
        <v>1</v>
      </c>
      <c r="AI20" s="521" t="n">
        <f>SUM(After!$AB$6:$AB$7)</f>
        <v>0</v>
      </c>
      <c r="AJ20" s="511" t="n">
        <f>IFERROR(ROUND((AF20-AH20)/AH20,2), "n/a")</f>
        <v>-1</v>
      </c>
    </row>
    <row r="21" spans="4:36" ht="15" customHeight="1" thickBot="1">
      <c r="D21" s="496"/>
      <c r="E21" s="497"/>
      <c r="F21" s="497"/>
      <c r="G21" s="497"/>
      <c r="H21" s="497"/>
      <c r="AG21" s="517" t="s">
        <v>426</v>
      </c>
      <c r="AH21" s="520" t="n">
        <f>SUM(Before!$AB$5:$AB$7)</f>
        <v>1</v>
      </c>
      <c r="AI21" s="521" t="n">
        <f>SUM(After!$AB$5:$AB$7)</f>
        <v>0</v>
      </c>
      <c r="AJ21" s="511" t="n">
        <f>IFERROR(ROUND((AF21-AH21)/AH21,2), "n/a")</f>
        <v>-1</v>
      </c>
    </row>
    <row r="22" spans="4:36" ht="14.7" thickBot="1">
      <c r="D22" s="123" t="s">
        <v>414</v>
      </c>
      <c r="E22" s="532">
        <f>Assumptions!D13</f>
        <v>5</v>
      </c>
      <c r="AG22" s="523" t="s">
        <v>420</v>
      </c>
      <c r="AH22" s="524" t="n">
        <f>Before!$AB$8</f>
        <v>6</v>
      </c>
      <c r="AI22" s="525" t="n">
        <f>After!$AB$8</f>
        <v>3</v>
      </c>
      <c r="AJ22" s="512" t="n">
        <f>IFERROR(ROUND((AF22-AH22)/AH22,2), "n/a")</f>
        <v>-1</v>
      </c>
    </row>
    <row r="23" spans="4:36" ht="14.7" thickBot="1">
      <c r="D23" s="492" t="s">
        <v>435</v>
      </c>
      <c r="E23" s="498"/>
      <c r="AF23" s="98" t="s">
        <v>439</v>
      </c>
      <c r="AG23" s="526" t="str">
        <f>G3</f>
        <v>Injury Crashes</v>
      </c>
      <c r="AH23" s="499"/>
      <c r="AI23" s="500"/>
      <c r="AJ23" s="513" t="str">
        <f>IFERROR(ROUND((AI23-AH23)/AH23,2), "n/a")</f>
        <v>n/a</v>
      </c>
    </row>
    <row r="24" spans="4:36" ht="15" customHeight="1">
      <c r="D24" s="492" t="s">
        <v>436</v>
      </c>
      <c r="E24" s="498"/>
      <c r="AI24" s="501"/>
    </row>
    <row r="25" spans="4:36">
      <c r="D25" s="492" t="s">
        <v>437</v>
      </c>
      <c r="E25" s="498"/>
      <c r="AI25" s="502"/>
    </row>
    <row r="26" spans="4:36" ht="14.7" thickBot="1">
      <c r="D26" s="130" t="s">
        <v>438</v>
      </c>
      <c r="E26" s="503"/>
      <c r="AI26" s="502"/>
    </row>
    <row r="27" spans="4:36" ht="14.7" thickBot="1">
      <c r="D27" s="225"/>
      <c r="E27" s="173"/>
      <c r="AI27" s="502"/>
    </row>
    <row r="28" spans="4:36" ht="14.7" thickBot="1">
      <c r="D28"/>
      <c r="E28" s="533" t="s">
        <v>693</v>
      </c>
      <c r="F28" s="533" t="s">
        <v>692</v>
      </c>
      <c r="G28" s="534" t="s">
        <v>691</v>
      </c>
      <c r="H28" s="254"/>
      <c r="AI28" s="502"/>
    </row>
    <row r="29" spans="4:36" ht="15" customHeight="1">
      <c r="D29" s="797" t="s">
        <v>554</v>
      </c>
      <c r="E29" s="535" t="str">
        <f>"Regional Traffic Engineer ("&amp;_xlfn.XLOOKUP(E22,'Email List'!B:B,'Email List'!C:C)&amp;")"</f>
        <v>Regional Traffic Engineer (Tyler Fowler)</v>
      </c>
      <c r="F29" s="536" t="str">
        <f>_xlfn.XLOOKUP($E$22,'Email List'!$B:$B,'Email List'!D:D)</f>
        <v>tjfowler2@ncdot.gov</v>
      </c>
      <c r="G29" s="537">
        <f>_xlfn.XLOOKUP($E$22,'Email List'!$B:$B,'Email List'!E:E)</f>
        <v>46233</v>
      </c>
      <c r="H29" s="254"/>
      <c r="AI29" s="502"/>
    </row>
    <row r="30" spans="4:36">
      <c r="D30" s="798"/>
      <c r="E30" s="538" t="str">
        <f>"Region Traffic Safety Engineer ("&amp;_xlfn.XLOOKUP(E22,'Email List'!B:B,'Email List'!F:F)&amp;")"</f>
        <v>Region Traffic Safety Engineer (Vacant)</v>
      </c>
      <c r="F30" s="539" t="str">
        <f>_xlfn.XLOOKUP($E$22,'Email List'!$B:$B,'Email List'!G:G)</f>
        <v>Vacant</v>
      </c>
      <c r="G30" s="540">
        <f>_xlfn.XLOOKUP($E$22,'Email List'!$B:$B,'Email List'!H:H)</f>
        <v>46233</v>
      </c>
      <c r="H30"/>
      <c r="AI30" s="502"/>
    </row>
    <row r="31" spans="4:36">
      <c r="D31" s="798"/>
      <c r="E31" s="538" t="str">
        <f>"Division Traffic Engineer ("&amp;_xlfn.XLOOKUP(E22,'Email List'!B:B,'Email List'!I:I)&amp;")"</f>
        <v>Division Traffic Engineer (Ashley Lowery + Ben Upshaw)</v>
      </c>
      <c r="F31" s="539" t="str">
        <f>_xlfn.XLOOKUP($E$22,'Email List'!$B:$B,'Email List'!J:J)</f>
        <v>aclowery1@ncdot.gov</v>
      </c>
      <c r="G31" s="540">
        <f>_xlfn.XLOOKUP($E$22,'Email List'!$B:$B,'Email List'!K:K)</f>
        <v>46233</v>
      </c>
      <c r="H31"/>
      <c r="AI31" s="504"/>
    </row>
    <row r="32" spans="4:36" ht="14.7" thickBot="1">
      <c r="D32" s="799"/>
      <c r="E32" s="541" t="str">
        <f>"Regional Signals Engineer ("&amp;_xlfn.XLOOKUP(E22,'Email List'!B:B,'Email List'!L:L)&amp;")"</f>
        <v>Regional Signals Engineer (Rob Ziemba)</v>
      </c>
      <c r="F32" s="542" t="str">
        <f>IF(E23="Y",_xlfn.XLOOKUP($E$22,'Email List'!$B:$B,'Email List'!M:M),"")</f>
        <v/>
      </c>
      <c r="G32" s="543" t="str">
        <f>IF(E23="Y",_xlfn.XLOOKUP($E$22,'Email List'!$B:$B,'Email List'!N:N),"")</f>
        <v/>
      </c>
      <c r="H32" s="254"/>
      <c r="AI32" s="504"/>
    </row>
    <row r="33" spans="4:35">
      <c r="D33" s="797" t="s">
        <v>562</v>
      </c>
      <c r="E33" s="535" t="s">
        <v>690</v>
      </c>
      <c r="F33" s="544" t="s">
        <v>563</v>
      </c>
      <c r="G33" s="545" t="s">
        <v>546</v>
      </c>
      <c r="H33" s="254"/>
      <c r="AI33" s="502"/>
    </row>
    <row r="34" spans="4:35">
      <c r="D34" s="798"/>
      <c r="E34" s="538" t="s">
        <v>689</v>
      </c>
      <c r="F34" s="546" t="s">
        <v>564</v>
      </c>
      <c r="G34" s="547" t="s">
        <v>546</v>
      </c>
      <c r="H34"/>
      <c r="AI34" s="504"/>
    </row>
    <row r="35" spans="4:35">
      <c r="D35" s="798"/>
      <c r="E35" s="538" t="s">
        <v>688</v>
      </c>
      <c r="F35" s="546" t="s">
        <v>565</v>
      </c>
      <c r="G35" s="547" t="s">
        <v>546</v>
      </c>
      <c r="H35"/>
      <c r="AI35" s="505"/>
    </row>
    <row r="36" spans="4:35">
      <c r="D36" s="798"/>
      <c r="E36" s="538" t="s">
        <v>687</v>
      </c>
      <c r="F36" s="546" t="s">
        <v>619</v>
      </c>
      <c r="G36" s="547" t="s">
        <v>546</v>
      </c>
      <c r="H36"/>
      <c r="AI36" s="98"/>
    </row>
    <row r="37" spans="4:35">
      <c r="D37" s="798"/>
      <c r="E37" s="538" t="s">
        <v>686</v>
      </c>
      <c r="F37" s="546" t="s">
        <v>566</v>
      </c>
      <c r="G37" s="547" t="s">
        <v>546</v>
      </c>
      <c r="H37"/>
      <c r="AI37" s="98"/>
    </row>
    <row r="38" spans="4:35">
      <c r="D38" s="798"/>
      <c r="E38" s="538" t="s">
        <v>685</v>
      </c>
      <c r="F38" s="546" t="s">
        <v>568</v>
      </c>
      <c r="G38" s="547" t="s">
        <v>546</v>
      </c>
      <c r="H38"/>
      <c r="AI38" s="98"/>
    </row>
    <row r="39" spans="4:35">
      <c r="D39" s="798"/>
      <c r="E39" s="538" t="str">
        <f>"Regional Field Operations Engineer ("&amp;_xlfn.XLOOKUP(E22,'Email List'!B:B,'Email List'!O:O)&amp;")"</f>
        <v>Regional Field Operations Engineer (John Grant)</v>
      </c>
      <c r="F39" s="539" t="str">
        <f>_xlfn.XLOOKUP($E$22,'Email List'!$B:$B,'Email List'!P:P)</f>
        <v>ALREADY INCLUDED</v>
      </c>
      <c r="G39" s="540">
        <f>_xlfn.XLOOKUP($E$22,'Email List'!$B:$B,'Email List'!Q:Q)</f>
        <v>46233</v>
      </c>
      <c r="H39"/>
      <c r="AI39" s="98"/>
    </row>
    <row r="40" spans="4:35">
      <c r="D40" s="798"/>
      <c r="E40" s="538" t="s">
        <v>694</v>
      </c>
      <c r="F40" s="546" t="s">
        <v>695</v>
      </c>
      <c r="G40" s="547" t="s">
        <v>546</v>
      </c>
      <c r="H40"/>
      <c r="AI40" s="98"/>
    </row>
    <row r="41" spans="4:35">
      <c r="D41" s="798"/>
      <c r="E41" s="538" t="s">
        <v>571</v>
      </c>
      <c r="F41" s="546" t="str">
        <f>IF(E23="Y","dishak@ncdot.gov","")</f>
        <v/>
      </c>
      <c r="G41" s="547" t="s">
        <v>546</v>
      </c>
      <c r="H41"/>
      <c r="AI41" s="98"/>
    </row>
    <row r="42" spans="4:35">
      <c r="D42" s="798"/>
      <c r="E42" s="538" t="str">
        <f>"Division Engineer ("&amp;_xlfn.XLOOKUP(E22,'Email List'!B:B,'Email List'!R:R)&amp;")"</f>
        <v>Division Engineer (Becca Gallas)</v>
      </c>
      <c r="F42" s="539" t="str">
        <f>_xlfn.XLOOKUP($E$22,'Email List'!$B:$B,'Email List'!S:S)</f>
        <v>rjgallas@ncdot.gov</v>
      </c>
      <c r="G42" s="540">
        <f>_xlfn.XLOOKUP($E$22,'Email List'!$B:$B,'Email List'!T:T)</f>
        <v>46233</v>
      </c>
      <c r="H42"/>
      <c r="AI42" s="98"/>
    </row>
    <row r="43" spans="4:35">
      <c r="D43" s="798"/>
      <c r="E43" s="538" t="s">
        <v>574</v>
      </c>
      <c r="F43" s="546" t="str">
        <f>IF(E24="Y","nhorne@ncdot.gov","")</f>
        <v/>
      </c>
      <c r="G43" s="547" t="s">
        <v>546</v>
      </c>
      <c r="H43"/>
      <c r="AI43" s="98"/>
    </row>
    <row r="44" spans="4:35">
      <c r="D44" s="798"/>
      <c r="E44" s="538" t="s">
        <v>575</v>
      </c>
      <c r="F44" s="546" t="str">
        <f>IF(E25="Y","sdlowry@ncdot.gov","")</f>
        <v/>
      </c>
      <c r="G44" s="547" t="s">
        <v>546</v>
      </c>
      <c r="H44"/>
      <c r="AI44" s="98"/>
    </row>
    <row r="45" spans="4:35" ht="14.7" thickBot="1">
      <c r="D45" s="799"/>
      <c r="E45" s="541" t="s">
        <v>576</v>
      </c>
      <c r="F45" s="548" t="str">
        <f>IF(E26="Y","bfuqua1@ncdot.gov","")</f>
        <v/>
      </c>
      <c r="G45" s="549" t="s">
        <v>546</v>
      </c>
      <c r="H45"/>
      <c r="AI45" s="98"/>
    </row>
    <row r="46" spans="4:35">
      <c r="D46"/>
      <c r="E46"/>
      <c r="F46"/>
      <c r="G46"/>
      <c r="H46"/>
      <c r="AI46" s="98"/>
    </row>
    <row r="47" spans="4:35" ht="14.7" thickBot="1">
      <c r="D47" s="5" t="s">
        <v>577</v>
      </c>
      <c r="E47"/>
      <c r="F47" s="550"/>
      <c r="G47" s="47"/>
      <c r="H47" s="47"/>
      <c r="AI47" s="98"/>
    </row>
    <row r="48" spans="4:35" ht="14.7" thickBot="1">
      <c r="D48" s="551" t="s">
        <v>578</v>
      </c>
      <c r="E48" s="812" t="str">
        <f>_xlfn.CONCAT(IF(OR(F29="Vacant",F29="ALREADY INCLUDED"),"",_xlfn.CONCAT(F29,"; ")),IF(OR(F30="Vacant",F30="ALREADY INCLUDED"),"",_xlfn.CONCAT(F30,"; ")),IF(OR(F31="Vacant",F31="ALREADY INCLUDED"),"",F31),IF(OR(F32="Vacant",F32="ALREADY INCLUDED",F32=""),"",_xlfn.CONCAT("; ",F32)))</f>
        <v>tjfowler2@ncdot.gov; aclowery1@ncdot.gov</v>
      </c>
      <c r="F48" s="813"/>
      <c r="G48" s="813"/>
      <c r="H48" s="814"/>
      <c r="I48" s="506"/>
      <c r="AI48" s="98"/>
    </row>
    <row r="49" spans="4:35" ht="32.25" customHeight="1" thickBot="1">
      <c r="D49" s="552" t="s">
        <v>562</v>
      </c>
      <c r="E49" s="815"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rjgallas@ncdot.gov</v>
      </c>
      <c r="F49" s="816"/>
      <c r="G49" s="816"/>
      <c r="H49" s="817"/>
      <c r="I49" s="507"/>
      <c r="AI49" s="98"/>
    </row>
    <row r="50" spans="4:35" ht="14.7" thickBot="1">
      <c r="I50" s="508"/>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34</vt:i4>
      </vt:variant>
    </vt:vector>
  </HeadingPairs>
  <TitlesOfParts>
    <vt:vector size="51"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AtFaultList</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lpstr>CrashTypeList</vt:lpstr>
      <vt:lpstr>TrendsMetricList</vt:lpstr>
      <vt:lpstr>VehicleCodeList</vt:lpstr>
      <vt:lpstr>YList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Tim Nye</cp:lastModifiedBy>
  <cp:lastPrinted>2026-09-11T12:00:20Z</cp:lastPrinted>
  <dcterms:created xsi:type="dcterms:W3CDTF">2019-02-04T16:37:52Z</dcterms:created>
  <dcterms:modified xsi:type="dcterms:W3CDTF">2026-09-24T21:13:38Z</dcterms:modified>
</cp:coreProperties>
</file>