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vhb.com\gbl\Client\039990.004\05_Work\NCDOTProjNum\Traffic Safety\Assignments\WO-41000076579 05-20-62123 (HS-2005A)\Crash Analysis\"/>
    </mc:Choice>
  </mc:AlternateContent>
  <xr:revisionPtr revIDLastSave="0" documentId="13_ncr:1_{FD787F75-3BB4-4C14-8553-B542C909CDA3}" xr6:coauthVersionLast="47" xr6:coauthVersionMax="47" xr10:uidLastSave="{00000000-0000-0000-0000-000000000000}"/>
  <bookViews>
    <workbookView xWindow="-96" yWindow="-96" windowWidth="23232" windowHeight="13872" tabRatio="823" activeTab="2" xr2:uid="{01E8C06E-BF1E-4944-81C9-E107D0098AAF}"/>
  </bookViews>
  <sheets>
    <sheet name="Step-by-Step Instructions" sheetId="9" r:id="rId1"/>
    <sheet name="Typical Target Crash Types" sheetId="10" r:id="rId2"/>
    <sheet name="Assumptions" sheetId="23" r:id="rId3"/>
    <sheet name="Evaluation Set-up" sheetId="7" r:id="rId4"/>
    <sheet name="Fiche Prep Tool" sheetId="19" r:id="rId5"/>
    <sheet name="Initial Crash ID list" sheetId="20" r:id="rId6"/>
    <sheet name="Parameters" sheetId="18" r:id="rId7"/>
    <sheet name="Original Fiche" sheetId="11" r:id="rId8"/>
    <sheet name="Filtered Fiche" sheetId="12" r:id="rId9"/>
    <sheet name="Binned Crashes" sheetId="8" r:id="rId10"/>
    <sheet name="Before" sheetId="4" r:id="rId11"/>
    <sheet name="After" sheetId="5" r:id="rId12"/>
    <sheet name="Trends" sheetId="21" r:id="rId13"/>
    <sheet name="One Pager" sheetId="22" r:id="rId14"/>
    <sheet name="For NCDOT staff - for Tracking" sheetId="16" r:id="rId15"/>
    <sheet name="For NCDOT staff - Email" sheetId="26" r:id="rId16"/>
    <sheet name="Email List" sheetId="30" state="hidden" r:id="rId17"/>
  </sheets>
  <functionGroups builtInGroupCount="19"/>
  <externalReferences>
    <externalReference r:id="rId20"/>
  </externalReferences>
  <definedNames>
    <definedName name="_xlnm._FilterDatabase" localSheetId="11" hidden="1">After!$A$3:$M$3</definedName>
    <definedName name="_xlnm._FilterDatabase" localSheetId="10" hidden="1">Before!$A$3:$M$66</definedName>
    <definedName name="_xlnm._FilterDatabase" localSheetId="8" hidden="1">'Filtered Fiche'!$A$1:$X$175</definedName>
    <definedName name="_xlnm._FilterDatabase" localSheetId="12" hidden="1">Trends!$AG$1:$AH$51</definedName>
    <definedName name="_xleta.AND" hidden="1" xlm="1">#NAME?</definedName>
    <definedName name="_xleta.CONVERT" hidden="1" xlm="1">#NAME?</definedName>
    <definedName name="_xleta.MAP" hidden="1" xlm="1">#NAME?</definedName>
    <definedName name="_xleta.MIDB" hidden="1" xlm="1">#NAME?</definedName>
    <definedName name="_xleta.T" hidden="1" xlm="1">#NAME?</definedName>
    <definedName name="A">'For NCDOT staff - Email'!$D$14</definedName>
    <definedName name="A_AFDir">After!$BA$4:$BA$1003</definedName>
    <definedName name="A_Avoid">After!$BC$4:$BC$1003</definedName>
    <definedName name="A_Cat">After!$BB$4:$BB$1003</definedName>
    <definedName name="A_Check">After!$O$4:$O$1003</definedName>
    <definedName name="A_Cond">After!$D$4:$D$1003</definedName>
    <definedName name="A_ID">After!$A$4:$A$1003</definedName>
    <definedName name="A_Light">After!$F$4:$F$1003</definedName>
    <definedName name="A_Sev">After!$G$4:$G$1003</definedName>
    <definedName name="A_T1">After!$L$4:$L$1003</definedName>
    <definedName name="A_T2">After!$M$4:$M$1003</definedName>
    <definedName name="A_T3">After!$N$4:$N$1003</definedName>
    <definedName name="A_Type">After!$AU$4:$AU$1003</definedName>
    <definedName name="A_V1Dir">After!$AV$4:$AV$1003</definedName>
    <definedName name="A_V2Dir">After!$AX$4:$AX$1003</definedName>
    <definedName name="AtFaultList">Trends!$Q$2:$Q$4</definedName>
    <definedName name="B_AFDir">Before!$BA$4:$BA$1003</definedName>
    <definedName name="B_Avoid">Before!$BC$4:$BC$1003</definedName>
    <definedName name="B_Cat">Before!$BB$4:$BB$1003</definedName>
    <definedName name="B_Check">Before!$O$4:$O$1003</definedName>
    <definedName name="B_Cond">Before!$D$4:$D$1003</definedName>
    <definedName name="B_ID">Before!$A$4:$A$1003</definedName>
    <definedName name="B_Light">Before!$F$4:$F$1003</definedName>
    <definedName name="B_Sev">Before!$G$4:$G$1003</definedName>
    <definedName name="B_T1">Before!$L$4:$L$1003</definedName>
    <definedName name="B_T2">Before!$M$4:$M$1003</definedName>
    <definedName name="B_T3">Before!$N$4:$N$1003</definedName>
    <definedName name="B_Type">Before!$AU$4:$AU$1003</definedName>
    <definedName name="B_V1Dir">Before!$AV$4:$AV$1003</definedName>
    <definedName name="B_V2Dir">Before!$AX$4:$AX$1003</definedName>
    <definedName name="CrashTypeList">Trends!$O$2:$O$19</definedName>
    <definedName name="ExternalData_1" localSheetId="16" hidden="1">'Email List'!$A$1:$T$32</definedName>
    <definedName name="TrendsMetricList">Trends!$S$2:$S$140</definedName>
    <definedName name="VehicleCodeList">Trends!$P$2:$P$18</definedName>
    <definedName name="YList">Trends!$R$2:$R$2</definedName>
  </definedNames>
  <calcPr fullCalcOnLoad="1"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F8C792-E0F3-46FD-BD48-A1E07EBB5882}" keepAlive="1" name="Query - Email List" description="Connection to the 'Email List' query in the workbook." type="5" refreshedVersion="8" background="1" saveData="1">
    <dbPr connection="Provider=Microsoft.Mashup.OleDb.1;Data Source=$Workbook$;Location=&quot;Email List&quot;;Extended Properties=&quot;&quot;" command="SELECT * FROM [Email Li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<sst xmlns="http://schemas.openxmlformats.org/spreadsheetml/2006/main" count="5790" uniqueCount="977">
  <si>
    <t>Crash ID</t>
  </si>
  <si>
    <t>Date</t>
  </si>
  <si>
    <t>T</t>
  </si>
  <si>
    <t>C</t>
  </si>
  <si>
    <t>F</t>
  </si>
  <si>
    <t>L</t>
  </si>
  <si>
    <t>S</t>
  </si>
  <si>
    <t>O</t>
  </si>
  <si>
    <t>B</t>
  </si>
  <si>
    <t>K</t>
  </si>
  <si>
    <t>A</t>
  </si>
  <si>
    <t>Crash #</t>
  </si>
  <si>
    <t>Severity Index</t>
  </si>
  <si>
    <t>Total</t>
  </si>
  <si>
    <t>SI</t>
  </si>
  <si>
    <t>Treatment Information</t>
  </si>
  <si>
    <t>Before</t>
  </si>
  <si>
    <t>After</t>
  </si>
  <si>
    <t>Percent Reduction (-) 
Percent Increase (+)</t>
  </si>
  <si>
    <t>Total Crashes</t>
  </si>
  <si>
    <t>Severity</t>
  </si>
  <si>
    <t>Total Severity Index</t>
  </si>
  <si>
    <t>Target Crashes</t>
  </si>
  <si>
    <t>Target Crash Severity Index</t>
  </si>
  <si>
    <t>Injury Crash Summary</t>
  </si>
  <si>
    <t>Percent Reduction (-)
Percent Increase (+)</t>
  </si>
  <si>
    <t>Class C Injury Crashes</t>
  </si>
  <si>
    <t>Property Damage Only</t>
  </si>
  <si>
    <t>Additional Information</t>
  </si>
  <si>
    <t>Percent Reduction (-) Percent Increase (+)</t>
  </si>
  <si>
    <t>Crash Year</t>
  </si>
  <si>
    <t>Year</t>
  </si>
  <si>
    <t>Major Road - Leg #1</t>
  </si>
  <si>
    <t>Major Road - Leg #2</t>
  </si>
  <si>
    <t>Major Road - Average AADT</t>
  </si>
  <si>
    <t>Minor Road - Average AADT</t>
  </si>
  <si>
    <t>Minor Rd - Leg #3</t>
  </si>
  <si>
    <t>Minor Rd - Leg #4</t>
  </si>
  <si>
    <t>User Input Required</t>
  </si>
  <si>
    <t>Rear Ends</t>
  </si>
  <si>
    <t>Steps</t>
  </si>
  <si>
    <t>Intersection AADT</t>
  </si>
  <si>
    <t>Color Key</t>
  </si>
  <si>
    <t>cells needed for calcs:</t>
  </si>
  <si>
    <t>Total # of months in between</t>
  </si>
  <si>
    <t>●</t>
  </si>
  <si>
    <t>Most recent TEAAS date</t>
  </si>
  <si>
    <t>Target-1</t>
  </si>
  <si>
    <t>Target -2</t>
  </si>
  <si>
    <t>Target-2</t>
  </si>
  <si>
    <t>Target-1 Severity Index</t>
  </si>
  <si>
    <t>Target-1 KABCO</t>
  </si>
  <si>
    <t>Target-2 Severity Index</t>
  </si>
  <si>
    <t>Target-2 KABCO</t>
  </si>
  <si>
    <t>Date Range Calculator</t>
  </si>
  <si>
    <t>AADT Calculator</t>
  </si>
  <si>
    <t>Notes</t>
  </si>
  <si>
    <t>Target-1?</t>
  </si>
  <si>
    <t>Target-2?</t>
  </si>
  <si>
    <t xml:space="preserve">Leave these columns blank if not a Target Crash. </t>
  </si>
  <si>
    <t>All Targets</t>
  </si>
  <si>
    <t>Y</t>
  </si>
  <si>
    <t>Target Crash?</t>
  </si>
  <si>
    <t>All Target Crashes</t>
  </si>
  <si>
    <t>All - Targets</t>
  </si>
  <si>
    <t>All Target Crash Severity Index</t>
  </si>
  <si>
    <t>Target Injury Crash Summary</t>
  </si>
  <si>
    <t>Frontal Impacts</t>
  </si>
  <si>
    <t>Major AADT</t>
  </si>
  <si>
    <t>Minor AADT</t>
  </si>
  <si>
    <t>Target-1 Crash</t>
  </si>
  <si>
    <t>Target-2 Crash</t>
  </si>
  <si>
    <t>Advance Activated Warning Sign (a.k.a. Be Prepared to Stop Signs)</t>
  </si>
  <si>
    <t>Frontal Impact Crashes where Vehicle on Treated Approach Ran Red Light</t>
  </si>
  <si>
    <t>Rear End Crashes Approaching Intersection on Treated Approaches</t>
  </si>
  <si>
    <t>Treated Approaches are likely both Mainline Approaches</t>
  </si>
  <si>
    <t>All Way Stop</t>
  </si>
  <si>
    <t>Frontal Impact Crashes in Intersection</t>
  </si>
  <si>
    <t>Frontal Impact Crashes involving vehicle making a movement that is restricted in the after period</t>
  </si>
  <si>
    <t>Grade Separation</t>
  </si>
  <si>
    <t>Intersection Realignment</t>
  </si>
  <si>
    <t>Varies by Treatment - Other Targets may be necessary depending on the situation (i.e. Rear End Crashes or Lane Departure Crashes)</t>
  </si>
  <si>
    <t>Y-Lines may need to be extended.  Analyze Entire Area impacted by realignment</t>
  </si>
  <si>
    <t>Left Turn Lane - New Installation</t>
  </si>
  <si>
    <t>Left Turn Same Roadway Crashes on Treated Approaches</t>
  </si>
  <si>
    <t>If a multilane facility, rear ends may need to be specific to the inner lanes</t>
  </si>
  <si>
    <t>Left Turn Lane - Offset Existing Lane</t>
  </si>
  <si>
    <t>Median Channelization on an Intersection Approach (i.e. Assess Management for Driveways)</t>
  </si>
  <si>
    <t>Varies by Treatment - Other Targets may be necessary depending on the situation (i.e. rear end crashes alleviated due to a movement restriction)</t>
  </si>
  <si>
    <t>New Traffic Signal</t>
  </si>
  <si>
    <t>Pedestrian/Bicycle Treatments</t>
  </si>
  <si>
    <t>Pedestrian and Bicycle Crashes</t>
  </si>
  <si>
    <t>For a Pedestrian signal, rear end crashes may also need to be analyzed</t>
  </si>
  <si>
    <t>Remove Access/Intersection</t>
  </si>
  <si>
    <t>Frontal Impact Crashes in Intersection*</t>
  </si>
  <si>
    <t>Varies by Treatment - Other Targets may be necessary depending on the situation (i.e. Rear End Crashes)</t>
  </si>
  <si>
    <t>*Target crashes can vary depending on the specifics of what was removed</t>
  </si>
  <si>
    <t>Right Turn Lane at Intersection</t>
  </si>
  <si>
    <t>Sideswipe Crashes Approaching Intersection on Treated Approaches</t>
  </si>
  <si>
    <t>If a multilane facility, rear ends and sideswipes may need to be specific to the outer lanes</t>
  </si>
  <si>
    <t>Roundabout</t>
  </si>
  <si>
    <t>Sight Distance Improvements at Intersection</t>
  </si>
  <si>
    <t>May need to only include Frontal Impact Crashes involving vehicles making maneuvers directly affected by sight distance improvements (i.e. if one quadrant was cleared)</t>
  </si>
  <si>
    <t>Traffic Signal Revisions - Flashing Yellow Arrow</t>
  </si>
  <si>
    <t>Traffic Signal Revisions - Left Turn Phasing Revisions</t>
  </si>
  <si>
    <t>Vehicle Entering When Flashing</t>
  </si>
  <si>
    <t xml:space="preserve"> Comments/Instruction on Date Range Calculator:</t>
  </si>
  <si>
    <t>Target Crash Type Guidance - Intersection Treatments</t>
  </si>
  <si>
    <t>Countermeasure</t>
  </si>
  <si>
    <t xml:space="preserve"> Comments/Instructions for Typical Target Crashes:</t>
  </si>
  <si>
    <r>
      <rPr>
        <b/>
        <sz val="11"/>
        <color theme="1"/>
        <rFont val="Calibri"/>
        <family val="2"/>
        <scheme val="minor"/>
      </rPr>
      <t>Frontal impacts crash types</t>
    </r>
    <r>
      <rPr>
        <sz val="11"/>
        <color theme="1"/>
        <rFont val="Calibri"/>
        <family val="2"/>
        <scheme val="minor"/>
      </rPr>
      <t>: left-turn same roadway, left-turn different roadway, right-turn same roadway, right-turn different roadway, head-on, and angle crashes</t>
    </r>
  </si>
  <si>
    <t>Project Development</t>
  </si>
  <si>
    <t>Before Period</t>
  </si>
  <si>
    <t>After Period</t>
  </si>
  <si>
    <t>Fatal Injury Crashes</t>
  </si>
  <si>
    <t>Class A Injury Crashes</t>
  </si>
  <si>
    <t>Class B Injury Crashes</t>
  </si>
  <si>
    <t>Increase Conspicuity of Stop Condition (i.e. Double Indicated Stop Sign, Transverse Rumble Strips, Double Arrow Sign)</t>
  </si>
  <si>
    <t>Increase Conspicuity of Traffic Signal (i.e. Double Indicated Red, Backplates)</t>
  </si>
  <si>
    <t>Frontal Impact Crashes where Vehicle on Treated Approach Ran the Stop Sign</t>
  </si>
  <si>
    <t xml:space="preserve">Include Ran Off Road - Straight Crashes for T Intersections </t>
  </si>
  <si>
    <t>Flashing Traffic Signal (i.e. Overhead Non-Actuated Flasher)</t>
  </si>
  <si>
    <t>Frontal Impact Crashes involving Vehicles from Treated Approaches</t>
  </si>
  <si>
    <t>Instructions for AADT Calculator:</t>
  </si>
  <si>
    <t>AADTs for every year within the study period</t>
  </si>
  <si>
    <t>Input AADTs for every year that appears in the study range (Before and After Period).  You do not need to input volumes for the years outside of the study time periods</t>
  </si>
  <si>
    <r>
      <t xml:space="preserve">When inputting volume data into this tool, use </t>
    </r>
    <r>
      <rPr>
        <b/>
        <sz val="11"/>
        <color theme="1"/>
        <rFont val="Calibri"/>
        <family val="2"/>
        <scheme val="minor"/>
      </rPr>
      <t>Black</t>
    </r>
    <r>
      <rPr>
        <sz val="11"/>
        <color theme="1"/>
        <rFont val="Calibri"/>
        <family val="2"/>
        <scheme val="minor"/>
      </rPr>
      <t xml:space="preserve"> font color for values taken directly from the available volume data</t>
    </r>
  </si>
  <si>
    <r>
      <t>When inputting volume data into this tool, use</t>
    </r>
    <r>
      <rPr>
        <b/>
        <sz val="11"/>
        <color theme="1"/>
        <rFont val="Calibri"/>
        <family val="2"/>
        <scheme val="minor"/>
      </rPr>
      <t xml:space="preserve"> </t>
    </r>
    <r>
      <rPr>
        <b/>
        <sz val="11"/>
        <color rgb="FFFF0000"/>
        <rFont val="Calibri"/>
        <family val="2"/>
        <scheme val="minor"/>
      </rPr>
      <t>Red</t>
    </r>
    <r>
      <rPr>
        <sz val="11"/>
        <color theme="1"/>
        <rFont val="Calibri"/>
        <family val="2"/>
        <scheme val="minor"/>
      </rPr>
      <t xml:space="preserve"> font color for values that need to be calculated, interpolated, or assumed</t>
    </r>
  </si>
  <si>
    <t xml:space="preserve">Volumes should be entered in for each leg of the intersection, even if no count data is available.  Legs without available volume counts will need to have their volumes estimated. </t>
  </si>
  <si>
    <t>Manually Edit These Columns (A -&gt; M)</t>
  </si>
  <si>
    <t>Don't Edit These Columns (N -&gt; ).  Calculations are Automatic.</t>
  </si>
  <si>
    <r>
      <t>Columns L</t>
    </r>
    <r>
      <rPr>
        <b/>
        <sz val="11"/>
        <color theme="1"/>
        <rFont val="Calibri"/>
        <family val="2"/>
        <scheme val="minor"/>
      </rPr>
      <t xml:space="preserve"> </t>
    </r>
    <r>
      <rPr>
        <sz val="11"/>
        <color theme="1"/>
        <rFont val="Calibri"/>
        <family val="2"/>
        <scheme val="minor"/>
      </rPr>
      <t>and M require manual input to identify Target Crashes</t>
    </r>
  </si>
  <si>
    <r>
      <t xml:space="preserve">Type </t>
    </r>
    <r>
      <rPr>
        <b/>
        <sz val="11"/>
        <color rgb="FFFF0000"/>
        <rFont val="Calibri"/>
        <family val="2"/>
        <scheme val="minor"/>
      </rPr>
      <t>Y</t>
    </r>
    <r>
      <rPr>
        <sz val="11"/>
        <color theme="1"/>
        <rFont val="Calibri"/>
        <family val="2"/>
        <scheme val="minor"/>
      </rPr>
      <t xml:space="preserve"> in Column L if </t>
    </r>
    <r>
      <rPr>
        <b/>
        <sz val="11"/>
        <color rgb="FFFF0000"/>
        <rFont val="Calibri"/>
        <family val="2"/>
        <scheme val="minor"/>
      </rPr>
      <t>Target-1</t>
    </r>
    <r>
      <rPr>
        <sz val="11"/>
        <color theme="1"/>
        <rFont val="Calibri"/>
        <family val="2"/>
        <scheme val="minor"/>
      </rPr>
      <t xml:space="preserve"> Crash.  </t>
    </r>
  </si>
  <si>
    <r>
      <t xml:space="preserve">Type </t>
    </r>
    <r>
      <rPr>
        <b/>
        <sz val="11"/>
        <color theme="4"/>
        <rFont val="Calibri"/>
        <family val="2"/>
        <scheme val="minor"/>
      </rPr>
      <t>Y</t>
    </r>
    <r>
      <rPr>
        <sz val="11"/>
        <color theme="1"/>
        <rFont val="Calibri"/>
        <family val="2"/>
        <scheme val="minor"/>
      </rPr>
      <t xml:space="preserve"> in Column M if </t>
    </r>
    <r>
      <rPr>
        <b/>
        <sz val="11"/>
        <color theme="4"/>
        <rFont val="Calibri"/>
        <family val="2"/>
        <scheme val="minor"/>
      </rPr>
      <t>Target-2</t>
    </r>
    <r>
      <rPr>
        <sz val="11"/>
        <color theme="1"/>
        <rFont val="Calibri"/>
        <family val="2"/>
        <scheme val="minor"/>
      </rPr>
      <t xml:space="preserve"> Crash.  </t>
    </r>
  </si>
  <si>
    <t xml:space="preserve">Include Rear End crashes from the treated approaches within the Additional Information Table.  </t>
  </si>
  <si>
    <t>Order ID:</t>
  </si>
  <si>
    <t>Project ID:</t>
  </si>
  <si>
    <t>County:</t>
  </si>
  <si>
    <t>City:</t>
  </si>
  <si>
    <t>Division:</t>
  </si>
  <si>
    <t>Location:</t>
  </si>
  <si>
    <t>Countermeasure(s):</t>
  </si>
  <si>
    <t>Start Date</t>
  </si>
  <si>
    <t>End Date</t>
  </si>
  <si>
    <t>Construction Period</t>
  </si>
  <si>
    <t>Work Group/Consultant:</t>
  </si>
  <si>
    <t>Date:</t>
  </si>
  <si>
    <t>Principal Investigator:</t>
  </si>
  <si>
    <t>Cells that are shaded TAN are not automatic and need to be filled in prior to printing</t>
  </si>
  <si>
    <t>Years</t>
  </si>
  <si>
    <t>Fatal Injury</t>
  </si>
  <si>
    <t>Class A Injury</t>
  </si>
  <si>
    <t>Class B Injury</t>
  </si>
  <si>
    <t>Class C Injury</t>
  </si>
  <si>
    <t>All Target Injury Crash Summary</t>
  </si>
  <si>
    <t>Signal ID:</t>
  </si>
  <si>
    <t>Estimated Project Cost:</t>
  </si>
  <si>
    <t>GPS Coordinates:</t>
  </si>
  <si>
    <t>Completion Date:</t>
  </si>
  <si>
    <t>Representative Years Selection:</t>
  </si>
  <si>
    <t>Select Before Period Year:</t>
  </si>
  <si>
    <t>Select After Period Year:</t>
  </si>
  <si>
    <r>
      <t>Construction Period Length
(</t>
    </r>
    <r>
      <rPr>
        <i/>
        <sz val="11"/>
        <color theme="1"/>
        <rFont val="Calibri"/>
        <family val="2"/>
        <scheme val="minor"/>
      </rPr>
      <t>Give Value in Months</t>
    </r>
    <r>
      <rPr>
        <sz val="11"/>
        <color theme="1"/>
        <rFont val="Calibri"/>
        <family val="2"/>
        <scheme val="minor"/>
      </rPr>
      <t>)</t>
    </r>
  </si>
  <si>
    <t>Time Period</t>
  </si>
  <si>
    <t>Cells that need to be edited</t>
  </si>
  <si>
    <t>Auto-calculated cells</t>
  </si>
  <si>
    <t># of Years</t>
  </si>
  <si>
    <t># of Months</t>
  </si>
  <si>
    <r>
      <t xml:space="preserve">This tool only works in </t>
    </r>
    <r>
      <rPr>
        <b/>
        <i/>
        <u/>
        <sz val="11"/>
        <color theme="1"/>
        <rFont val="Calibri"/>
        <family val="2"/>
        <scheme val="minor"/>
      </rPr>
      <t>WHOLE MONTHS</t>
    </r>
    <r>
      <rPr>
        <sz val="11"/>
        <color theme="1"/>
        <rFont val="Calibri"/>
        <family val="2"/>
        <scheme val="minor"/>
      </rPr>
      <t>.  Construction start dates should be rounded up to the first of the month and construction end dates should be rounded down to the end the month.</t>
    </r>
  </si>
  <si>
    <t>Use a typical 3-month Construction Period unless you have specific information to the contrary (ex. construction dates were provided, info from satellite views, etc.).</t>
  </si>
  <si>
    <r>
      <t xml:space="preserve">You </t>
    </r>
    <r>
      <rPr>
        <i/>
        <sz val="11"/>
        <color theme="1"/>
        <rFont val="Calibri"/>
        <family val="2"/>
        <scheme val="minor"/>
      </rPr>
      <t xml:space="preserve">CAN </t>
    </r>
    <r>
      <rPr>
        <sz val="11"/>
        <color theme="1"/>
        <rFont val="Calibri"/>
        <family val="2"/>
        <scheme val="minor"/>
      </rPr>
      <t>input the construction start date directly into cell D10 or simply just enter in the construction period length into cells D5/D6.</t>
    </r>
  </si>
  <si>
    <t>Representative Volumes:</t>
  </si>
  <si>
    <t>Before Period Volume:</t>
  </si>
  <si>
    <t>After Period Volume:</t>
  </si>
  <si>
    <t>Reduced Conflict Intersection (RCI)</t>
  </si>
  <si>
    <t>Look at the sign and loop placement to determine what are the treated approaches.  If the signs are only on one approach, then only include crashes involving vehicles from that approach.  Crashes involving vehicles from the same roadway (Left Turn Same Roadway, Right Turn Same Roadway and Head On Crashes) are typically excluded because the flashers are not displayed to vehicles traveling on the same roadway.</t>
  </si>
  <si>
    <r>
      <t xml:space="preserve">In cells </t>
    </r>
    <r>
      <rPr>
        <b/>
        <sz val="11"/>
        <color theme="1"/>
        <rFont val="Calibri"/>
        <family val="2"/>
        <scheme val="minor"/>
      </rPr>
      <t>N5</t>
    </r>
    <r>
      <rPr>
        <sz val="11"/>
        <color theme="1"/>
        <rFont val="Calibri"/>
        <family val="2"/>
        <scheme val="minor"/>
      </rPr>
      <t xml:space="preserve"> and </t>
    </r>
    <r>
      <rPr>
        <b/>
        <sz val="11"/>
        <color theme="1"/>
        <rFont val="Calibri"/>
        <family val="2"/>
        <scheme val="minor"/>
      </rPr>
      <t>N6</t>
    </r>
    <r>
      <rPr>
        <sz val="11"/>
        <color theme="1"/>
        <rFont val="Calibri"/>
        <family val="2"/>
        <scheme val="minor"/>
      </rPr>
      <t>, select the last year within each period that has available volume data (i.e. actual collected volume data, not estimated/interpolated data)</t>
    </r>
  </si>
  <si>
    <r>
      <t xml:space="preserve">In the case of a T-intersection, leave leg #4 blank (Column </t>
    </r>
    <r>
      <rPr>
        <b/>
        <sz val="11"/>
        <color theme="1"/>
        <rFont val="Calibri"/>
        <family val="2"/>
        <scheme val="minor"/>
      </rPr>
      <t>Q</t>
    </r>
    <r>
      <rPr>
        <sz val="11"/>
        <color theme="1"/>
        <rFont val="Calibri"/>
        <family val="2"/>
        <scheme val="minor"/>
      </rPr>
      <t>)</t>
    </r>
  </si>
  <si>
    <r>
      <t xml:space="preserve">Intersections with 5 or more legs should just have the yearly volumes for the WHOLE intersection calcuated manually and entered into column </t>
    </r>
    <r>
      <rPr>
        <b/>
        <sz val="11"/>
        <color theme="1"/>
        <rFont val="Calibri"/>
        <family val="2"/>
        <scheme val="minor"/>
      </rPr>
      <t>R</t>
    </r>
    <r>
      <rPr>
        <sz val="11"/>
        <color theme="1"/>
        <rFont val="Calibri"/>
        <family val="2"/>
        <scheme val="minor"/>
      </rPr>
      <t>.</t>
    </r>
  </si>
  <si>
    <r>
      <t xml:space="preserve">Please note that this tool will not correctly calculate the AADT of an intersection that involves a one-way road.  Should the major or minor road involve one-way traffic, the total entering volume into the intersection by that road should be directly entered into Column </t>
    </r>
    <r>
      <rPr>
        <b/>
        <sz val="11"/>
        <color theme="1"/>
        <rFont val="Calibri"/>
        <family val="2"/>
        <scheme val="minor"/>
      </rPr>
      <t>O</t>
    </r>
    <r>
      <rPr>
        <sz val="11"/>
        <color theme="1"/>
        <rFont val="Calibri"/>
        <family val="2"/>
        <scheme val="minor"/>
      </rPr>
      <t xml:space="preserve"> (if the major road is one-way) or column </t>
    </r>
    <r>
      <rPr>
        <b/>
        <sz val="11"/>
        <color theme="1"/>
        <rFont val="Calibri"/>
        <family val="2"/>
        <scheme val="minor"/>
      </rPr>
      <t>R</t>
    </r>
    <r>
      <rPr>
        <sz val="11"/>
        <color theme="1"/>
        <rFont val="Calibri"/>
        <family val="2"/>
        <scheme val="minor"/>
      </rPr>
      <t xml:space="preserve"> (if the minor road is one-way)</t>
    </r>
  </si>
  <si>
    <t>Do not select 2020 as a representative year for a particular time period, due to the effects of the COVID-19 pandemic, even if it is the last year with available AADT data within said time period.</t>
  </si>
  <si>
    <t>NOTE: If a crash could potentially fall in more than one target group, discuss with SEG Staff on how to prioritize the target placement.  Each target crash should only fall in one target group.  There should not be overlap.</t>
  </si>
  <si>
    <t xml:space="preserve">If the treatment included the construction of U-turn bulbouts, the entire constructed section may need to be included in the treatment analysis.  If the treatment was ONLY the RCI, analyze downstream U-turn crashes in a separate table. </t>
  </si>
  <si>
    <t>Analyze a Potential Area of Influence / Downstream U-Turn Crashes in the additional information table and/or the discussion</t>
  </si>
  <si>
    <t>Particularly for rural roundabouts, note whether there is lighting present within the discussion and detail any patterns regarding nighttime crashes or nighttime lane departures within the additional information table and/or discussion</t>
  </si>
  <si>
    <t>Project ID</t>
  </si>
  <si>
    <t>Intersection</t>
  </si>
  <si>
    <t>County</t>
  </si>
  <si>
    <t>GPS</t>
  </si>
  <si>
    <t>Project Cost</t>
  </si>
  <si>
    <t>Countermeasure Description</t>
  </si>
  <si>
    <t>Countermeasure Grouping</t>
  </si>
  <si>
    <t>Major Speed Limit</t>
  </si>
  <si>
    <t>Minor Speed Limit</t>
  </si>
  <si>
    <t>Install
Year</t>
  </si>
  <si>
    <t>Before, Yr 1</t>
  </si>
  <si>
    <t>Before, Yr 2</t>
  </si>
  <si>
    <t>Before, Yr 3</t>
  </si>
  <si>
    <t>After, Yr 1</t>
  </si>
  <si>
    <t>After, Yr 2</t>
  </si>
  <si>
    <t>After, Yr 3</t>
  </si>
  <si>
    <t>Intersection Type</t>
  </si>
  <si>
    <t>B - Yr 1</t>
  </si>
  <si>
    <t>B - Yr 2</t>
  </si>
  <si>
    <t>B - Yr 3</t>
  </si>
  <si>
    <t>A - Yr 1</t>
  </si>
  <si>
    <t>A - Yr 2</t>
  </si>
  <si>
    <t>A - Yr 3</t>
  </si>
  <si>
    <t>Treatment Grouping</t>
  </si>
  <si>
    <t>Intersection Signing/Marking Enhancement</t>
  </si>
  <si>
    <t>Left Turn Lane (Unsignalized)</t>
  </si>
  <si>
    <t>Median Channelization</t>
  </si>
  <si>
    <t>Offset Left Turn Lane</t>
  </si>
  <si>
    <t>Sight Distance Improvements</t>
  </si>
  <si>
    <t>VEWF</t>
  </si>
  <si>
    <t>Advance Activated Warning Sign</t>
  </si>
  <si>
    <t>Traffic Signal Revisions - Left Turn FYA</t>
  </si>
  <si>
    <t>Traffic Signal Revisions - Non-FYA Related</t>
  </si>
  <si>
    <t>Traffic Signal Revisions - Turn Lanes</t>
  </si>
  <si>
    <t>Miscellaneous</t>
  </si>
  <si>
    <t>R2-3ST</t>
  </si>
  <si>
    <t>R2-4ST</t>
  </si>
  <si>
    <t>R2-4SG</t>
  </si>
  <si>
    <t>R4-3ST</t>
  </si>
  <si>
    <t>R4-4ST</t>
  </si>
  <si>
    <t>R4-4SG</t>
  </si>
  <si>
    <t>U-3ST</t>
  </si>
  <si>
    <t>U-3SG</t>
  </si>
  <si>
    <t>U-4ST</t>
  </si>
  <si>
    <t>U-4SG</t>
  </si>
  <si>
    <t>Month</t>
  </si>
  <si>
    <t>KABC</t>
  </si>
  <si>
    <t>Months in Before</t>
  </si>
  <si>
    <t>Months in After</t>
  </si>
  <si>
    <t>Before Period Table</t>
  </si>
  <si>
    <t>After Period Table</t>
  </si>
  <si>
    <r>
      <t xml:space="preserve">Tables used for Multi-treatment EB analysis and CMF tracking - Please </t>
    </r>
    <r>
      <rPr>
        <b/>
        <u/>
        <sz val="16"/>
        <color rgb="FFFF0000"/>
        <rFont val="Calibri"/>
        <family val="2"/>
        <scheme val="minor"/>
      </rPr>
      <t>DO NOT</t>
    </r>
    <r>
      <rPr>
        <sz val="16"/>
        <color theme="1"/>
        <rFont val="Calibri"/>
        <family val="2"/>
        <scheme val="minor"/>
      </rPr>
      <t xml:space="preserve"> edit or change any cells in this section</t>
    </r>
  </si>
  <si>
    <t>Intx Types</t>
  </si>
  <si>
    <t>Countermeasure Groupings</t>
  </si>
  <si>
    <t>* --&gt;</t>
  </si>
  <si>
    <t>*Note for NCDOT Staff: Should only need to copy this row into internal SS/HE project tracking workbook.  Recommended that "values only" paste is used when copying and pasting into tracking workbook.</t>
  </si>
  <si>
    <t>year</t>
  </si>
  <si>
    <t>Target Crash 1:</t>
  </si>
  <si>
    <t>Target Crash 2:</t>
  </si>
  <si>
    <t>Fiche Preparation Tool</t>
  </si>
  <si>
    <t>Developed by Daniel Carter for NCDOT Traffic Safety Unit</t>
  </si>
  <si>
    <t>Purpose</t>
  </si>
  <si>
    <t>This tool is intended to format the output from the TEAAS Detailed Fiche module to prepare it for crash-by-crash analysis. It sorts the crashes in a standard way that is appropriate for manual examination, adds a link to Google Maps if any crash has lat/long coordinates, and provides optional cell coloring by road name. The user can visit the Google Maps link to see where the coordinates place the crash; this can be additional information to help identify where the crash occurred.</t>
  </si>
  <si>
    <t>Audience</t>
  </si>
  <si>
    <t>This tool was developed for NCDOT staff, but can be used by any TEAAS User to assist them in conducting a crash analysis.</t>
  </si>
  <si>
    <t>How to Use</t>
  </si>
  <si>
    <t>2. Optional: Enter road names and set cell colors in the road coloring table below.</t>
  </si>
  <si>
    <t>Road Coloring (Optional)</t>
  </si>
  <si>
    <t>Category 1</t>
  </si>
  <si>
    <t>Category 2</t>
  </si>
  <si>
    <t>Category 3</t>
  </si>
  <si>
    <t>Category 4</t>
  </si>
  <si>
    <t>Category 5</t>
  </si>
  <si>
    <t>Category 6</t>
  </si>
  <si>
    <t>Category 7</t>
  </si>
  <si>
    <t>Category 8</t>
  </si>
  <si>
    <t>Category 9</t>
  </si>
  <si>
    <t>Category 10</t>
  </si>
  <si>
    <t>Category 11</t>
  </si>
  <si>
    <t>Category 12</t>
  </si>
  <si>
    <t>Category 13</t>
  </si>
  <si>
    <t>Category 14</t>
  </si>
  <si>
    <t>Category 15</t>
  </si>
  <si>
    <t>Category 16</t>
  </si>
  <si>
    <t>Color this cell with the color to be used for Category 5</t>
  </si>
  <si>
    <t>Color this cell with the color to be used for Category 6</t>
  </si>
  <si>
    <t>Color this cell with the color to be used for Category 7</t>
  </si>
  <si>
    <t>Color this cell with the color to be used for Category 8</t>
  </si>
  <si>
    <t>Color this cell with the color to be used for Category 9</t>
  </si>
  <si>
    <t>Color this cell with the color to be used for Category 10</t>
  </si>
  <si>
    <t>Color this cell with the color to be used for Category 11</t>
  </si>
  <si>
    <t>Color this cell with the color to be used for Category 12</t>
  </si>
  <si>
    <t>Color this cell with the color to be used for Category 13</t>
  </si>
  <si>
    <t>Color this cell with the color to be used for Category 14</t>
  </si>
  <si>
    <t>Color this cell with the color to be used for Category 15</t>
  </si>
  <si>
    <t>Color this cell with the color to be used for Category 16</t>
  </si>
  <si>
    <t>Enter Category 1 road names in the cells below this line.</t>
  </si>
  <si>
    <t>Enter Category 2 road names in the cells below this line.</t>
  </si>
  <si>
    <t>Enter Category 3 road names in the cells below this line.</t>
  </si>
  <si>
    <t>Enter Category 4 road names in the cells below this line.</t>
  </si>
  <si>
    <t>Enter Category 5 road names in the cells below this line.</t>
  </si>
  <si>
    <t>Enter Category 6 road names in the cells below this line.</t>
  </si>
  <si>
    <t>Enter Category 7 road names in the cells below this line.</t>
  </si>
  <si>
    <t>Enter Category 8 road names in the cells below this line.</t>
  </si>
  <si>
    <t>Enter Category 9 road names in the cells below this line.</t>
  </si>
  <si>
    <t>Enter Category 10 road names in the cells below this line.</t>
  </si>
  <si>
    <t>Enter Category 11 road names in the cells below this line.</t>
  </si>
  <si>
    <t>Enter Category 12 road names in the cells below this line.</t>
  </si>
  <si>
    <t>Enter Category 13 road names in the cells below this line.</t>
  </si>
  <si>
    <t>Enter Category 14 road names in the cells below this line.</t>
  </si>
  <si>
    <t>Enter Category 15 road names in the cells below this line.</t>
  </si>
  <si>
    <t>Enter Category 16 road names in the cells below this line.</t>
  </si>
  <si>
    <t>Color this cell with the color to be used for Category 1</t>
  </si>
  <si>
    <t>Color this cell with the color to be used for Category 2</t>
  </si>
  <si>
    <t>Color this cell with the color to be used for Category 3</t>
  </si>
  <si>
    <t>Color this cell with the color to be used for Category 4</t>
  </si>
  <si>
    <t>version 7/13/2026</t>
  </si>
  <si>
    <t xml:space="preserve"> Comments/Instruction on Location Information</t>
  </si>
  <si>
    <t>1. Copy the entire sheet from the TEAAS Detailed Fiche output and paste it into the sheet called "Original Fiche" (must be selected on Cell A1 in that sheet when pasting).</t>
  </si>
  <si>
    <t>Initial Crash ID</t>
  </si>
  <si>
    <t>Paste Initial Crash ID from TEAAS (for entire Fiche time period) into cell B3</t>
  </si>
  <si>
    <t xml:space="preserve">Use the text import wizard to delimit cells by "|" </t>
  </si>
  <si>
    <t>2. Optional: Paste the initial CrashID list into the "Initial Crash ID list" sheet</t>
  </si>
  <si>
    <t>Some people want to color the road name cells in the fiche to make it easier to visually distinguish which crashes are in study. If you want to do this, use the table below. 
Set the color for each category by coloring (fill with color) the box indicated. 
Enter road names for each category as needed. Make sure they are exactly as spelled in the features report (e.g., NC 132, SR 2478, COLLEGE, etc). Alternatively you can use '*' as a wild card, but case does need to match.</t>
  </si>
  <si>
    <t>Target Crash 3:</t>
  </si>
  <si>
    <t>Unclear</t>
  </si>
  <si>
    <t>RE</t>
  </si>
  <si>
    <t>RORR</t>
  </si>
  <si>
    <t>RORL</t>
  </si>
  <si>
    <t>SSSD</t>
  </si>
  <si>
    <t>RORS</t>
  </si>
  <si>
    <t>Bike</t>
  </si>
  <si>
    <t>Animal</t>
  </si>
  <si>
    <t>Other</t>
  </si>
  <si>
    <t>Wet Crashes</t>
  </si>
  <si>
    <t>Analysis Criteria</t>
  </si>
  <si>
    <t>All Crashes</t>
  </si>
  <si>
    <t>Bike/ Ped Crashes Only</t>
  </si>
  <si>
    <t>Assumptions</t>
  </si>
  <si>
    <t>Signal ID (if applicable):</t>
  </si>
  <si>
    <t>Statement of Problem:</t>
  </si>
  <si>
    <t>CMF Group</t>
  </si>
  <si>
    <t>Robeson</t>
  </si>
  <si>
    <t>Y-line (ft):</t>
  </si>
  <si>
    <t>Completion date Notes</t>
  </si>
  <si>
    <t>Cells that won't be in the final fiche</t>
  </si>
  <si>
    <t>Cells that are calculated</t>
  </si>
  <si>
    <t>Cells that are used in the One Pager</t>
  </si>
  <si>
    <t>Other Notes:</t>
  </si>
  <si>
    <t>Target -3</t>
  </si>
  <si>
    <t>1 Target</t>
  </si>
  <si>
    <t>2 Target</t>
  </si>
  <si>
    <t>3 Targets</t>
  </si>
  <si>
    <t>Equal Time Periods</t>
  </si>
  <si>
    <t>Unequal Time Periods</t>
  </si>
  <si>
    <t>Total Crashes Per Year</t>
  </si>
  <si>
    <t>Target Crashes Per Year</t>
  </si>
  <si>
    <t>Total Injury Crashes Per Year</t>
  </si>
  <si>
    <t>--</t>
  </si>
  <si>
    <t>Target Injury Crashes Per Year</t>
  </si>
  <si>
    <t>All Target Crashes Per Year</t>
  </si>
  <si>
    <t>All Target Injury Crashes Per Year</t>
  </si>
  <si>
    <t>3 Target</t>
  </si>
  <si>
    <t>Crash Trends (Total Crashes)</t>
  </si>
  <si>
    <t>Unequal Time Period Crash Trends (CPY)</t>
  </si>
  <si>
    <t>Comments from Reviewer</t>
  </si>
  <si>
    <t>Leg</t>
  </si>
  <si>
    <t>Road</t>
  </si>
  <si>
    <t>Speed</t>
  </si>
  <si>
    <t>AADT</t>
  </si>
  <si>
    <t>AADT Year</t>
  </si>
  <si>
    <t>Est</t>
  </si>
  <si>
    <t>CPY</t>
  </si>
  <si>
    <t>Labels for Map/ alt text</t>
  </si>
  <si>
    <t>Type of One Pager</t>
  </si>
  <si>
    <t>Comments for the user</t>
  </si>
  <si>
    <t xml:space="preserve">Place check marks next to the type of one pager you wish to generate. This determines the formatting of the crash data that gets sent to the word document. </t>
  </si>
  <si>
    <t>The data that generates the one pager comes from the "Assumptions", "Evaluation Set-Up", "Before", and "After" tabs. Make sure these tabs are finalized before generating the word document.</t>
  </si>
  <si>
    <t>If you have to remove a crash from the before and after periods, you will either have to generate a new one pager or manually edit the one pager using the charts past column U.</t>
  </si>
  <si>
    <t xml:space="preserve">You will have to manually copy the map into the one pager. </t>
  </si>
  <si>
    <t>The discussion will be written directly into the one pager. Feel fee to play with font size to fit the discussion on one page.</t>
  </si>
  <si>
    <t>Don't Edit These Columns (S-&gt; ).  Calculations are Automatic.</t>
  </si>
  <si>
    <t>Link</t>
  </si>
  <si>
    <t>Target-3 Severity Index</t>
  </si>
  <si>
    <t>Target-3?</t>
  </si>
  <si>
    <t>Target-3</t>
  </si>
  <si>
    <t>Target-3 KABCO</t>
  </si>
  <si>
    <t>Minor</t>
  </si>
  <si>
    <t xml:space="preserve">Major </t>
  </si>
  <si>
    <t>Speed Limit (mph)</t>
  </si>
  <si>
    <t>7.17.1</t>
  </si>
  <si>
    <t>Signing, Delineation &amp; Illumination</t>
  </si>
  <si>
    <t>Frontal Impact</t>
  </si>
  <si>
    <t>Convert from Minor Road Stop Control to All Way Stop Control Without Overhead Flashers</t>
  </si>
  <si>
    <t>All</t>
  </si>
  <si>
    <t>Injury Crashes</t>
  </si>
  <si>
    <t>Injury includes fatality and injury crashes</t>
  </si>
  <si>
    <t>1.66% of initial cost</t>
  </si>
  <si>
    <t>Evaluation of the Conversion from Two-Way Stop Sign Control to All-Way Stop Sign Control at 53 Locations in North Carolina</t>
  </si>
  <si>
    <t>YES</t>
  </si>
  <si>
    <t>07/2012</t>
  </si>
  <si>
    <t>NCDOT Reference Number</t>
  </si>
  <si>
    <t>Category</t>
  </si>
  <si>
    <t>Countermeasure Location Type</t>
  </si>
  <si>
    <t>Countermeasure Target Crash</t>
  </si>
  <si>
    <t>CRF Site Specifications</t>
  </si>
  <si>
    <t>CRF Crash Pattern Affected</t>
  </si>
  <si>
    <t>CRF Context</t>
  </si>
  <si>
    <t>CRF</t>
  </si>
  <si>
    <t>Status</t>
  </si>
  <si>
    <t>CMF</t>
  </si>
  <si>
    <t>Std Error</t>
  </si>
  <si>
    <t>Service Life</t>
  </si>
  <si>
    <t>Annual Maintenance</t>
  </si>
  <si>
    <t>Utility Costs</t>
  </si>
  <si>
    <t>Crash Cost Type</t>
  </si>
  <si>
    <t>Crash Costs F+A</t>
  </si>
  <si>
    <t>Crash Costs B+C</t>
  </si>
  <si>
    <t>Crash Costs PDO</t>
  </si>
  <si>
    <t>Study Name</t>
  </si>
  <si>
    <t xml:space="preserve">Report Located </t>
  </si>
  <si>
    <t>Study Year</t>
  </si>
  <si>
    <t>Study Page</t>
  </si>
  <si>
    <t>CMF Web #</t>
  </si>
  <si>
    <t>Star Rating</t>
  </si>
  <si>
    <t>Comments</t>
  </si>
  <si>
    <t>Original Date Discussed</t>
  </si>
  <si>
    <t>Date Approved</t>
  </si>
  <si>
    <t>CRF Used (Copy entire row from CRF Sheet)</t>
  </si>
  <si>
    <t xml:space="preserve">Division </t>
  </si>
  <si>
    <t>Safety Project</t>
  </si>
  <si>
    <t>Countermeasure (short Hand)</t>
  </si>
  <si>
    <t>How did this do?</t>
  </si>
  <si>
    <t>What is Expected Crash Reduction?</t>
  </si>
  <si>
    <t>Disclaimer</t>
  </si>
  <si>
    <t>PDO Crashes</t>
  </si>
  <si>
    <t>KAB Injury Crashes</t>
  </si>
  <si>
    <t>Fatal and Class A Injury Crashes</t>
  </si>
  <si>
    <t>Class B and C Injury Crashes</t>
  </si>
  <si>
    <t>Automatically Calculated CRF Crash Patterns</t>
  </si>
  <si>
    <t>Fatal Crashes</t>
  </si>
  <si>
    <t>Non-Fatal Injury Crashes</t>
  </si>
  <si>
    <t>Wet Road Crashes</t>
  </si>
  <si>
    <t>Target Injury Crashes</t>
  </si>
  <si>
    <t>Nighttime Crashes</t>
  </si>
  <si>
    <t>Nighttime Fatal Crashes</t>
  </si>
  <si>
    <t>Nighttime Non-Fatal Injury Crashes</t>
  </si>
  <si>
    <t>Nighttime PDO Crashes</t>
  </si>
  <si>
    <t>Daytime Crashes</t>
  </si>
  <si>
    <t>Percent Change</t>
  </si>
  <si>
    <t>Signalized (Y or N)?</t>
  </si>
  <si>
    <t>Is Rail Involved?</t>
  </si>
  <si>
    <t>Are HSIP commments included?</t>
  </si>
  <si>
    <t>Bike/Ped Countermeasure</t>
  </si>
  <si>
    <t>Manual Entry</t>
  </si>
  <si>
    <t>Standard Comment</t>
  </si>
  <si>
    <t>Length</t>
  </si>
  <si>
    <t>Crashes Per Year by Project Time Period</t>
  </si>
  <si>
    <t>Before
Period</t>
  </si>
  <si>
    <t>After
Period</t>
  </si>
  <si>
    <t>Unequal Time Period Start Date</t>
  </si>
  <si>
    <t>Division #</t>
  </si>
  <si>
    <t>Bertie</t>
  </si>
  <si>
    <t>Camden</t>
  </si>
  <si>
    <t>Chowan</t>
  </si>
  <si>
    <t>Currituck</t>
  </si>
  <si>
    <t>Dare</t>
  </si>
  <si>
    <t>Gates</t>
  </si>
  <si>
    <t>Hertford</t>
  </si>
  <si>
    <t>Hyde</t>
  </si>
  <si>
    <t>Martin</t>
  </si>
  <si>
    <t>Northampton</t>
  </si>
  <si>
    <t>Pasquotank</t>
  </si>
  <si>
    <t>Perquimans</t>
  </si>
  <si>
    <t>Tyrrell</t>
  </si>
  <si>
    <t>Washington</t>
  </si>
  <si>
    <t>Beaufort</t>
  </si>
  <si>
    <t>Carteret</t>
  </si>
  <si>
    <t>Craven</t>
  </si>
  <si>
    <t>Greene</t>
  </si>
  <si>
    <t>Jones</t>
  </si>
  <si>
    <t>Lenoir</t>
  </si>
  <si>
    <t>Pamlico</t>
  </si>
  <si>
    <t>Pitt</t>
  </si>
  <si>
    <t>Brunswick</t>
  </si>
  <si>
    <t>Duplin</t>
  </si>
  <si>
    <t>New Hanover</t>
  </si>
  <si>
    <t>Onslow</t>
  </si>
  <si>
    <t>Pender</t>
  </si>
  <si>
    <t>Sampson</t>
  </si>
  <si>
    <t>Edgecombe</t>
  </si>
  <si>
    <t>Halifax</t>
  </si>
  <si>
    <t>Johnston</t>
  </si>
  <si>
    <t>Nash</t>
  </si>
  <si>
    <t>Wayne</t>
  </si>
  <si>
    <t>Wilson</t>
  </si>
  <si>
    <t>Durham</t>
  </si>
  <si>
    <t>Franklin</t>
  </si>
  <si>
    <t>Granville</t>
  </si>
  <si>
    <t>Person</t>
  </si>
  <si>
    <t>Vance</t>
  </si>
  <si>
    <t>Wake</t>
  </si>
  <si>
    <t>Warren</t>
  </si>
  <si>
    <t>Bladen</t>
  </si>
  <si>
    <t>Columbus</t>
  </si>
  <si>
    <t>Cumberland</t>
  </si>
  <si>
    <t>Harnett</t>
  </si>
  <si>
    <t>Alamance</t>
  </si>
  <si>
    <t>Caswell</t>
  </si>
  <si>
    <t>Guilford</t>
  </si>
  <si>
    <t>Orange</t>
  </si>
  <si>
    <t>Rockingham</t>
  </si>
  <si>
    <t>Chatham</t>
  </si>
  <si>
    <t>Hoke</t>
  </si>
  <si>
    <t>Lee</t>
  </si>
  <si>
    <t>Montgomery</t>
  </si>
  <si>
    <t>Moore</t>
  </si>
  <si>
    <t>Randolph</t>
  </si>
  <si>
    <t>Richmond</t>
  </si>
  <si>
    <t>Scotland</t>
  </si>
  <si>
    <t>Davidson</t>
  </si>
  <si>
    <t>Davie</t>
  </si>
  <si>
    <t>Forsyth</t>
  </si>
  <si>
    <t>Rowan</t>
  </si>
  <si>
    <t>Stokes</t>
  </si>
  <si>
    <t>Anson</t>
  </si>
  <si>
    <t>Cabarrus</t>
  </si>
  <si>
    <t>Mecklenburg</t>
  </si>
  <si>
    <t>Stanly</t>
  </si>
  <si>
    <t>Union</t>
  </si>
  <si>
    <t>Alleghany</t>
  </si>
  <si>
    <t>Ashe</t>
  </si>
  <si>
    <t>Avery</t>
  </si>
  <si>
    <t>Caldwell</t>
  </si>
  <si>
    <t>Surry</t>
  </si>
  <si>
    <t>Watauga</t>
  </si>
  <si>
    <t>Wilkes</t>
  </si>
  <si>
    <t>Yadkin</t>
  </si>
  <si>
    <t>Alexander</t>
  </si>
  <si>
    <t>Catawba</t>
  </si>
  <si>
    <t>Cleveland</t>
  </si>
  <si>
    <t>Gaston</t>
  </si>
  <si>
    <t>Iredell</t>
  </si>
  <si>
    <t>Lincoln</t>
  </si>
  <si>
    <t>Buncombe</t>
  </si>
  <si>
    <t>Burke</t>
  </si>
  <si>
    <t>Madison</t>
  </si>
  <si>
    <t>McDowell</t>
  </si>
  <si>
    <t>Mitchell</t>
  </si>
  <si>
    <t>Rutherford</t>
  </si>
  <si>
    <t>Yancey</t>
  </si>
  <si>
    <t>Cherokee</t>
  </si>
  <si>
    <t>Clay</t>
  </si>
  <si>
    <t>Graham</t>
  </si>
  <si>
    <t>Haywood</t>
  </si>
  <si>
    <t>Henderson</t>
  </si>
  <si>
    <t>Jackson</t>
  </si>
  <si>
    <t>Macon</t>
  </si>
  <si>
    <t>Polk</t>
  </si>
  <si>
    <t>Swain</t>
  </si>
  <si>
    <t>Transylvania</t>
  </si>
  <si>
    <t>N/A</t>
  </si>
  <si>
    <t>Column1</t>
  </si>
  <si>
    <t>Column2</t>
  </si>
  <si>
    <t>Column3</t>
  </si>
  <si>
    <t>Column4</t>
  </si>
  <si>
    <t>Column5</t>
  </si>
  <si>
    <t>Column6</t>
  </si>
  <si>
    <t>Division</t>
  </si>
  <si>
    <t>To</t>
  </si>
  <si>
    <t>Regional Traffic Engineer</t>
  </si>
  <si>
    <t>adgood@ncdot.gov</t>
  </si>
  <si>
    <t>Region Traffic Safety Engineer</t>
  </si>
  <si>
    <t>admoore4@ncdot.gov</t>
  </si>
  <si>
    <t>Division Traffic Engineer</t>
  </si>
  <si>
    <t>jdavidson@ncdot.gov</t>
  </si>
  <si>
    <t>Regional Signals Engineer</t>
  </si>
  <si>
    <t>CC</t>
  </si>
  <si>
    <t>jportanova@ncdot.gov</t>
  </si>
  <si>
    <t>stroy@ncdot.gov</t>
  </si>
  <si>
    <t>bgmurphy@ncdot.gov</t>
  </si>
  <si>
    <t>clsimpson@ncdot.gov</t>
  </si>
  <si>
    <t>John Grant</t>
  </si>
  <si>
    <t>jhgrant@ncdot.gov</t>
  </si>
  <si>
    <t>Lead Regional Traffic Engineer</t>
  </si>
  <si>
    <t>rwthompson@ncdot.gov</t>
  </si>
  <si>
    <t>State Signals Engineer (Doumit Ishak)</t>
  </si>
  <si>
    <t>Division Engineer</t>
  </si>
  <si>
    <t>rksawyer@ncdot.gov</t>
  </si>
  <si>
    <t>If rail is invovled (Nancy Horne)</t>
  </si>
  <si>
    <t>If HSIP comments are included (Stephen Lowry)</t>
  </si>
  <si>
    <t>If Bike/ Ped Countermeasure (Brennon Fuqua)</t>
  </si>
  <si>
    <t>Cells to Copy</t>
  </si>
  <si>
    <t>TO</t>
  </si>
  <si>
    <t>Column7</t>
  </si>
  <si>
    <t>Column8</t>
  </si>
  <si>
    <t>Column9</t>
  </si>
  <si>
    <t>Column10</t>
  </si>
  <si>
    <t>Column11</t>
  </si>
  <si>
    <t>Column12</t>
  </si>
  <si>
    <t>Column13</t>
  </si>
  <si>
    <t>Column14</t>
  </si>
  <si>
    <t>Column15</t>
  </si>
  <si>
    <t>Column16</t>
  </si>
  <si>
    <t>Column17</t>
  </si>
  <si>
    <t>Column18</t>
  </si>
  <si>
    <t>Column19</t>
  </si>
  <si>
    <t>Column20</t>
  </si>
  <si>
    <t>Last Verified</t>
  </si>
  <si>
    <t>Alicia Good</t>
  </si>
  <si>
    <t>Anthony D. Moore</t>
  </si>
  <si>
    <t>Jason Davidson</t>
  </si>
  <si>
    <t>Zachary Little</t>
  </si>
  <si>
    <t>zmlittle@ncdot.gov</t>
  </si>
  <si>
    <t>Rusty Thompson</t>
  </si>
  <si>
    <t>Ronnie K. Sawyer, PE</t>
  </si>
  <si>
    <t>Chris G Smith</t>
  </si>
  <si>
    <t>cgsmith2@ncdot.gov</t>
  </si>
  <si>
    <t>Mary Beth Houston</t>
  </si>
  <si>
    <t>mbhouston@ncdot.gov</t>
  </si>
  <si>
    <t>Dogulas LaFave</t>
  </si>
  <si>
    <t>dlafave@ncdot.gov</t>
  </si>
  <si>
    <t>Patrick Wurzel</t>
  </si>
  <si>
    <t>jpwurzel@ncdot.gov</t>
  </si>
  <si>
    <t>Stoney Mathis</t>
  </si>
  <si>
    <t>sdmathis@ncdot.gov</t>
  </si>
  <si>
    <t>Trevor Carroll</t>
  </si>
  <si>
    <t>tkcarroll@ncdot.gov</t>
  </si>
  <si>
    <t>Paul Marak</t>
  </si>
  <si>
    <t>pmarak@ncdot.gov</t>
  </si>
  <si>
    <t>Matt Clarke</t>
  </si>
  <si>
    <t>wmclarke@ncdot.gov</t>
  </si>
  <si>
    <t>Tyler Fowler</t>
  </si>
  <si>
    <t>tjfowler2@ncdot.gov</t>
  </si>
  <si>
    <t>Vacant</t>
  </si>
  <si>
    <t>Ashley Lowery + Ben Upshaw</t>
  </si>
  <si>
    <t>aclowery1@ncdot.gov</t>
  </si>
  <si>
    <t>Rob Ziemba</t>
  </si>
  <si>
    <t>rjziemba@ncdot.gov</t>
  </si>
  <si>
    <t>ALREADY INCLUDED</t>
  </si>
  <si>
    <t>Becca Gallas</t>
  </si>
  <si>
    <t>rjgallas@ncdot.gov</t>
  </si>
  <si>
    <t>Robert (Coke) Gray</t>
  </si>
  <si>
    <t>rcgray@ncdot.gov</t>
  </si>
  <si>
    <t>Cedrick D Graham</t>
  </si>
  <si>
    <t>cdgraham1@ncdot.gov</t>
  </si>
  <si>
    <t>James Flowers</t>
  </si>
  <si>
    <t>jvflowers@ncdot.gov</t>
  </si>
  <si>
    <t>Lee Jernigan</t>
  </si>
  <si>
    <t>wljernigan@ncdot.gov</t>
  </si>
  <si>
    <t>Brian Thomas</t>
  </si>
  <si>
    <t>bcthomas@ncdot.gov</t>
  </si>
  <si>
    <t>John Button</t>
  </si>
  <si>
    <t>jbutton@ncdot.gov</t>
  </si>
  <si>
    <t>Dawn McPherson</t>
  </si>
  <si>
    <t>dmmcpherson1@ncdot.gov</t>
  </si>
  <si>
    <t>Wright Archer, III</t>
  </si>
  <si>
    <t>warcher@ncdot.gov</t>
  </si>
  <si>
    <t>Zachary Hussey</t>
  </si>
  <si>
    <t>zhussey@ncdot.gov</t>
  </si>
  <si>
    <t>Reuben Blakley</t>
  </si>
  <si>
    <t>rblakley@ncdot.gov</t>
  </si>
  <si>
    <t>Ryan Newcomb</t>
  </si>
  <si>
    <t>rcnewcomb@ncdot.gov</t>
  </si>
  <si>
    <t>John Rhyne</t>
  </si>
  <si>
    <t>jprhyne@ncdot.gov</t>
  </si>
  <si>
    <t>Wendy Taylor</t>
  </si>
  <si>
    <t>wataylor1@ncdot.gov</t>
  </si>
  <si>
    <t>Neda Fahim</t>
  </si>
  <si>
    <t>nfahim@ncdot.gov</t>
  </si>
  <si>
    <t>Tou Lee</t>
  </si>
  <si>
    <t>tylee@ncdot.gov</t>
  </si>
  <si>
    <t>Scott Collier</t>
  </si>
  <si>
    <t>smcollier@ncdot.gov</t>
  </si>
  <si>
    <t>Felix A. Obregon</t>
  </si>
  <si>
    <t>faobregon@ncdot.gov</t>
  </si>
  <si>
    <t>Randy Steskal</t>
  </si>
  <si>
    <t>rdsteskal@ncdot.gov</t>
  </si>
  <si>
    <t>Touger Yang</t>
  </si>
  <si>
    <t>tyang4@ncdot.gov</t>
  </si>
  <si>
    <t>Chris Brown</t>
  </si>
  <si>
    <t>cjbrown2@ncdot.gov</t>
  </si>
  <si>
    <t>Michael Poe</t>
  </si>
  <si>
    <t>mlpoe@ncdot.gov</t>
  </si>
  <si>
    <t>Scott M. Poston</t>
  </si>
  <si>
    <t>smposton1@ncdot.gov</t>
  </si>
  <si>
    <t>Mark Stafford</t>
  </si>
  <si>
    <t>mstafford@ncdot.gov</t>
  </si>
  <si>
    <t>Jeremy Chapman</t>
  </si>
  <si>
    <t>jrchapman1@ncdot.gov</t>
  </si>
  <si>
    <t>Suzan Moore</t>
  </si>
  <si>
    <t>smoore48@ncdot.gov</t>
  </si>
  <si>
    <t>Randy Tritt</t>
  </si>
  <si>
    <t>rtritt@ncdot.gov</t>
  </si>
  <si>
    <t>Tim Anderson</t>
  </si>
  <si>
    <t>twanderson@ncdot.gov</t>
  </si>
  <si>
    <t>Steve Buchanan</t>
  </si>
  <si>
    <t>smbuchanan@ncdot.gov</t>
  </si>
  <si>
    <t>Wesley Grindstaff</t>
  </si>
  <si>
    <t>wtgrindstaff@ncdot.gov</t>
  </si>
  <si>
    <t>Lead Regional Field Operations Engineer (John Grant)</t>
  </si>
  <si>
    <t>Safety evaluation Engineer (Carrie Simpson)</t>
  </si>
  <si>
    <t>Traffic Safety Systems Engineer (Vacant)</t>
  </si>
  <si>
    <t xml:space="preserve"> State Traffic Safety Engineer (Brian Murphy)</t>
  </si>
  <si>
    <t>Deputy State Traffic Engineer - Safety (Shawn Troy)</t>
  </si>
  <si>
    <t>State Traffic Engineer (Jennifer Portanova)</t>
  </si>
  <si>
    <t>Last Verified Date</t>
  </si>
  <si>
    <t>Email</t>
  </si>
  <si>
    <t>Position</t>
  </si>
  <si>
    <t>Deputy State Traffic Engineer - Mobility (Jeffrey Dale)</t>
  </si>
  <si>
    <t>jwdale@ncdot.gov</t>
  </si>
  <si>
    <t>For VBA Code</t>
  </si>
  <si>
    <t>shortlocation</t>
  </si>
  <si>
    <t>File Num</t>
  </si>
  <si>
    <t>TIP</t>
  </si>
  <si>
    <t>Map/Satellite Views (with Alt text) - For Review Only</t>
  </si>
  <si>
    <t>If you are doing an unequal time period evaluation, click on the checkmark box in cell B14 and input the start date into cell D14</t>
  </si>
  <si>
    <t>The determination of the crashes in the study should be finalized/set-in-stone before clicking Final Sort.  Deleting and adjusting cells in the tab may break the formulas used in the calculations.</t>
  </si>
  <si>
    <t xml:space="preserve">NOTE: If you have to click Final Sort again then the columns L and M will be deleted. </t>
  </si>
  <si>
    <t xml:space="preserve">This data will automaticaly be sorted in the same order of the TEAAS study’s crash #s.  This allows for consistency between this workbook’s crash #s with the TEAAS study’s crash #s and the collision diagram’s crash #s.  Reviewers would find this consistency helpful.   </t>
  </si>
  <si>
    <r>
      <t xml:space="preserve">Note: If you have a study with 3 targets, you can unhide column N to reveal a </t>
    </r>
    <r>
      <rPr>
        <b/>
        <sz val="11"/>
        <color rgb="FF00B050"/>
        <rFont val="Calibri"/>
        <family val="2"/>
        <scheme val="minor"/>
      </rPr>
      <t>Target-3</t>
    </r>
    <r>
      <rPr>
        <sz val="11"/>
        <color theme="1"/>
        <rFont val="Calibri"/>
        <family val="2"/>
        <scheme val="minor"/>
      </rPr>
      <t xml:space="preserve"> Crash column.</t>
    </r>
  </si>
  <si>
    <t>The work should now be done for this Tab.  Move on to the One Pager Tab.</t>
  </si>
  <si>
    <t>If you wish to overwrite anything that is automatically filled out from a different tab in this first section, please feel free to do so. But note that the link to other sheets will be broken.</t>
  </si>
  <si>
    <t>There are 6 rows under the Additional information table that the user should feel free to use (or not use) as they see fit.  If a row is empty, you may delete the row from the word document.</t>
  </si>
  <si>
    <t>Template Path</t>
  </si>
  <si>
    <t>Make sure to include a the folder path to where the templates for the one pagers live in cell I25.</t>
  </si>
  <si>
    <t>Once you are  ready, click the appropriate button and the one pagers will be generated. Refrain from touching excel or word during this time. It will automatically save the One Pager as the OrderID_OnePager.docx</t>
  </si>
  <si>
    <t>Alt Text (Copy each row into the Alt Text for the Map)</t>
  </si>
  <si>
    <t>4. Click the button to run the FichePrep macro. This will sort the crash data by Milepost Road, Milepost, On Road, From Road, and Distance. It will also add a column to provide a link to Google Maps if the crash has lat/long coordinates and columns for IS?, Dist from Int, Location Notes, and Crash Notes. If you have entered road names in the Road Coloring section, it will color the road names according to how you set the cell color. If you've put the initial crash ID list in the "Initial Crash ID List" sheet, it will label all the IS crashes. The results of this step will be place in the "Filtered Fiche" sheet.</t>
  </si>
  <si>
    <t>Overturn</t>
  </si>
  <si>
    <t>Angle</t>
  </si>
  <si>
    <t>At Fault</t>
  </si>
  <si>
    <t>LTSR</t>
  </si>
  <si>
    <t>LTDR</t>
  </si>
  <si>
    <t>RTSR</t>
  </si>
  <si>
    <t>RTDR</t>
  </si>
  <si>
    <t>NB</t>
  </si>
  <si>
    <t>SB</t>
  </si>
  <si>
    <t>EB</t>
  </si>
  <si>
    <t>WB</t>
  </si>
  <si>
    <t>U-Turn</t>
  </si>
  <si>
    <t>HeadOn</t>
  </si>
  <si>
    <t>Time Periods (From Evaluation Set Up)</t>
  </si>
  <si>
    <r>
      <t xml:space="preserve">Click the Final Sort Button in the Filtered Fiche sheet. It will copy the Crash ID, Date, T, C, F, L, and S columns from your filtered fiche into this tab's Columns </t>
    </r>
    <r>
      <rPr>
        <b/>
        <sz val="11"/>
        <color theme="1"/>
        <rFont val="Calibri"/>
        <family val="2"/>
        <scheme val="minor"/>
      </rPr>
      <t>A -&gt; G</t>
    </r>
    <r>
      <rPr>
        <sz val="11"/>
        <color theme="1"/>
        <rFont val="Calibri"/>
        <family val="2"/>
        <scheme val="minor"/>
      </rPr>
      <t xml:space="preserve">. It will also automatically bring in columns </t>
    </r>
    <r>
      <rPr>
        <b/>
        <sz val="11"/>
        <color theme="1"/>
        <rFont val="Calibri"/>
        <family val="2"/>
        <scheme val="minor"/>
      </rPr>
      <t>X --&gt;AA.</t>
    </r>
  </si>
  <si>
    <t>Target 1 Crashes</t>
  </si>
  <si>
    <t>Target 1 Crash Severity Index</t>
  </si>
  <si>
    <t>Target 2 Crashes</t>
  </si>
  <si>
    <t>Target 2 Crash Severity Index</t>
  </si>
  <si>
    <t>Target 1 Crashes Per Year</t>
  </si>
  <si>
    <t>Target 2 Crashes Per Year</t>
  </si>
  <si>
    <t xml:space="preserve">Location </t>
  </si>
  <si>
    <t>Used in Fiche Prep Macro</t>
  </si>
  <si>
    <t>SSDD</t>
  </si>
  <si>
    <t>When creating the pdf, instead of printing as pdf, you will need to Save As a PDF.</t>
  </si>
  <si>
    <t>Frontal Impact Crashes in Intersection (Angle, LTDR, LTSR, RTDR, RTSR, Head-On)</t>
  </si>
  <si>
    <t>North</t>
  </si>
  <si>
    <t>South</t>
  </si>
  <si>
    <t>East</t>
  </si>
  <si>
    <t>Municipality</t>
  </si>
  <si>
    <t>On Road</t>
  </si>
  <si>
    <t>Miles</t>
  </si>
  <si>
    <t>Dir From</t>
  </si>
  <si>
    <t>From Road</t>
  </si>
  <si>
    <t>Toward Road</t>
  </si>
  <si>
    <t>Milepost Road</t>
  </si>
  <si>
    <t>MP</t>
  </si>
  <si>
    <t>MA</t>
  </si>
  <si>
    <t>Latitude</t>
  </si>
  <si>
    <t>Longitude</t>
  </si>
  <si>
    <t>Source</t>
  </si>
  <si>
    <t>RURAL</t>
  </si>
  <si>
    <t>SR 1735</t>
  </si>
  <si>
    <t>SR 1738</t>
  </si>
  <si>
    <t>SR 1891</t>
  </si>
  <si>
    <t>HSRC_BIKE</t>
  </si>
  <si>
    <t>SR 1737</t>
  </si>
  <si>
    <t>SR 1892</t>
  </si>
  <si>
    <t>DMV349</t>
  </si>
  <si>
    <t>E</t>
  </si>
  <si>
    <t>SR 1736</t>
  </si>
  <si>
    <t>SR 1741</t>
  </si>
  <si>
    <t>SR 1743</t>
  </si>
  <si>
    <t>N</t>
  </si>
  <si>
    <t>SR 1739</t>
  </si>
  <si>
    <t>W</t>
  </si>
  <si>
    <t>ITRE_SEVEREINJURY</t>
  </si>
  <si>
    <t>ITRE_CMV</t>
  </si>
  <si>
    <t>LEXINGTON</t>
  </si>
  <si>
    <t>CURRIE</t>
  </si>
  <si>
    <t xml:space="preserve">*LCL 39 CURRY ST </t>
  </si>
  <si>
    <t>DMV349CLEANED</t>
  </si>
  <si>
    <t xml:space="preserve">*LCL PANTHER RIDGE ROAD </t>
  </si>
  <si>
    <t>SR 1982</t>
  </si>
  <si>
    <t>PVA OLD PLANK RD</t>
  </si>
  <si>
    <t>SR 2928</t>
  </si>
  <si>
    <t>OLD PLANK</t>
  </si>
  <si>
    <t>SR 1751</t>
  </si>
  <si>
    <t>SR 1755</t>
  </si>
  <si>
    <t>CL-GUILFORD</t>
  </si>
  <si>
    <t>SR 3128</t>
  </si>
  <si>
    <t>CL-FORSYTH</t>
  </si>
  <si>
    <t>SR 1753</t>
  </si>
  <si>
    <t>SR 1378</t>
  </si>
  <si>
    <t>SR 1742</t>
  </si>
  <si>
    <t>SR 1756</t>
  </si>
  <si>
    <t>HIGH POINT</t>
  </si>
  <si>
    <t>EMBER</t>
  </si>
  <si>
    <t>HARTLEY</t>
  </si>
  <si>
    <t>SR 1003</t>
  </si>
  <si>
    <t>WESTOVER</t>
  </si>
  <si>
    <t>PANTHER RIDGE</t>
  </si>
  <si>
    <t>PVA OLD CREEK CROSSING ROA</t>
  </si>
  <si>
    <t>SR 1754</t>
  </si>
  <si>
    <t>PVA SMITH JENNINGS PARKING</t>
  </si>
  <si>
    <t>DEAD END</t>
  </si>
  <si>
    <t>SE</t>
  </si>
  <si>
    <t>SW</t>
  </si>
  <si>
    <t>NE</t>
  </si>
  <si>
    <t>SR 2582</t>
  </si>
  <si>
    <t>FORESTER</t>
  </si>
  <si>
    <t>NW</t>
  </si>
  <si>
    <t xml:space="preserve">*LCL FORAGE DR </t>
  </si>
  <si>
    <t>MAIN</t>
  </si>
  <si>
    <t>SR 1734</t>
  </si>
  <si>
    <t>SR 1993</t>
  </si>
  <si>
    <t>SR 1725</t>
  </si>
  <si>
    <t>OLD CREEK CROSSING</t>
  </si>
  <si>
    <t>SR 1941</t>
  </si>
  <si>
    <t>SR 2626</t>
  </si>
  <si>
    <t>SR 3084</t>
  </si>
  <si>
    <t>CENTER</t>
  </si>
  <si>
    <t>SR 1243</t>
  </si>
  <si>
    <t>SR 1447</t>
  </si>
  <si>
    <t>SR 1598</t>
  </si>
  <si>
    <t>LOPP</t>
  </si>
  <si>
    <t>MARTIN</t>
  </si>
  <si>
    <t>NC 109</t>
  </si>
  <si>
    <t>SR 1866</t>
  </si>
  <si>
    <t>SR 1882</t>
  </si>
  <si>
    <t>SR 2627</t>
  </si>
  <si>
    <t>IS?</t>
  </si>
  <si>
    <t>Dist From Int</t>
  </si>
  <si>
    <t>Location Notes</t>
  </si>
  <si>
    <t>IS</t>
  </si>
  <si>
    <t>NIS</t>
  </si>
  <si>
    <t>SBT</t>
  </si>
  <si>
    <t>DEL</t>
  </si>
  <si>
    <t>Wesmar Shooting Range, &gt;150'</t>
  </si>
  <si>
    <t>shows passing zone striping and pva on E side - neither w/i 150'</t>
  </si>
  <si>
    <t>SBL</t>
  </si>
  <si>
    <t>970 Horneytown</t>
  </si>
  <si>
    <t>985 Horneytown</t>
  </si>
  <si>
    <t>ADD</t>
  </si>
  <si>
    <t>Stover Way</t>
  </si>
  <si>
    <t>1242 Horneytown</t>
  </si>
  <si>
    <t>EBT</t>
  </si>
  <si>
    <t>After SBL from SR 1735, ROR-L then overcorrected and ROR-R; diagram shows crash w/i 150' and it occurred at 1697 Westover which is by intersection</t>
  </si>
  <si>
    <t>Old Creek Crossing Dr</t>
  </si>
  <si>
    <t>Old Plank Rd</t>
  </si>
  <si>
    <t>1001 Westover</t>
  </si>
  <si>
    <t>NOT IN STUDY - REPORT NOT REVIEWED</t>
  </si>
  <si>
    <t>NOT IN STUDY - REPORT REVIEWED</t>
  </si>
  <si>
    <t>DELETED FROM STUDY</t>
  </si>
  <si>
    <t>Chris Bahret, PE</t>
  </si>
  <si>
    <t>VHB</t>
  </si>
  <si>
    <t>IN STUDY</t>
  </si>
  <si>
    <t>ADDED TO STUDY</t>
  </si>
  <si>
    <t>\\vhb.com\gbl\Client\039990.004\05_Work\NCDOTProjNum\Traffic Safety\Documents\Accessible Worksheets</t>
  </si>
  <si>
    <t>Crash Type</t>
  </si>
  <si>
    <t>Vehicle 1</t>
  </si>
  <si>
    <t>Vehicle 2</t>
  </si>
  <si>
    <t>WBL</t>
  </si>
  <si>
    <t>LTDR: failed to yield</t>
  </si>
  <si>
    <t>NBT</t>
  </si>
  <si>
    <t>LTDR: failed to yield; at SR 1735 intersection</t>
  </si>
  <si>
    <t>Frontal impact crashes involving the NB approach</t>
  </si>
  <si>
    <t>Frontal impact crashes involving the SB approach</t>
  </si>
  <si>
    <t>LTDR crashes (WB turning vehicle)</t>
  </si>
  <si>
    <t>Lane departure crashes (total)</t>
  </si>
  <si>
    <t>Night crashes</t>
  </si>
  <si>
    <t>Rear end crashes (total)</t>
  </si>
  <si>
    <t>Pick</t>
  </si>
  <si>
    <t>Pick a Trends line in J and the label and counts fill in; edit K/L/M freely afterwards.</t>
  </si>
  <si>
    <t>SR 2775</t>
  </si>
  <si>
    <t>SR 2032</t>
  </si>
  <si>
    <t>SR 2734</t>
  </si>
  <si>
    <t>SR 2198</t>
  </si>
  <si>
    <t>SR 2010</t>
  </si>
  <si>
    <t>SR 2087</t>
  </si>
  <si>
    <t>SR 2178</t>
  </si>
  <si>
    <t>SR 2732</t>
  </si>
  <si>
    <t>SR 2031</t>
  </si>
  <si>
    <t>SR 2085</t>
  </si>
  <si>
    <t>NCDOT_TSU</t>
  </si>
  <si>
    <t>Lane Departures</t>
  </si>
  <si>
    <t>AT FAULT</t>
  </si>
  <si>
    <t>Custom Count</t>
  </si>
  <si>
    <t>By Dir</t>
  </si>
  <si>
    <t>FI At Fault</t>
  </si>
  <si>
    <t>Target 1 At Fault</t>
  </si>
  <si>
    <t>FTS</t>
  </si>
  <si>
    <t>Column I</t>
  </si>
  <si>
    <t>Target 1: NB At Fault</t>
  </si>
  <si>
    <t>Target 1: SB At Fault</t>
  </si>
  <si>
    <t>Target 1: EB At Fault</t>
  </si>
  <si>
    <t>Target 1: WB At Fault</t>
  </si>
  <si>
    <t>TOTAL</t>
  </si>
  <si>
    <t>Target 1: Unclear At Fault</t>
  </si>
  <si>
    <t>Pedestrian</t>
  </si>
  <si>
    <t>LT vehicle</t>
  </si>
  <si>
    <t>LD By Dir</t>
  </si>
  <si>
    <t>Target 2 At Fault</t>
  </si>
  <si>
    <t>Column J</t>
  </si>
  <si>
    <t>Target 2: NB At Fault</t>
  </si>
  <si>
    <t>Target 2: SB At Fault</t>
  </si>
  <si>
    <t>Target 2: EB At Fault</t>
  </si>
  <si>
    <t>Totals</t>
  </si>
  <si>
    <t>Target 2: WB At Fault</t>
  </si>
  <si>
    <t>Target 2: Unclear At Fault</t>
  </si>
  <si>
    <t>Target 3 At Fault</t>
  </si>
  <si>
    <t>Column K</t>
  </si>
  <si>
    <t>Night Crashes</t>
  </si>
  <si>
    <t>Target 3: NB At Fault</t>
  </si>
  <si>
    <t>Target 3: SB At Fault</t>
  </si>
  <si>
    <t>Avoidance</t>
  </si>
  <si>
    <t>Target 3: EB At Fault</t>
  </si>
  <si>
    <t>Target 3: WB At Fault</t>
  </si>
  <si>
    <t>Target 3: Unclear At Fault</t>
  </si>
  <si>
    <t>RT vehicle</t>
  </si>
  <si>
    <t>Total targets at fault</t>
  </si>
  <si>
    <t>Target Crashes: NB At Fault</t>
  </si>
  <si>
    <t>Target Crashes: SB At Fault</t>
  </si>
  <si>
    <t>Target Crashes: EB At Fault</t>
  </si>
  <si>
    <t>Target Crashes: WB At Fault</t>
  </si>
  <si>
    <t>Target Crashes: Unclear At Fault</t>
  </si>
  <si>
    <t>U vehicle</t>
  </si>
  <si>
    <t>05-20-62123 (TIP #HS-2005A)</t>
  </si>
  <si>
    <t>SR 1602 (Main Street) at SR 1207 (Spring Street)</t>
  </si>
  <si>
    <t>36.310027, -78.587328</t>
  </si>
  <si>
    <t>Oxford</t>
  </si>
  <si>
    <t>Construct a Mini-Roundabout including pedestrian upgrades</t>
  </si>
  <si>
    <t xml:space="preserve">If any patterns of pedestrian crashes emerge, they will be noted. </t>
  </si>
  <si>
    <t>West</t>
  </si>
  <si>
    <t>SR 1602 (Main Street)</t>
  </si>
  <si>
    <t>SR 1207 (Spring Street)</t>
  </si>
  <si>
    <t>Location ID</t>
  </si>
  <si>
    <t>VOLUME</t>
  </si>
  <si>
    <t>Direction</t>
  </si>
  <si>
    <t>2-WAY</t>
  </si>
  <si>
    <t>RouteID</t>
  </si>
  <si>
    <t>Located On</t>
  </si>
  <si>
    <t>SR 1207 (W Spring St)</t>
  </si>
  <si>
    <t>Approach</t>
  </si>
  <si>
    <t>WEST OF</t>
  </si>
  <si>
    <t>Crossroad</t>
  </si>
  <si>
    <t>SR 1602 (Main St)</t>
  </si>
  <si>
    <t>Route Class</t>
  </si>
  <si>
    <t>SR</t>
  </si>
  <si>
    <t>Functional Class</t>
  </si>
  <si>
    <t>Major Collector</t>
  </si>
  <si>
    <t>AADT_2002</t>
  </si>
  <si>
    <t>AADT_2003</t>
  </si>
  <si>
    <t>AADT_2004</t>
  </si>
  <si>
    <t>AADT_2005</t>
  </si>
  <si>
    <t>AADT_2006</t>
  </si>
  <si>
    <t>AADT_2007</t>
  </si>
  <si>
    <t>AADT_2008</t>
  </si>
  <si>
    <t>AADT_2009</t>
  </si>
  <si>
    <t>AADT_2010</t>
  </si>
  <si>
    <t>AADT_2011</t>
  </si>
  <si>
    <t>AADT_2012</t>
  </si>
  <si>
    <t>AADT_2013</t>
  </si>
  <si>
    <t>AADT_2014</t>
  </si>
  <si>
    <t>AADT_2015</t>
  </si>
  <si>
    <t>AADT_2016</t>
  </si>
  <si>
    <t>AADT_2017</t>
  </si>
  <si>
    <t>AADT_2018</t>
  </si>
  <si>
    <t>AADT_2019</t>
  </si>
  <si>
    <t>AADT_2020</t>
  </si>
  <si>
    <t>AADT_2021</t>
  </si>
  <si>
    <t>AADT_2022</t>
  </si>
  <si>
    <t>AADT_2023</t>
  </si>
  <si>
    <t>AADT_2024</t>
  </si>
  <si>
    <t>AADT_2025</t>
  </si>
  <si>
    <t>E Spring St</t>
  </si>
  <si>
    <t>EAST OF</t>
  </si>
  <si>
    <t>NS</t>
  </si>
  <si>
    <t>Local</t>
  </si>
  <si>
    <t>SOUTH OF</t>
  </si>
  <si>
    <t>US 158 BUS</t>
  </si>
  <si>
    <t>SR 1207 W Spring St</t>
  </si>
  <si>
    <t>Google Earth aerials shows project completed between March 2021 and March 2022, Google Street View shows project implemented as of November 2022, NearMap shows project implemented as of February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</si>
</sst>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4" formatCode="_(&quot;$&quot;* #,##0.00_);_(&quot;$&quot;* \(#,##0.00\);_(&quot;$&quot;* &quot;-&quot;??_);_(@_)"/>
    <numFmt numFmtId="43" formatCode="_(* #,##0.00_);_(* \(#,##0.00\);_(* &quot;-&quot;??_);_(@_)"/>
    <numFmt numFmtId="164" formatCode="m/d/yyyy;@"/>
    <numFmt numFmtId="165" formatCode="&quot;$&quot;#,##0"/>
    <numFmt numFmtId="166" formatCode="&quot;$&quot;#,##0.00"/>
    <numFmt numFmtId="167" formatCode="_(&quot;$&quot;* #,##0_);_(&quot;$&quot;* \(#,##0\);_(&quot;$&quot;* &quot;-&quot;??_);_(@_)"/>
  </numFmts>
  <fonts count="7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rgb="FFFF0000"/>
      <name val="Calibri"/>
      <family val="2"/>
      <scheme val="minor"/>
    </font>
    <font>
      <i/>
      <sz val="11"/>
      <color theme="1"/>
      <name val="Calibri"/>
      <family val="2"/>
      <scheme val="minor"/>
    </font>
    <font>
      <b/>
      <i/>
      <u/>
      <sz val="11"/>
      <color theme="1"/>
      <name val="Calibri"/>
      <family val="2"/>
      <scheme val="minor"/>
    </font>
    <font>
      <sz val="8"/>
      <color theme="1"/>
      <name val="Calibri"/>
      <family val="2"/>
    </font>
    <font>
      <b/>
      <sz val="11"/>
      <name val="Calibri"/>
      <family val="2"/>
      <scheme val="minor"/>
    </font>
    <font>
      <sz val="24"/>
      <color theme="1"/>
      <name val="Calibri"/>
      <family val="2"/>
      <scheme val="minor"/>
    </font>
    <font>
      <b/>
      <sz val="11"/>
      <color rgb="FF0070C0"/>
      <name val="Calibri"/>
      <family val="2"/>
      <scheme val="minor"/>
    </font>
    <font>
      <b/>
      <sz val="11"/>
      <color theme="4"/>
      <name val="Calibri"/>
      <family val="2"/>
      <scheme val="minor"/>
    </font>
    <font>
      <b/>
      <sz val="14"/>
      <color theme="1"/>
      <name val="Calibri"/>
      <family val="2"/>
      <scheme val="minor"/>
    </font>
    <font>
      <sz val="18"/>
      <color theme="1"/>
      <name val="Calibri"/>
      <family val="2"/>
      <scheme val="minor"/>
    </font>
    <font>
      <b/>
      <sz val="20"/>
      <color theme="1"/>
      <name val="Calibri"/>
      <family val="2"/>
      <scheme val="minor"/>
    </font>
    <font>
      <b/>
      <sz val="12"/>
      <color theme="1"/>
      <name val="Times New Roman"/>
      <family val="1"/>
    </font>
    <font>
      <sz val="11"/>
      <color theme="1"/>
      <name val="Times New Roman"/>
      <family val="1"/>
    </font>
    <font>
      <sz val="11"/>
      <color rgb="FF000000"/>
      <name val="Times New Roman"/>
      <family val="1"/>
    </font>
    <font>
      <sz val="11"/>
      <name val="Times New Roman"/>
      <family val="1"/>
    </font>
    <font>
      <b/>
      <u/>
      <sz val="11"/>
      <color rgb="FF000000"/>
      <name val="Times New Roman"/>
      <family val="1"/>
    </font>
    <font>
      <b/>
      <sz val="11"/>
      <color rgb="FF000000"/>
      <name val="Times New Roman"/>
      <family val="1"/>
    </font>
    <font>
      <sz val="14"/>
      <color theme="1"/>
      <name val="Calibri"/>
      <family val="2"/>
      <scheme val="minor"/>
    </font>
    <font>
      <b/>
      <sz val="14"/>
      <color rgb="FFFF0000"/>
      <name val="Calibri"/>
      <family val="2"/>
      <scheme val="minor"/>
    </font>
    <font>
      <b/>
      <sz val="14"/>
      <color rgb="FF0070C0"/>
      <name val="Calibri"/>
      <family val="2"/>
      <scheme val="minor"/>
    </font>
    <font>
      <sz val="16"/>
      <color theme="1"/>
      <name val="Calibri"/>
      <family val="2"/>
      <scheme val="minor"/>
    </font>
    <font>
      <b/>
      <u/>
      <sz val="16"/>
      <color rgb="FFFF0000"/>
      <name val="Calibri"/>
      <family val="2"/>
      <scheme val="minor"/>
    </font>
    <font>
      <b/>
      <sz val="11"/>
      <color rgb="FF0000FF"/>
      <name val="Aptos Narrow"/>
      <family val="2"/>
    </font>
    <font>
      <b/>
      <sz val="18"/>
      <color theme="1"/>
      <name val="Calibri"/>
      <family val="2"/>
      <scheme val="minor"/>
    </font>
    <font>
      <b/>
      <sz val="12"/>
      <color theme="9" tint="-0.249977111117893"/>
      <name val="Calibri"/>
      <family val="2"/>
      <scheme val="minor"/>
    </font>
    <font>
      <sz val="8"/>
      <name val="Calibri"/>
      <family val="2"/>
      <scheme val="minor"/>
    </font>
    <font>
      <b/>
      <sz val="24"/>
      <color theme="1"/>
      <name val="Calibri"/>
      <family val="2"/>
      <scheme val="minor"/>
    </font>
    <font>
      <sz val="11"/>
      <color rgb="FF000000"/>
      <name val="Calibri"/>
      <family val="2"/>
      <scheme val="minor"/>
    </font>
    <font>
      <b/>
      <sz val="11"/>
      <color rgb="FF00B050"/>
      <name val="Calibri"/>
      <family val="2"/>
      <scheme val="minor"/>
    </font>
    <font>
      <sz val="10"/>
      <color theme="1"/>
      <name val="Calibri"/>
      <family val="2"/>
      <scheme val="minor"/>
    </font>
    <font>
      <sz val="8"/>
      <color theme="1"/>
      <name val="Calibri"/>
      <family val="2"/>
      <scheme val="minor"/>
    </font>
    <font>
      <b/>
      <sz val="11"/>
      <color rgb="FF0070C0"/>
      <name val="Times New Roman"/>
      <family val="1"/>
    </font>
    <font>
      <sz val="12"/>
      <color rgb="FF000000"/>
      <name val="Times New Roman"/>
      <family val="1"/>
    </font>
    <font>
      <sz val="11"/>
      <color rgb="FF000000"/>
      <name val="Calibri"/>
      <family val="2"/>
    </font>
    <font>
      <b/>
      <u/>
      <sz val="11"/>
      <color theme="1"/>
      <name val="Calibri"/>
      <family val="2"/>
      <scheme val="minor"/>
    </font>
    <font>
      <u/>
      <sz val="11"/>
      <color theme="10"/>
      <name val="Calibri"/>
      <family val="2"/>
      <scheme val="minor"/>
    </font>
    <font>
      <sz val="11"/>
      <color theme="1"/>
      <name val="Calibri"/>
      <family val="2"/>
    </font>
    <font>
      <sz val="11"/>
      <color theme="1"/>
      <name val="Calibri"/>
      <family val="2"/>
      <charset val="1"/>
    </font>
    <font>
      <b/>
      <sz val="8"/>
      <color theme="9" tint="-0.249977111117893"/>
      <name val="Arial"/>
      <family val="2"/>
    </font>
    <font>
      <b/>
      <sz val="8"/>
      <name val="Arial"/>
      <family val="2"/>
    </font>
    <font>
      <b/>
      <sz val="8"/>
      <color indexed="8"/>
      <name val="Arial"/>
      <family val="2"/>
    </font>
    <font>
      <sz val="8"/>
      <name val="Arial"/>
      <family val="2"/>
    </font>
    <font>
      <sz val="8"/>
      <color theme="9" tint="-0.249977111117893"/>
      <name val="Arial"/>
      <family val="2"/>
    </font>
    <font>
      <b/>
      <i/>
      <sz val="8"/>
      <name val="Arial"/>
      <family val="2"/>
    </font>
    <font>
      <sz val="8"/>
      <color indexed="8"/>
      <name val="Arial"/>
      <family val="2"/>
    </font>
    <font>
      <sz val="8"/>
      <color theme="1"/>
      <name val="Arial"/>
      <family val="2"/>
    </font>
    <font>
      <b/>
      <sz val="10"/>
      <color theme="1"/>
      <name val="Calibri"/>
      <family val="2"/>
      <scheme val="minor"/>
    </font>
    <font>
      <sz val="10"/>
      <name val="Calibri"/>
      <family val="2"/>
      <scheme val="minor"/>
    </font>
    <font>
      <b/>
      <u/>
      <sz val="11"/>
      <color theme="1"/>
      <name val="Times New Roman"/>
      <family val="1"/>
    </font>
    <font>
      <b/>
      <sz val="11"/>
      <color theme="1"/>
      <name val="Times New Roman"/>
      <family val="1"/>
    </font>
    <font>
      <sz val="20"/>
      <color rgb="FF000000"/>
      <name val="Cambri"/>
    </font>
    <font>
      <b/>
      <sz val="11"/>
      <color rgb="FF7030A0"/>
      <name val="Calibri"/>
      <family val="2"/>
      <scheme val="minor"/>
    </font>
  </fonts>
  <fills count="5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1"/>
        <bgColor indexed="64"/>
      </patternFill>
    </fill>
    <fill>
      <patternFill patternType="lightGray">
        <bgColor rgb="FFCCCCCC"/>
      </patternFill>
    </fill>
    <fill>
      <patternFill patternType="solid">
        <fgColor theme="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0000"/>
        <bgColor indexed="64"/>
      </patternFill>
    </fill>
    <fill>
      <patternFill patternType="lightGray">
        <bgColor theme="0" tint="-0.249977111117893"/>
      </patternFill>
    </fill>
    <fill>
      <patternFill patternType="solid">
        <fgColor theme="8" tint="0.59999389629810485"/>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BDD7EE"/>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s>
  <borders count="9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double">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right style="dotted">
        <color theme="1" tint="0.499984740745262"/>
      </right>
      <top style="dotted">
        <color theme="0" tint="-4.9989318521683403E-2"/>
      </top>
      <bottom style="dotted">
        <color theme="0" tint="-4.9989318521683403E-2"/>
      </bottom>
      <diagonal/>
    </border>
    <border>
      <left style="dotted">
        <color theme="1" tint="0.499984740745262"/>
      </left>
      <right style="dotted">
        <color theme="1" tint="0.499984740745262"/>
      </right>
      <top style="dotted">
        <color theme="0" tint="-4.9989318521683403E-2"/>
      </top>
      <bottom style="dotted">
        <color theme="0" tint="-4.9989318521683403E-2"/>
      </bottom>
      <diagonal/>
    </border>
    <border>
      <left style="dotted">
        <color theme="1" tint="0.499984740745262"/>
      </left>
      <right/>
      <top style="dotted">
        <color theme="0" tint="-4.9989318521683403E-2"/>
      </top>
      <bottom style="dotted">
        <color theme="0" tint="-4.9989318521683403E-2"/>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2" fillId="0" borderId="0"/>
    <xf numFmtId="0" fontId="54" fillId="0" borderId="0" applyNumberFormat="0" applyFill="0" applyBorder="0" applyAlignment="0" applyProtection="0"/>
    <xf numFmtId="0" fontId="55" fillId="0" borderId="0"/>
    <xf numFmtId="0" fontId="56" fillId="0" borderId="0"/>
  </cellStyleXfs>
  <cellXfs count="847">
    <xf numFmtId="0" fontId="0" fillId="0" borderId="0" xfId="0"/>
    <xf numFmtId="0" fontId="0" fillId="0" borderId="0" xfId="0" applyAlignment="1">
      <alignment horizontal="center"/>
    </xf>
    <xf numFmtId="14" fontId="0" fillId="0" borderId="0" xfId="0" applyNumberFormat="1"/>
    <xf numFmtId="0" fontId="0" fillId="36" borderId="18" xfId="0" applyFill="1" applyBorder="1"/>
    <xf numFmtId="0" fontId="0" fillId="36" borderId="19" xfId="0" applyFill="1" applyBorder="1"/>
    <xf numFmtId="0" fontId="16" fillId="0" borderId="0" xfId="0" applyFont="1"/>
    <xf numFmtId="0" fontId="22" fillId="36" borderId="18" xfId="0" applyFont="1" applyFill="1" applyBorder="1" applyAlignment="1">
      <alignment horizontal="right" vertical="center"/>
    </xf>
    <xf numFmtId="0" fontId="0" fillId="36" borderId="20" xfId="0" applyFill="1" applyBorder="1"/>
    <xf numFmtId="0" fontId="0" fillId="36" borderId="21" xfId="0" applyFill="1" applyBorder="1"/>
    <xf numFmtId="0" fontId="0" fillId="36" borderId="22" xfId="0" applyFill="1" applyBorder="1"/>
    <xf numFmtId="0" fontId="0" fillId="0" borderId="21" xfId="0" applyBorder="1" applyAlignment="1">
      <alignment horizontal="center"/>
    </xf>
    <xf numFmtId="0" fontId="27" fillId="36" borderId="18" xfId="0" applyFont="1" applyFill="1" applyBorder="1"/>
    <xf numFmtId="0" fontId="0" fillId="36" borderId="0" xfId="0" applyFill="1" applyAlignment="1">
      <alignment horizontal="left" vertical="center" wrapText="1"/>
    </xf>
    <xf numFmtId="0" fontId="0" fillId="0" borderId="37" xfId="0" applyBorder="1" applyAlignment="1">
      <alignment horizontal="left" vertical="center" wrapText="1"/>
    </xf>
    <xf numFmtId="0" fontId="0" fillId="0" borderId="28" xfId="0" applyBorder="1" applyAlignment="1">
      <alignment horizontal="left"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0" xfId="0" applyBorder="1" applyAlignment="1">
      <alignment horizontal="left" vertical="center" wrapText="1"/>
    </xf>
    <xf numFmtId="0" fontId="0" fillId="0" borderId="32" xfId="0" applyBorder="1" applyAlignment="1">
      <alignment horizontal="left" vertical="center" wrapText="1"/>
    </xf>
    <xf numFmtId="0" fontId="0" fillId="0" borderId="26"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34" xfId="0" applyBorder="1" applyAlignment="1">
      <alignment horizontal="left" vertical="center" wrapText="1"/>
    </xf>
    <xf numFmtId="0" fontId="16" fillId="0" borderId="46" xfId="0" applyFont="1" applyBorder="1" applyAlignment="1">
      <alignment horizontal="center" vertical="center" wrapText="1"/>
    </xf>
    <xf numFmtId="0" fontId="16" fillId="0" borderId="63" xfId="0" applyFont="1" applyBorder="1" applyAlignment="1">
      <alignment horizontal="center" vertical="center" wrapText="1"/>
    </xf>
    <xf numFmtId="0" fontId="16" fillId="0" borderId="61"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41" xfId="0" applyFont="1" applyBorder="1" applyAlignment="1">
      <alignment horizontal="center" vertical="center" wrapText="1"/>
    </xf>
    <xf numFmtId="0" fontId="27" fillId="36" borderId="0" xfId="0" applyFont="1" applyFill="1" applyAlignment="1">
      <alignment horizontal="left" vertical="center" wrapText="1"/>
    </xf>
    <xf numFmtId="0" fontId="16" fillId="36" borderId="0" xfId="0" applyFont="1" applyFill="1" applyAlignment="1">
      <alignment horizontal="left" vertical="center" wrapText="1"/>
    </xf>
    <xf numFmtId="0" fontId="16" fillId="36" borderId="0" xfId="0" applyFont="1" applyFill="1" applyAlignment="1">
      <alignment horizontal="center" vertical="center" wrapText="1"/>
    </xf>
    <xf numFmtId="0" fontId="0" fillId="36" borderId="0" xfId="0" applyFill="1" applyAlignment="1">
      <alignment horizontal="left" vertical="center"/>
    </xf>
    <xf numFmtId="0" fontId="0" fillId="0" borderId="0" xfId="0" quotePrefix="1"/>
    <xf numFmtId="0" fontId="0" fillId="0" borderId="10" xfId="0" applyBorder="1" applyAlignment="1">
      <alignment horizontal="center"/>
    </xf>
    <xf numFmtId="0" fontId="16" fillId="38" borderId="36" xfId="0" applyFont="1" applyFill="1" applyBorder="1" applyAlignment="1">
      <alignment horizontal="left" vertical="center" wrapText="1"/>
    </xf>
    <xf numFmtId="0" fontId="16" fillId="38" borderId="32" xfId="0" applyFont="1" applyFill="1" applyBorder="1" applyAlignment="1">
      <alignment horizontal="left" vertical="center" wrapText="1"/>
    </xf>
    <xf numFmtId="0" fontId="16" fillId="38" borderId="34" xfId="0" applyFont="1" applyFill="1" applyBorder="1" applyAlignment="1">
      <alignment horizontal="left" vertical="center" wrapText="1"/>
    </xf>
    <xf numFmtId="0" fontId="27" fillId="38" borderId="31" xfId="0" applyFont="1" applyFill="1" applyBorder="1" applyAlignment="1">
      <alignment horizontal="left" vertical="center"/>
    </xf>
    <xf numFmtId="0" fontId="36" fillId="38" borderId="11" xfId="0" applyFont="1" applyFill="1" applyBorder="1" applyAlignment="1">
      <alignment horizontal="center" vertical="center"/>
    </xf>
    <xf numFmtId="0" fontId="36" fillId="38" borderId="16" xfId="0" applyFont="1" applyFill="1" applyBorder="1" applyAlignment="1">
      <alignment horizontal="center" vertical="center"/>
    </xf>
    <xf numFmtId="0" fontId="37" fillId="38" borderId="37" xfId="0" applyFont="1" applyFill="1" applyBorder="1" applyAlignment="1">
      <alignment horizontal="left" vertical="center"/>
    </xf>
    <xf numFmtId="0" fontId="38" fillId="38" borderId="28" xfId="0" applyFont="1" applyFill="1" applyBorder="1" applyAlignment="1">
      <alignment horizontal="left" vertical="center"/>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16" fillId="0" borderId="10" xfId="0" applyFon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18" xfId="0" applyBorder="1" applyAlignment="1">
      <alignment horizontal="center"/>
    </xf>
    <xf numFmtId="0" fontId="0" fillId="0" borderId="10" xfId="0" applyBorder="1" applyAlignment="1">
      <alignment horizontal="center" vertical="center" wrapText="1"/>
    </xf>
    <xf numFmtId="0" fontId="0" fillId="0" borderId="10" xfId="0" applyBorder="1" applyAlignment="1">
      <alignment horizontal="left"/>
    </xf>
    <xf numFmtId="0" fontId="16" fillId="0" borderId="26" xfId="0" applyFont="1" applyBorder="1" applyAlignment="1">
      <alignment horizontal="center" vertical="center" wrapText="1"/>
    </xf>
    <xf numFmtId="0" fontId="0" fillId="0" borderId="41" xfId="0"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34" xfId="0" applyBorder="1" applyAlignment="1">
      <alignment horizontal="center"/>
    </xf>
    <xf numFmtId="1" fontId="0" fillId="0" borderId="20" xfId="0" applyNumberFormat="1" applyBorder="1" applyAlignment="1">
      <alignment horizontal="center" vertical="center"/>
    </xf>
    <xf numFmtId="1" fontId="0" fillId="0" borderId="21" xfId="0" applyNumberFormat="1" applyBorder="1" applyAlignment="1">
      <alignment horizontal="center" vertical="center"/>
    </xf>
    <xf numFmtId="1" fontId="0" fillId="0" borderId="22" xfId="0" applyNumberFormat="1" applyBorder="1" applyAlignment="1">
      <alignment horizontal="center" vertical="center"/>
    </xf>
    <xf numFmtId="0" fontId="0" fillId="0" borderId="15" xfId="0"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22" xfId="0" applyBorder="1" applyAlignment="1">
      <alignment horizontal="center"/>
    </xf>
    <xf numFmtId="0" fontId="39" fillId="38" borderId="0" xfId="0" applyFont="1" applyFill="1"/>
    <xf numFmtId="0" fontId="39" fillId="38" borderId="0" xfId="0" applyFont="1" applyFill="1" applyAlignment="1">
      <alignment horizontal="center"/>
    </xf>
    <xf numFmtId="0" fontId="0" fillId="0" borderId="0" xfId="0" applyAlignment="1">
      <alignment vertical="center" wrapText="1"/>
    </xf>
    <xf numFmtId="0" fontId="0" fillId="0" borderId="29" xfId="0" applyBorder="1" applyAlignment="1">
      <alignment horizontal="center" vertical="center"/>
    </xf>
    <xf numFmtId="0" fontId="0" fillId="0" borderId="36" xfId="0" applyBorder="1" applyAlignment="1">
      <alignment horizontal="center"/>
    </xf>
    <xf numFmtId="0" fontId="0" fillId="0" borderId="32"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2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3" fontId="0" fillId="0" borderId="37" xfId="0" applyNumberFormat="1" applyBorder="1" applyAlignment="1">
      <alignment horizontal="center"/>
    </xf>
    <xf numFmtId="3" fontId="0" fillId="0" borderId="28" xfId="0" applyNumberFormat="1" applyBorder="1" applyAlignment="1">
      <alignment horizontal="center"/>
    </xf>
    <xf numFmtId="3" fontId="0" fillId="0" borderId="39" xfId="0" applyNumberFormat="1" applyBorder="1" applyAlignment="1">
      <alignment horizontal="center"/>
    </xf>
    <xf numFmtId="3" fontId="0" fillId="0" borderId="40" xfId="0" applyNumberFormat="1" applyBorder="1" applyAlignment="1">
      <alignment horizontal="center"/>
    </xf>
    <xf numFmtId="3" fontId="0" fillId="0" borderId="41" xfId="0" applyNumberFormat="1" applyBorder="1" applyAlignment="1">
      <alignment horizontal="center"/>
    </xf>
    <xf numFmtId="3" fontId="0" fillId="0" borderId="42" xfId="0" applyNumberFormat="1" applyBorder="1" applyAlignment="1">
      <alignment horizontal="center"/>
    </xf>
    <xf numFmtId="0" fontId="16" fillId="0" borderId="0" xfId="0" applyFont="1" applyAlignment="1">
      <alignment horizontal="center" vertical="center" wrapText="1"/>
    </xf>
    <xf numFmtId="0" fontId="16" fillId="0" borderId="0" xfId="0" applyFont="1" applyAlignment="1">
      <alignment vertical="center"/>
    </xf>
    <xf numFmtId="0" fontId="42" fillId="0" borderId="0" xfId="0" applyFont="1"/>
    <xf numFmtId="0" fontId="20" fillId="0" borderId="0" xfId="0" applyFont="1"/>
    <xf numFmtId="0" fontId="43" fillId="0" borderId="0" xfId="0" applyFont="1"/>
    <xf numFmtId="0" fontId="27" fillId="0" borderId="26" xfId="0" applyFont="1" applyBorder="1" applyAlignment="1">
      <alignment horizontal="left" vertical="center"/>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pplyProtection="1">
      <alignment wrapText="1"/>
      <protection locked="0"/>
    </xf>
    <xf numFmtId="0" fontId="0" fillId="0" borderId="0" xfId="0" applyProtection="1">
      <protection locked="0"/>
    </xf>
    <xf numFmtId="0" fontId="20" fillId="0" borderId="21" xfId="0" applyFont="1" applyBorder="1" applyAlignment="1">
      <alignment wrapText="1"/>
    </xf>
    <xf numFmtId="10" fontId="32" fillId="0" borderId="0" xfId="0" applyNumberFormat="1" applyFont="1" applyAlignment="1">
      <alignment horizontal="center" vertical="center"/>
    </xf>
    <xf numFmtId="10" fontId="32" fillId="36" borderId="40" xfId="0" applyNumberFormat="1" applyFont="1" applyFill="1" applyBorder="1" applyAlignment="1">
      <alignment horizontal="center" vertical="center"/>
    </xf>
    <xf numFmtId="10" fontId="32" fillId="36" borderId="42" xfId="0" applyNumberFormat="1" applyFont="1" applyFill="1" applyBorder="1" applyAlignment="1">
      <alignment horizontal="center" vertical="center"/>
    </xf>
    <xf numFmtId="0" fontId="16" fillId="0" borderId="0" xfId="0" applyFont="1" applyAlignment="1">
      <alignment horizontal="center" wrapText="1"/>
    </xf>
    <xf numFmtId="0" fontId="27" fillId="0" borderId="0" xfId="0" applyFont="1"/>
    <xf numFmtId="0" fontId="16" fillId="0" borderId="10" xfId="0" applyFont="1" applyBorder="1" applyAlignment="1">
      <alignment horizontal="center"/>
    </xf>
    <xf numFmtId="0" fontId="16" fillId="49" borderId="48" xfId="0" applyFont="1" applyFill="1" applyBorder="1"/>
    <xf numFmtId="0" fontId="0" fillId="49" borderId="91" xfId="0" applyFill="1" applyBorder="1"/>
    <xf numFmtId="10" fontId="32" fillId="49" borderId="49" xfId="0" applyNumberFormat="1" applyFont="1" applyFill="1" applyBorder="1" applyAlignment="1">
      <alignment horizontal="center" vertical="center"/>
    </xf>
    <xf numFmtId="0" fontId="0" fillId="0" borderId="38" xfId="0" applyBorder="1"/>
    <xf numFmtId="10" fontId="32" fillId="36" borderId="28" xfId="0" applyNumberFormat="1" applyFont="1" applyFill="1" applyBorder="1" applyAlignment="1">
      <alignment horizontal="center" vertical="center"/>
    </xf>
    <xf numFmtId="0" fontId="16" fillId="49" borderId="37" xfId="0" applyFont="1" applyFill="1" applyBorder="1"/>
    <xf numFmtId="0" fontId="24" fillId="36" borderId="18" xfId="0" applyFont="1" applyFill="1" applyBorder="1" applyAlignment="1" applyProtection="1">
      <alignment horizontal="center"/>
      <protection locked="0"/>
    </xf>
    <xf numFmtId="0" fontId="24" fillId="36" borderId="0" xfId="0" applyFont="1" applyFill="1" applyAlignment="1" applyProtection="1">
      <alignment horizontal="center"/>
      <protection locked="0"/>
    </xf>
    <xf numFmtId="0" fontId="0" fillId="36" borderId="0" xfId="0" applyFill="1" applyProtection="1">
      <protection locked="0"/>
    </xf>
    <xf numFmtId="0" fontId="0" fillId="36" borderId="19" xfId="0" applyFill="1" applyBorder="1" applyProtection="1">
      <protection locked="0"/>
    </xf>
    <xf numFmtId="0" fontId="0" fillId="36" borderId="18" xfId="0" applyFill="1" applyBorder="1" applyProtection="1">
      <protection locked="0"/>
    </xf>
    <xf numFmtId="0" fontId="0" fillId="36" borderId="0" xfId="0" applyFill="1" applyAlignment="1" applyProtection="1">
      <alignment horizontal="center"/>
      <protection locked="0"/>
    </xf>
    <xf numFmtId="0" fontId="16" fillId="36" borderId="0" xfId="0" applyFont="1" applyFill="1" applyAlignment="1" applyProtection="1">
      <alignment horizontal="center"/>
      <protection locked="0"/>
    </xf>
    <xf numFmtId="0" fontId="16" fillId="36" borderId="29" xfId="0" applyFont="1" applyFill="1" applyBorder="1" applyAlignment="1" applyProtection="1">
      <alignment horizontal="center" vertical="center" wrapText="1"/>
      <protection locked="0"/>
    </xf>
    <xf numFmtId="0" fontId="16" fillId="36" borderId="25" xfId="0" applyFont="1" applyFill="1" applyBorder="1" applyAlignment="1" applyProtection="1">
      <alignment horizontal="center" vertical="center" wrapText="1"/>
      <protection locked="0"/>
    </xf>
    <xf numFmtId="0" fontId="16" fillId="0" borderId="29" xfId="0" applyFont="1" applyBorder="1" applyProtection="1">
      <protection locked="0"/>
    </xf>
    <xf numFmtId="0" fontId="0" fillId="0" borderId="36" xfId="0" applyBorder="1" applyAlignment="1" applyProtection="1">
      <alignment vertical="top"/>
      <protection locked="0"/>
    </xf>
    <xf numFmtId="0" fontId="0" fillId="33" borderId="46" xfId="0" applyFill="1" applyBorder="1" applyAlignment="1" applyProtection="1">
      <alignment horizontal="left" vertical="center"/>
      <protection locked="0"/>
    </xf>
    <xf numFmtId="0" fontId="0" fillId="44" borderId="28" xfId="0" applyFill="1" applyBorder="1" applyAlignment="1" applyProtection="1">
      <alignment horizontal="left" vertical="center"/>
      <protection locked="0"/>
    </xf>
    <xf numFmtId="0" fontId="0" fillId="36" borderId="76" xfId="0" applyFill="1" applyBorder="1" applyAlignment="1" applyProtection="1">
      <alignment vertical="center"/>
      <protection locked="0"/>
    </xf>
    <xf numFmtId="0" fontId="16" fillId="0" borderId="36" xfId="0" applyFont="1" applyBorder="1" applyProtection="1">
      <protection locked="0"/>
    </xf>
    <xf numFmtId="0" fontId="0" fillId="44" borderId="76" xfId="0" applyFill="1" applyBorder="1" applyProtection="1">
      <protection locked="0"/>
    </xf>
    <xf numFmtId="0" fontId="0" fillId="0" borderId="32" xfId="0" applyBorder="1" applyAlignment="1" applyProtection="1">
      <alignment vertical="top"/>
      <protection locked="0"/>
    </xf>
    <xf numFmtId="0" fontId="0" fillId="33" borderId="63" xfId="0" applyFill="1" applyBorder="1" applyAlignment="1" applyProtection="1">
      <alignment horizontal="left" vertical="center"/>
      <protection locked="0"/>
    </xf>
    <xf numFmtId="0" fontId="0" fillId="44" borderId="40" xfId="0" applyFill="1" applyBorder="1" applyAlignment="1" applyProtection="1">
      <alignment horizontal="left" vertical="center"/>
      <protection locked="0"/>
    </xf>
    <xf numFmtId="0" fontId="0" fillId="36" borderId="32" xfId="0" applyFill="1" applyBorder="1" applyAlignment="1" applyProtection="1">
      <alignment vertical="center"/>
      <protection locked="0"/>
    </xf>
    <xf numFmtId="14" fontId="0" fillId="33" borderId="33" xfId="0" applyNumberFormat="1" applyFill="1" applyBorder="1" applyAlignment="1" applyProtection="1">
      <alignment horizontal="center" vertical="center"/>
      <protection locked="0"/>
    </xf>
    <xf numFmtId="0" fontId="16" fillId="0" borderId="34" xfId="0" applyFont="1" applyBorder="1" applyProtection="1">
      <protection locked="0"/>
    </xf>
    <xf numFmtId="0" fontId="0" fillId="44" borderId="34" xfId="0" applyFill="1" applyBorder="1" applyProtection="1">
      <protection locked="0"/>
    </xf>
    <xf numFmtId="0" fontId="46" fillId="35" borderId="32" xfId="0" applyFont="1" applyFill="1" applyBorder="1" applyAlignment="1" applyProtection="1">
      <alignment vertical="center"/>
      <protection locked="0"/>
    </xf>
    <xf numFmtId="0" fontId="46" fillId="35" borderId="33" xfId="0" applyFont="1" applyFill="1" applyBorder="1" applyAlignment="1" applyProtection="1">
      <alignment horizontal="center" vertical="center"/>
      <protection locked="0"/>
    </xf>
    <xf numFmtId="0" fontId="0" fillId="0" borderId="32" xfId="0" applyBorder="1" applyProtection="1">
      <protection locked="0"/>
    </xf>
    <xf numFmtId="1" fontId="0" fillId="33" borderId="33" xfId="0" applyNumberFormat="1" applyFill="1" applyBorder="1" applyAlignment="1" applyProtection="1">
      <alignment horizontal="center"/>
      <protection locked="0"/>
    </xf>
    <xf numFmtId="0" fontId="53" fillId="36" borderId="0" xfId="0" applyFont="1" applyFill="1" applyAlignment="1" applyProtection="1">
      <alignment vertical="top"/>
      <protection locked="0"/>
    </xf>
    <xf numFmtId="0" fontId="48" fillId="36" borderId="0" xfId="0" applyFont="1" applyFill="1" applyAlignment="1" applyProtection="1">
      <alignment vertical="top"/>
      <protection locked="0"/>
    </xf>
    <xf numFmtId="0" fontId="46" fillId="36" borderId="32" xfId="0" applyFont="1" applyFill="1" applyBorder="1" applyAlignment="1" applyProtection="1">
      <alignment vertical="center"/>
      <protection locked="0"/>
    </xf>
    <xf numFmtId="0" fontId="16" fillId="36" borderId="12" xfId="0" applyFont="1" applyFill="1" applyBorder="1" applyAlignment="1" applyProtection="1">
      <alignment vertical="top"/>
      <protection locked="0"/>
    </xf>
    <xf numFmtId="0" fontId="16" fillId="36" borderId="13" xfId="0" applyFont="1" applyFill="1" applyBorder="1" applyAlignment="1" applyProtection="1">
      <alignment vertical="top"/>
      <protection locked="0"/>
    </xf>
    <xf numFmtId="0" fontId="16" fillId="36" borderId="13" xfId="0" applyFont="1" applyFill="1" applyBorder="1" applyProtection="1">
      <protection locked="0"/>
    </xf>
    <xf numFmtId="0" fontId="16" fillId="36" borderId="14" xfId="0" applyFont="1" applyFill="1" applyBorder="1" applyProtection="1">
      <protection locked="0"/>
    </xf>
    <xf numFmtId="0" fontId="16" fillId="36" borderId="25" xfId="0" applyFont="1" applyFill="1" applyBorder="1" applyProtection="1">
      <protection locked="0"/>
    </xf>
    <xf numFmtId="0" fontId="0" fillId="44" borderId="44" xfId="0" applyFill="1" applyBorder="1" applyProtection="1">
      <protection locked="0"/>
    </xf>
    <xf numFmtId="0" fontId="0" fillId="44" borderId="27" xfId="0" applyFill="1" applyBorder="1" applyProtection="1">
      <protection locked="0"/>
    </xf>
    <xf numFmtId="0" fontId="0" fillId="44" borderId="74" xfId="0" applyFill="1" applyBorder="1" applyProtection="1">
      <protection locked="0"/>
      <extLst>
        <ext xmlns:xfpb="http://schemas.microsoft.com/office/spreadsheetml/2022/featurepropertybag" uri="{C7286773-470A-42A8-94C5-96B5CB345126}">
          <xfpb:xfComplement i="0"/>
        </ext>
      </extLst>
    </xf>
    <xf numFmtId="0" fontId="0" fillId="44" borderId="39" xfId="0" applyFill="1" applyBorder="1" applyProtection="1">
      <protection locked="0"/>
    </xf>
    <xf numFmtId="0" fontId="0" fillId="44" borderId="10" xfId="0" applyFill="1" applyBorder="1" applyProtection="1">
      <protection locked="0"/>
    </xf>
    <xf numFmtId="0" fontId="0" fillId="44" borderId="40" xfId="0" applyFill="1" applyBorder="1" applyProtection="1">
      <protection locked="0"/>
      <extLst>
        <ext xmlns:xfpb="http://schemas.microsoft.com/office/spreadsheetml/2022/featurepropertybag" uri="{C7286773-470A-42A8-94C5-96B5CB345126}">
          <xfpb:xfComplement i="0"/>
        </ext>
      </extLst>
    </xf>
    <xf numFmtId="0" fontId="0" fillId="33" borderId="63" xfId="0" applyFill="1" applyBorder="1" applyAlignment="1" applyProtection="1">
      <alignment horizontal="left" vertical="center" wrapText="1"/>
      <protection locked="0"/>
    </xf>
    <xf numFmtId="0" fontId="0" fillId="44" borderId="40" xfId="0" applyFill="1" applyBorder="1" applyAlignment="1" applyProtection="1">
      <alignment horizontal="left" vertical="center" wrapText="1"/>
      <protection locked="0"/>
    </xf>
    <xf numFmtId="0" fontId="0" fillId="44" borderId="63" xfId="0" applyFill="1" applyBorder="1" applyAlignment="1" applyProtection="1">
      <alignment horizontal="left" vertical="center"/>
      <protection locked="0"/>
    </xf>
    <xf numFmtId="0" fontId="46" fillId="36" borderId="34" xfId="0" applyFont="1" applyFill="1" applyBorder="1" applyAlignment="1" applyProtection="1">
      <alignment vertical="center"/>
      <protection locked="0"/>
    </xf>
    <xf numFmtId="1" fontId="0" fillId="33" borderId="35" xfId="0" applyNumberFormat="1" applyFill="1" applyBorder="1" applyAlignment="1" applyProtection="1">
      <alignment horizontal="center"/>
      <protection locked="0"/>
    </xf>
    <xf numFmtId="0" fontId="0" fillId="44" borderId="41" xfId="0" applyFill="1" applyBorder="1" applyProtection="1">
      <protection locked="0"/>
    </xf>
    <xf numFmtId="0" fontId="0" fillId="44" borderId="43" xfId="0" applyFill="1" applyBorder="1" applyProtection="1">
      <protection locked="0"/>
    </xf>
    <xf numFmtId="0" fontId="0" fillId="44" borderId="42" xfId="0" applyFill="1" applyBorder="1" applyProtection="1">
      <protection locked="0"/>
      <extLst>
        <ext xmlns:xfpb="http://schemas.microsoft.com/office/spreadsheetml/2022/featurepropertybag" uri="{C7286773-470A-42A8-94C5-96B5CB345126}">
          <xfpb:xfComplement i="0"/>
        </ext>
      </extLst>
    </xf>
    <xf numFmtId="165" fontId="0" fillId="33" borderId="63" xfId="43" applyNumberFormat="1" applyFont="1" applyFill="1" applyBorder="1" applyAlignment="1" applyProtection="1">
      <alignment horizontal="left" vertical="center"/>
      <protection locked="0"/>
    </xf>
    <xf numFmtId="165" fontId="0" fillId="44" borderId="40" xfId="43" applyNumberFormat="1" applyFont="1" applyFill="1" applyBorder="1" applyAlignment="1" applyProtection="1">
      <alignment horizontal="left" vertical="center"/>
      <protection locked="0"/>
    </xf>
    <xf numFmtId="14" fontId="0" fillId="33" borderId="63" xfId="0" applyNumberFormat="1" applyFill="1" applyBorder="1" applyAlignment="1" applyProtection="1">
      <alignment horizontal="left" vertical="center"/>
      <protection locked="0"/>
    </xf>
    <xf numFmtId="14" fontId="0" fillId="44" borderId="40" xfId="0" applyNumberFormat="1" applyFill="1" applyBorder="1" applyAlignment="1" applyProtection="1">
      <alignment horizontal="left" vertical="center"/>
      <protection locked="0"/>
    </xf>
    <xf numFmtId="0" fontId="0" fillId="44" borderId="63" xfId="0" applyFill="1" applyBorder="1" applyAlignment="1" applyProtection="1">
      <alignment vertical="top" wrapText="1"/>
      <protection locked="0"/>
    </xf>
    <xf numFmtId="0" fontId="0" fillId="44" borderId="40" xfId="0" applyFill="1" applyBorder="1" applyAlignment="1" applyProtection="1">
      <alignment vertical="top" wrapText="1"/>
      <protection locked="0"/>
    </xf>
    <xf numFmtId="0" fontId="27" fillId="36" borderId="18" xfId="0" applyFont="1" applyFill="1" applyBorder="1" applyProtection="1">
      <protection locked="0"/>
    </xf>
    <xf numFmtId="0" fontId="49" fillId="36" borderId="18" xfId="0" applyFont="1" applyFill="1" applyBorder="1" applyAlignment="1" applyProtection="1">
      <alignment horizontal="right" vertical="center"/>
      <protection locked="0"/>
    </xf>
    <xf numFmtId="0" fontId="0" fillId="0" borderId="34" xfId="0" applyBorder="1" applyAlignment="1" applyProtection="1">
      <alignment vertical="top"/>
      <protection locked="0"/>
    </xf>
    <xf numFmtId="0" fontId="0" fillId="44" borderId="61" xfId="0" applyFill="1" applyBorder="1" applyAlignment="1" applyProtection="1">
      <alignment vertical="top" wrapText="1"/>
      <protection locked="0"/>
    </xf>
    <xf numFmtId="0" fontId="26" fillId="44" borderId="42" xfId="0" applyFont="1" applyFill="1" applyBorder="1" applyAlignment="1" applyProtection="1">
      <alignment vertical="top" wrapText="1"/>
      <protection locked="0"/>
    </xf>
    <xf numFmtId="0" fontId="0" fillId="36" borderId="20" xfId="0" applyFill="1" applyBorder="1" applyProtection="1">
      <protection locked="0"/>
    </xf>
    <xf numFmtId="0" fontId="0" fillId="36" borderId="21" xfId="0" applyFill="1" applyBorder="1" applyProtection="1">
      <protection locked="0"/>
    </xf>
    <xf numFmtId="0" fontId="0" fillId="36" borderId="21" xfId="0" applyFill="1" applyBorder="1" applyAlignment="1" applyProtection="1">
      <alignment horizontal="left"/>
      <protection locked="0"/>
    </xf>
    <xf numFmtId="0" fontId="0" fillId="36" borderId="22" xfId="0" applyFill="1" applyBorder="1" applyProtection="1">
      <protection locked="0"/>
    </xf>
    <xf numFmtId="0" fontId="0" fillId="0" borderId="0" xfId="0" applyAlignment="1" applyProtection="1">
      <alignment horizontal="left"/>
      <protection locked="0"/>
    </xf>
    <xf numFmtId="3" fontId="18" fillId="42" borderId="40" xfId="0" applyNumberFormat="1" applyFont="1" applyFill="1" applyBorder="1" applyAlignment="1">
      <alignment horizontal="center" vertical="center"/>
    </xf>
    <xf numFmtId="3" fontId="18" fillId="42" borderId="28" xfId="0" applyNumberFormat="1" applyFont="1" applyFill="1" applyBorder="1" applyAlignment="1">
      <alignment horizontal="center" vertical="center"/>
    </xf>
    <xf numFmtId="3" fontId="18" fillId="42" borderId="42" xfId="0" applyNumberFormat="1" applyFont="1" applyFill="1" applyBorder="1" applyAlignment="1">
      <alignment horizontal="center" vertical="center"/>
    </xf>
    <xf numFmtId="3" fontId="0" fillId="42" borderId="50" xfId="42" applyNumberFormat="1" applyFont="1" applyFill="1" applyBorder="1" applyAlignment="1" applyProtection="1">
      <alignment horizontal="center"/>
    </xf>
    <xf numFmtId="3" fontId="0" fillId="42" borderId="49" xfId="42" applyNumberFormat="1" applyFont="1" applyFill="1" applyBorder="1" applyAlignment="1" applyProtection="1">
      <alignment horizontal="center"/>
    </xf>
    <xf numFmtId="164" fontId="0" fillId="42" borderId="37" xfId="0" applyNumberFormat="1" applyFill="1" applyBorder="1" applyAlignment="1">
      <alignment horizontal="center"/>
    </xf>
    <xf numFmtId="164" fontId="0" fillId="42" borderId="39" xfId="0" applyNumberFormat="1" applyFill="1" applyBorder="1" applyAlignment="1">
      <alignment horizontal="center"/>
    </xf>
    <xf numFmtId="164" fontId="0" fillId="42" borderId="41" xfId="0" applyNumberFormat="1" applyFill="1" applyBorder="1" applyAlignment="1">
      <alignment horizontal="center"/>
    </xf>
    <xf numFmtId="164" fontId="0" fillId="42" borderId="28" xfId="0" applyNumberFormat="1" applyFill="1" applyBorder="1" applyAlignment="1">
      <alignment horizontal="center"/>
    </xf>
    <xf numFmtId="164" fontId="0" fillId="42" borderId="42" xfId="0" applyNumberFormat="1" applyFill="1" applyBorder="1" applyAlignment="1">
      <alignment horizontal="center"/>
    </xf>
    <xf numFmtId="0" fontId="0" fillId="42" borderId="37" xfId="0" applyFill="1" applyBorder="1" applyAlignment="1">
      <alignment horizontal="center"/>
    </xf>
    <xf numFmtId="0" fontId="0" fillId="42" borderId="28" xfId="0" applyFill="1" applyBorder="1" applyAlignment="1">
      <alignment horizontal="center"/>
    </xf>
    <xf numFmtId="0" fontId="0" fillId="42" borderId="39" xfId="0" applyFill="1" applyBorder="1" applyAlignment="1">
      <alignment horizontal="center"/>
    </xf>
    <xf numFmtId="0" fontId="0" fillId="42" borderId="40" xfId="0" applyFill="1" applyBorder="1" applyAlignment="1">
      <alignment horizontal="center"/>
    </xf>
    <xf numFmtId="0" fontId="0" fillId="42" borderId="41" xfId="0" applyFill="1" applyBorder="1" applyAlignment="1">
      <alignment horizontal="center"/>
    </xf>
    <xf numFmtId="0" fontId="0" fillId="42" borderId="42" xfId="0" applyFill="1" applyBorder="1" applyAlignment="1">
      <alignment horizontal="center"/>
    </xf>
    <xf numFmtId="0" fontId="0" fillId="42" borderId="0" xfId="0" applyFill="1" applyAlignment="1">
      <alignment horizontal="center"/>
    </xf>
    <xf numFmtId="0" fontId="0" fillId="42" borderId="30" xfId="0" applyFill="1" applyBorder="1" applyAlignment="1">
      <alignment horizontal="center"/>
    </xf>
    <xf numFmtId="0" fontId="19" fillId="42" borderId="0" xfId="0" applyFont="1" applyFill="1" applyAlignment="1">
      <alignment horizontal="center"/>
    </xf>
    <xf numFmtId="0" fontId="19" fillId="42" borderId="30" xfId="0" applyFont="1" applyFill="1" applyBorder="1" applyAlignment="1">
      <alignment horizontal="center"/>
    </xf>
    <xf numFmtId="0" fontId="26" fillId="42" borderId="54" xfId="0" applyFont="1" applyFill="1" applyBorder="1" applyAlignment="1">
      <alignment horizontal="center"/>
    </xf>
    <xf numFmtId="0" fontId="26" fillId="42" borderId="30" xfId="0" applyFont="1" applyFill="1" applyBorder="1" applyAlignment="1">
      <alignment horizontal="center"/>
    </xf>
    <xf numFmtId="0" fontId="26" fillId="42" borderId="55" xfId="0" applyFont="1" applyFill="1" applyBorder="1" applyAlignment="1">
      <alignment horizontal="center"/>
    </xf>
    <xf numFmtId="0" fontId="26" fillId="42" borderId="65" xfId="0" applyFont="1" applyFill="1" applyBorder="1" applyAlignment="1">
      <alignment horizontal="center"/>
    </xf>
    <xf numFmtId="2" fontId="0" fillId="42" borderId="56" xfId="0" applyNumberFormat="1" applyFill="1" applyBorder="1" applyAlignment="1">
      <alignment horizontal="center" vertical="center"/>
    </xf>
    <xf numFmtId="2" fontId="0" fillId="42" borderId="36" xfId="0" applyNumberFormat="1" applyFill="1" applyBorder="1" applyAlignment="1">
      <alignment horizontal="center"/>
    </xf>
    <xf numFmtId="2" fontId="0" fillId="42" borderId="32" xfId="0" applyNumberFormat="1" applyFill="1" applyBorder="1" applyAlignment="1">
      <alignment horizontal="center"/>
    </xf>
    <xf numFmtId="2" fontId="0" fillId="42" borderId="34" xfId="0" applyNumberFormat="1" applyFill="1" applyBorder="1" applyAlignment="1">
      <alignment horizontal="center"/>
    </xf>
    <xf numFmtId="0" fontId="0" fillId="42" borderId="56" xfId="0" applyFill="1" applyBorder="1"/>
    <xf numFmtId="0" fontId="0" fillId="42" borderId="22" xfId="0" applyFill="1" applyBorder="1"/>
    <xf numFmtId="0" fontId="0" fillId="0" borderId="0" xfId="0" applyAlignment="1" applyProtection="1">
      <alignment horizontal="center"/>
      <protection locked="0"/>
    </xf>
    <xf numFmtId="0" fontId="0" fillId="36" borderId="15" xfId="0" applyFill="1" applyBorder="1" applyProtection="1">
      <protection locked="0"/>
    </xf>
    <xf numFmtId="0" fontId="0" fillId="36" borderId="16" xfId="0" applyFill="1" applyBorder="1" applyProtection="1">
      <protection locked="0"/>
    </xf>
    <xf numFmtId="0" fontId="0" fillId="36" borderId="16" xfId="0" applyFill="1" applyBorder="1" applyAlignment="1" applyProtection="1">
      <alignment horizontal="center"/>
      <protection locked="0"/>
    </xf>
    <xf numFmtId="0" fontId="0" fillId="36" borderId="17" xfId="0" applyFill="1" applyBorder="1" applyProtection="1">
      <protection locked="0"/>
    </xf>
    <xf numFmtId="0" fontId="0" fillId="36" borderId="37" xfId="0" applyFill="1" applyBorder="1" applyAlignment="1" applyProtection="1">
      <alignment horizontal="center" vertical="center"/>
      <protection locked="0"/>
    </xf>
    <xf numFmtId="14" fontId="0" fillId="33" borderId="17" xfId="0" applyNumberFormat="1" applyFill="1" applyBorder="1" applyAlignment="1" applyProtection="1">
      <alignment horizontal="center"/>
      <protection locked="0"/>
    </xf>
    <xf numFmtId="0" fontId="27" fillId="36" borderId="0" xfId="0" applyFont="1" applyFill="1" applyProtection="1">
      <protection locked="0"/>
    </xf>
    <xf numFmtId="0" fontId="0" fillId="36" borderId="68" xfId="0" applyFill="1" applyBorder="1" applyProtection="1">
      <protection locked="0"/>
    </xf>
    <xf numFmtId="0" fontId="0" fillId="36" borderId="69" xfId="0" applyFill="1" applyBorder="1" applyProtection="1">
      <protection locked="0"/>
    </xf>
    <xf numFmtId="1" fontId="0" fillId="33" borderId="50" xfId="42" applyNumberFormat="1" applyFont="1" applyFill="1" applyBorder="1" applyAlignment="1" applyProtection="1">
      <alignment horizontal="center"/>
      <protection locked="0"/>
    </xf>
    <xf numFmtId="0" fontId="22" fillId="36" borderId="0" xfId="0" applyFont="1" applyFill="1" applyAlignment="1" applyProtection="1">
      <alignment horizontal="right" vertical="center"/>
      <protection locked="0"/>
    </xf>
    <xf numFmtId="0" fontId="0" fillId="36" borderId="70" xfId="0" applyFill="1" applyBorder="1" applyProtection="1">
      <protection locked="0"/>
    </xf>
    <xf numFmtId="0" fontId="0" fillId="36" borderId="71" xfId="0" applyFill="1" applyBorder="1" applyProtection="1">
      <protection locked="0"/>
    </xf>
    <xf numFmtId="1" fontId="0" fillId="33" borderId="49" xfId="42" applyNumberFormat="1" applyFont="1" applyFill="1" applyBorder="1" applyAlignment="1" applyProtection="1">
      <alignment horizontal="center"/>
      <protection locked="0"/>
    </xf>
    <xf numFmtId="0" fontId="0" fillId="36" borderId="0" xfId="0" applyFill="1" applyAlignment="1" applyProtection="1">
      <alignment wrapText="1"/>
      <protection locked="0"/>
    </xf>
    <xf numFmtId="0" fontId="0" fillId="36" borderId="18" xfId="0" applyFill="1" applyBorder="1" applyAlignment="1" applyProtection="1">
      <alignment wrapText="1"/>
      <protection locked="0"/>
    </xf>
    <xf numFmtId="0" fontId="0" fillId="36" borderId="29" xfId="0" applyFill="1" applyBorder="1" applyAlignment="1" applyProtection="1">
      <alignment wrapText="1"/>
      <protection locked="0"/>
    </xf>
    <xf numFmtId="0" fontId="0" fillId="36" borderId="12" xfId="0" applyFill="1" applyBorder="1" applyAlignment="1" applyProtection="1">
      <alignment horizontal="center" wrapText="1"/>
      <protection locked="0"/>
    </xf>
    <xf numFmtId="0" fontId="0" fillId="36" borderId="14" xfId="0" applyFill="1" applyBorder="1" applyAlignment="1" applyProtection="1">
      <alignment horizontal="center" wrapText="1"/>
      <protection locked="0"/>
    </xf>
    <xf numFmtId="0" fontId="0" fillId="36" borderId="19" xfId="0" applyFill="1" applyBorder="1" applyAlignment="1" applyProtection="1">
      <alignment wrapText="1"/>
      <protection locked="0"/>
    </xf>
    <xf numFmtId="0" fontId="16" fillId="0" borderId="0" xfId="0" applyFont="1" applyProtection="1">
      <protection locked="0"/>
    </xf>
    <xf numFmtId="0" fontId="0" fillId="36" borderId="36" xfId="0" applyFill="1" applyBorder="1" applyProtection="1">
      <protection locked="0"/>
    </xf>
    <xf numFmtId="0" fontId="0" fillId="0" borderId="19" xfId="0" applyBorder="1" applyProtection="1">
      <protection locked="0"/>
    </xf>
    <xf numFmtId="0" fontId="0" fillId="36" borderId="32" xfId="0" applyFill="1" applyBorder="1" applyProtection="1">
      <protection locked="0"/>
    </xf>
    <xf numFmtId="164" fontId="0" fillId="33" borderId="40" xfId="0" applyNumberFormat="1" applyFill="1" applyBorder="1" applyAlignment="1" applyProtection="1">
      <alignment horizontal="center"/>
      <protection locked="0"/>
    </xf>
    <xf numFmtId="0" fontId="0" fillId="36" borderId="34" xfId="0" applyFill="1" applyBorder="1" applyProtection="1">
      <protection locked="0"/>
    </xf>
    <xf numFmtId="0" fontId="0" fillId="0" borderId="36" xfId="0" applyBorder="1" applyAlignment="1" applyProtection="1">
      <alignment horizontal="left" vertical="center"/>
      <protection locked="0"/>
    </xf>
    <xf numFmtId="0" fontId="0" fillId="0" borderId="0" xfId="0" quotePrefix="1" applyProtection="1">
      <protection locked="0"/>
    </xf>
    <xf numFmtId="164" fontId="0" fillId="36" borderId="0" xfId="0" applyNumberFormat="1" applyFill="1" applyAlignment="1" applyProtection="1">
      <alignment horizontal="center"/>
      <protection locked="0"/>
    </xf>
    <xf numFmtId="0" fontId="0" fillId="0" borderId="32" xfId="0" applyBorder="1" applyAlignment="1" applyProtection="1">
      <alignment horizontal="left" vertical="center"/>
      <protection locked="0"/>
    </xf>
    <xf numFmtId="164" fontId="0" fillId="36" borderId="0" xfId="0" applyNumberFormat="1" applyFill="1" applyProtection="1">
      <protection locked="0"/>
    </xf>
    <xf numFmtId="0" fontId="0" fillId="36" borderId="18" xfId="0" applyFill="1" applyBorder="1" applyAlignment="1" applyProtection="1">
      <alignment horizontal="right"/>
      <protection locked="0"/>
      <extLst>
        <ext xmlns:xfpb="http://schemas.microsoft.com/office/spreadsheetml/2022/featurepropertybag" uri="{C7286773-470A-42A8-94C5-96B5CB345126}">
          <xfpb:xfComplement i="0"/>
        </ext>
      </extLst>
    </xf>
    <xf numFmtId="164" fontId="0" fillId="36" borderId="23" xfId="0" applyNumberFormat="1" applyFill="1" applyBorder="1" applyProtection="1">
      <protection locked="0"/>
    </xf>
    <xf numFmtId="164" fontId="0" fillId="33" borderId="29" xfId="0" applyNumberFormat="1" applyFill="1" applyBorder="1" applyAlignment="1" applyProtection="1">
      <alignment horizontal="center"/>
      <protection locked="0"/>
    </xf>
    <xf numFmtId="0" fontId="22" fillId="36" borderId="18" xfId="0" applyFont="1" applyFill="1" applyBorder="1" applyAlignment="1" applyProtection="1">
      <alignment horizontal="right" vertical="center"/>
      <protection locked="0"/>
    </xf>
    <xf numFmtId="0" fontId="0" fillId="36" borderId="19" xfId="0" applyFill="1" applyBorder="1" applyAlignment="1" applyProtection="1">
      <alignment horizontal="left"/>
      <protection locked="0"/>
    </xf>
    <xf numFmtId="0" fontId="0" fillId="36" borderId="21" xfId="0" applyFill="1" applyBorder="1" applyAlignment="1" applyProtection="1">
      <alignment horizontal="center"/>
      <protection locked="0"/>
    </xf>
    <xf numFmtId="0" fontId="22" fillId="36" borderId="0" xfId="0" applyFont="1" applyFill="1" applyAlignment="1" applyProtection="1">
      <alignment horizontal="right" vertical="top"/>
      <protection locked="0"/>
    </xf>
    <xf numFmtId="0" fontId="0" fillId="36" borderId="0" xfId="0" applyFill="1" applyAlignment="1" applyProtection="1">
      <alignment vertical="top" wrapText="1"/>
      <protection locked="0"/>
    </xf>
    <xf numFmtId="0" fontId="0" fillId="36" borderId="0" xfId="0" applyFill="1" applyAlignment="1" applyProtection="1">
      <alignment vertical="top"/>
      <protection locked="0"/>
    </xf>
    <xf numFmtId="0" fontId="0" fillId="0" borderId="34" xfId="0" applyBorder="1" applyAlignment="1" applyProtection="1">
      <alignment horizontal="left" vertical="center"/>
      <protection locked="0"/>
    </xf>
    <xf numFmtId="0" fontId="0" fillId="36" borderId="21" xfId="0" applyFill="1" applyBorder="1" applyAlignment="1" applyProtection="1">
      <alignment horizontal="left" vertical="center"/>
      <protection locked="0"/>
    </xf>
    <xf numFmtId="3" fontId="18" fillId="42" borderId="36" xfId="0" applyNumberFormat="1" applyFont="1" applyFill="1" applyBorder="1" applyAlignment="1">
      <alignment horizontal="center" vertical="center"/>
    </xf>
    <xf numFmtId="3" fontId="18" fillId="42" borderId="32" xfId="0" applyNumberFormat="1" applyFont="1" applyFill="1" applyBorder="1" applyAlignment="1">
      <alignment horizontal="center" vertical="center"/>
    </xf>
    <xf numFmtId="3" fontId="18" fillId="42" borderId="34" xfId="0" applyNumberFormat="1" applyFont="1" applyFill="1" applyBorder="1" applyAlignment="1">
      <alignment horizontal="center" vertical="center"/>
    </xf>
    <xf numFmtId="0" fontId="0" fillId="0" borderId="15"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18" xfId="0" applyBorder="1"/>
    <xf numFmtId="0" fontId="0" fillId="37" borderId="19" xfId="0" applyFill="1" applyBorder="1"/>
    <xf numFmtId="0" fontId="0" fillId="0" borderId="19" xfId="0" applyBorder="1"/>
    <xf numFmtId="0" fontId="0" fillId="0" borderId="20" xfId="0" applyBorder="1"/>
    <xf numFmtId="14" fontId="0" fillId="0" borderId="21" xfId="0" applyNumberFormat="1" applyBorder="1"/>
    <xf numFmtId="0" fontId="0" fillId="37" borderId="22" xfId="0" applyFill="1" applyBorder="1"/>
    <xf numFmtId="0" fontId="28" fillId="34" borderId="24" xfId="0" applyFont="1" applyFill="1" applyBorder="1" applyAlignment="1" applyProtection="1">
      <alignment horizontal="center" vertical="center"/>
      <protection locked="0"/>
    </xf>
    <xf numFmtId="0" fontId="16" fillId="0" borderId="16" xfId="0" applyFont="1" applyBorder="1" applyAlignment="1" applyProtection="1">
      <alignment horizontal="center" vertical="center" wrapText="1"/>
      <protection locked="0"/>
    </xf>
    <xf numFmtId="0" fontId="25" fillId="34" borderId="16" xfId="0" applyFont="1" applyFill="1" applyBorder="1" applyAlignment="1" applyProtection="1">
      <alignment horizontal="center" vertical="center" wrapText="1"/>
      <protection locked="0"/>
    </xf>
    <xf numFmtId="0" fontId="0" fillId="34" borderId="0" xfId="0" applyFill="1" applyAlignment="1" applyProtection="1">
      <alignment wrapText="1"/>
      <protection locked="0"/>
    </xf>
    <xf numFmtId="0" fontId="0" fillId="0" borderId="12" xfId="0" applyBorder="1" applyAlignment="1" applyProtection="1">
      <alignment horizontal="center" wrapText="1"/>
      <protection locked="0"/>
    </xf>
    <xf numFmtId="0" fontId="0" fillId="0" borderId="13" xfId="0" applyBorder="1" applyAlignment="1" applyProtection="1">
      <alignment horizontal="right" wrapText="1"/>
      <protection locked="0"/>
    </xf>
    <xf numFmtId="0" fontId="0" fillId="0" borderId="13" xfId="0" applyBorder="1" applyAlignment="1" applyProtection="1">
      <alignment horizontal="center" wrapText="1"/>
      <protection locked="0"/>
    </xf>
    <xf numFmtId="0" fontId="0" fillId="0" borderId="25" xfId="0" applyBorder="1" applyAlignment="1" applyProtection="1">
      <alignment horizontal="center" wrapText="1"/>
      <protection locked="0"/>
    </xf>
    <xf numFmtId="0" fontId="19" fillId="36" borderId="12" xfId="0" applyFont="1" applyFill="1" applyBorder="1" applyAlignment="1" applyProtection="1">
      <alignment horizontal="center" vertical="center" wrapText="1"/>
      <protection locked="0"/>
    </xf>
    <xf numFmtId="0" fontId="25" fillId="36" borderId="13" xfId="0" applyFont="1" applyFill="1" applyBorder="1" applyAlignment="1" applyProtection="1">
      <alignment horizontal="center" vertical="center" wrapText="1"/>
      <protection locked="0"/>
    </xf>
    <xf numFmtId="0" fontId="47" fillId="36" borderId="14" xfId="0" applyFont="1" applyFill="1" applyBorder="1" applyAlignment="1" applyProtection="1">
      <alignment horizontal="center" vertical="center" wrapText="1"/>
      <protection locked="0"/>
    </xf>
    <xf numFmtId="0" fontId="25" fillId="34" borderId="21" xfId="0" applyFont="1" applyFill="1" applyBorder="1" applyAlignment="1" applyProtection="1">
      <alignment horizontal="center" vertical="center" wrapText="1"/>
      <protection locked="0"/>
    </xf>
    <xf numFmtId="0" fontId="0" fillId="34" borderId="0" xfId="0" applyFill="1" applyProtection="1">
      <protection locked="0"/>
    </xf>
    <xf numFmtId="0" fontId="16" fillId="0" borderId="10" xfId="0" applyFont="1" applyBorder="1" applyAlignment="1" applyProtection="1">
      <alignment horizontal="center"/>
      <protection locked="0"/>
    </xf>
    <xf numFmtId="0" fontId="19" fillId="0" borderId="10"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47" fillId="0" borderId="10" xfId="0" applyFont="1" applyBorder="1" applyAlignment="1" applyProtection="1">
      <alignment horizontal="center"/>
      <protection locked="0"/>
    </xf>
    <xf numFmtId="0" fontId="16" fillId="0" borderId="10" xfId="0" applyFont="1" applyBorder="1" applyProtection="1">
      <protection locked="0"/>
    </xf>
    <xf numFmtId="0" fontId="0" fillId="33" borderId="44" xfId="0" applyFill="1" applyBorder="1" applyAlignment="1" applyProtection="1">
      <alignment horizontal="center"/>
      <protection locked="0"/>
    </xf>
    <xf numFmtId="14" fontId="0" fillId="33" borderId="27" xfId="0" applyNumberFormat="1" applyFill="1" applyBorder="1" applyAlignment="1" applyProtection="1">
      <alignment horizontal="right"/>
      <protection locked="0"/>
    </xf>
    <xf numFmtId="0" fontId="0" fillId="33" borderId="27" xfId="0" applyFill="1" applyBorder="1" applyAlignment="1" applyProtection="1">
      <alignment horizontal="center"/>
      <protection locked="0"/>
    </xf>
    <xf numFmtId="0" fontId="0" fillId="33" borderId="74" xfId="0" applyFill="1" applyBorder="1" applyAlignment="1" applyProtection="1">
      <alignment horizontal="center"/>
      <protection locked="0"/>
    </xf>
    <xf numFmtId="0" fontId="0" fillId="33" borderId="27" xfId="0" applyFill="1" applyBorder="1" applyProtection="1">
      <protection locked="0"/>
    </xf>
    <xf numFmtId="0" fontId="0" fillId="33" borderId="55" xfId="0" applyFill="1" applyBorder="1" applyProtection="1">
      <protection locked="0"/>
    </xf>
    <xf numFmtId="0" fontId="19" fillId="33" borderId="44" xfId="0" applyFont="1" applyFill="1" applyBorder="1" applyAlignment="1" applyProtection="1">
      <alignment horizontal="center"/>
      <protection locked="0"/>
    </xf>
    <xf numFmtId="0" fontId="25" fillId="33" borderId="27" xfId="0" applyFont="1" applyFill="1" applyBorder="1" applyAlignment="1" applyProtection="1">
      <alignment horizontal="center"/>
      <protection locked="0"/>
    </xf>
    <xf numFmtId="0" fontId="47" fillId="33" borderId="74" xfId="0" applyFont="1" applyFill="1" applyBorder="1" applyAlignment="1" applyProtection="1">
      <alignment horizontal="center"/>
      <protection locked="0"/>
    </xf>
    <xf numFmtId="0" fontId="25" fillId="34" borderId="0" xfId="0" applyFont="1" applyFill="1" applyAlignment="1" applyProtection="1">
      <alignment horizontal="center"/>
      <protection locked="0"/>
    </xf>
    <xf numFmtId="0" fontId="0" fillId="0" borderId="10" xfId="0" applyBorder="1" applyProtection="1">
      <protection locked="0"/>
    </xf>
    <xf numFmtId="0" fontId="0" fillId="33" borderId="39" xfId="0" applyFill="1" applyBorder="1" applyAlignment="1" applyProtection="1">
      <alignment horizontal="center"/>
      <protection locked="0"/>
    </xf>
    <xf numFmtId="14" fontId="0" fillId="33" borderId="10" xfId="0" applyNumberFormat="1" applyFill="1" applyBorder="1" applyAlignment="1" applyProtection="1">
      <alignment horizontal="right"/>
      <protection locked="0"/>
    </xf>
    <xf numFmtId="0" fontId="0" fillId="33" borderId="10" xfId="0" applyFill="1" applyBorder="1" applyAlignment="1" applyProtection="1">
      <alignment horizontal="center"/>
      <protection locked="0"/>
    </xf>
    <xf numFmtId="0" fontId="0" fillId="33" borderId="40" xfId="0" applyFill="1" applyBorder="1" applyAlignment="1" applyProtection="1">
      <alignment horizontal="center"/>
      <protection locked="0"/>
    </xf>
    <xf numFmtId="0" fontId="0" fillId="33" borderId="10" xfId="0" applyFill="1" applyBorder="1" applyProtection="1">
      <protection locked="0"/>
    </xf>
    <xf numFmtId="0" fontId="0" fillId="33" borderId="26" xfId="0" applyFill="1" applyBorder="1" applyProtection="1">
      <protection locked="0"/>
    </xf>
    <xf numFmtId="0" fontId="25" fillId="33" borderId="10" xfId="0" applyFont="1" applyFill="1" applyBorder="1" applyAlignment="1" applyProtection="1">
      <alignment horizontal="center"/>
      <protection locked="0"/>
    </xf>
    <xf numFmtId="0" fontId="47" fillId="33" borderId="40" xfId="0" applyFont="1" applyFill="1" applyBorder="1" applyAlignment="1" applyProtection="1">
      <alignment horizontal="center"/>
      <protection locked="0"/>
    </xf>
    <xf numFmtId="0" fontId="22" fillId="36" borderId="54" xfId="0" applyFont="1" applyFill="1" applyBorder="1" applyAlignment="1" applyProtection="1">
      <alignment horizontal="right" vertical="top"/>
      <protection locked="0"/>
    </xf>
    <xf numFmtId="0" fontId="0" fillId="33" borderId="62" xfId="0" applyFill="1" applyBorder="1" applyProtection="1">
      <protection locked="0"/>
    </xf>
    <xf numFmtId="0" fontId="19" fillId="33" borderId="39" xfId="0" applyFont="1" applyFill="1" applyBorder="1" applyAlignment="1" applyProtection="1">
      <alignment horizontal="center"/>
      <protection locked="0"/>
    </xf>
    <xf numFmtId="0" fontId="0" fillId="36" borderId="54" xfId="0" applyFill="1" applyBorder="1" applyAlignment="1" applyProtection="1">
      <alignment vertical="top" wrapText="1"/>
      <protection locked="0"/>
    </xf>
    <xf numFmtId="0" fontId="0" fillId="36" borderId="54" xfId="0" applyFill="1" applyBorder="1" applyAlignment="1" applyProtection="1">
      <alignment vertical="top"/>
      <protection locked="0"/>
    </xf>
    <xf numFmtId="0" fontId="0" fillId="0" borderId="54" xfId="0" applyBorder="1" applyProtection="1">
      <protection locked="0"/>
    </xf>
    <xf numFmtId="0" fontId="0" fillId="36" borderId="52" xfId="0" applyFill="1" applyBorder="1" applyProtection="1">
      <protection locked="0"/>
    </xf>
    <xf numFmtId="0" fontId="0" fillId="33" borderId="41" xfId="0" applyFill="1" applyBorder="1" applyAlignment="1" applyProtection="1">
      <alignment horizontal="center"/>
      <protection locked="0"/>
    </xf>
    <xf numFmtId="14" fontId="0" fillId="33" borderId="43" xfId="0" applyNumberFormat="1" applyFill="1" applyBorder="1" applyAlignment="1" applyProtection="1">
      <alignment horizontal="right"/>
      <protection locked="0"/>
    </xf>
    <xf numFmtId="0" fontId="0" fillId="33" borderId="43" xfId="0" applyFill="1" applyBorder="1" applyAlignment="1" applyProtection="1">
      <alignment horizontal="center"/>
      <protection locked="0"/>
    </xf>
    <xf numFmtId="0" fontId="0" fillId="33" borderId="42" xfId="0" applyFill="1" applyBorder="1" applyAlignment="1" applyProtection="1">
      <alignment horizontal="center"/>
      <protection locked="0"/>
    </xf>
    <xf numFmtId="0" fontId="19" fillId="33" borderId="41" xfId="0" applyFont="1" applyFill="1" applyBorder="1" applyAlignment="1" applyProtection="1">
      <alignment horizontal="center"/>
      <protection locked="0"/>
    </xf>
    <xf numFmtId="0" fontId="25" fillId="33" borderId="43" xfId="0" applyFont="1" applyFill="1" applyBorder="1" applyAlignment="1" applyProtection="1">
      <alignment horizontal="center"/>
      <protection locked="0"/>
    </xf>
    <xf numFmtId="0" fontId="47" fillId="33" borderId="42" xfId="0" applyFont="1" applyFill="1" applyBorder="1" applyAlignment="1" applyProtection="1">
      <alignment horizontal="center"/>
      <protection locked="0"/>
    </xf>
    <xf numFmtId="0" fontId="0" fillId="40" borderId="0" xfId="0" applyFill="1" applyAlignment="1" applyProtection="1">
      <alignment horizontal="center"/>
      <protection locked="0"/>
    </xf>
    <xf numFmtId="14" fontId="0" fillId="40" borderId="0" xfId="0" applyNumberFormat="1" applyFill="1" applyAlignment="1" applyProtection="1">
      <alignment horizontal="right"/>
      <protection locked="0"/>
    </xf>
    <xf numFmtId="0" fontId="19" fillId="40" borderId="0" xfId="0" applyFont="1" applyFill="1" applyAlignment="1" applyProtection="1">
      <alignment horizontal="center"/>
      <protection locked="0"/>
    </xf>
    <xf numFmtId="0" fontId="25" fillId="40" borderId="0" xfId="0" applyFont="1" applyFill="1" applyAlignment="1" applyProtection="1">
      <alignment horizontal="center"/>
      <protection locked="0"/>
    </xf>
    <xf numFmtId="0" fontId="47" fillId="40" borderId="0" xfId="0" applyFont="1" applyFill="1" applyAlignment="1" applyProtection="1">
      <alignment horizontal="center"/>
      <protection locked="0"/>
    </xf>
    <xf numFmtId="0" fontId="0" fillId="40" borderId="0" xfId="0" applyFill="1" applyProtection="1">
      <protection locked="0"/>
    </xf>
    <xf numFmtId="14" fontId="0" fillId="0" borderId="0" xfId="0" applyNumberFormat="1" applyAlignment="1" applyProtection="1">
      <alignment horizontal="right"/>
      <protection locked="0"/>
    </xf>
    <xf numFmtId="0" fontId="19" fillId="0" borderId="0" xfId="0" applyFont="1" applyAlignment="1" applyProtection="1">
      <alignment horizontal="center"/>
      <protection locked="0"/>
    </xf>
    <xf numFmtId="0" fontId="25" fillId="0" borderId="0" xfId="0" applyFont="1" applyAlignment="1" applyProtection="1">
      <alignment horizontal="center"/>
      <protection locked="0"/>
    </xf>
    <xf numFmtId="0" fontId="47" fillId="0" borderId="0" xfId="0" applyFont="1" applyAlignment="1" applyProtection="1">
      <alignment horizontal="center"/>
      <protection locked="0"/>
    </xf>
    <xf numFmtId="0" fontId="16" fillId="42" borderId="10" xfId="0" applyFont="1" applyFill="1" applyBorder="1" applyAlignment="1">
      <alignment horizontal="center"/>
    </xf>
    <xf numFmtId="0" fontId="19" fillId="42" borderId="10" xfId="0" applyFont="1" applyFill="1" applyBorder="1" applyAlignment="1">
      <alignment horizontal="center"/>
    </xf>
    <xf numFmtId="0" fontId="26" fillId="42" borderId="10" xfId="0" applyFont="1" applyFill="1" applyBorder="1" applyAlignment="1">
      <alignment horizontal="center"/>
    </xf>
    <xf numFmtId="0" fontId="47" fillId="42" borderId="10" xfId="0" applyFont="1" applyFill="1" applyBorder="1" applyAlignment="1">
      <alignment horizontal="center"/>
    </xf>
    <xf numFmtId="0" fontId="23" fillId="42" borderId="10" xfId="0" applyFont="1" applyFill="1" applyBorder="1" applyAlignment="1">
      <alignment horizontal="center"/>
    </xf>
    <xf numFmtId="2" fontId="16" fillId="42" borderId="10" xfId="0" applyNumberFormat="1" applyFont="1" applyFill="1" applyBorder="1" applyAlignment="1">
      <alignment horizontal="center"/>
    </xf>
    <xf numFmtId="2" fontId="19" fillId="42" borderId="10" xfId="0" applyNumberFormat="1" applyFont="1" applyFill="1" applyBorder="1" applyAlignment="1">
      <alignment horizontal="center"/>
    </xf>
    <xf numFmtId="2" fontId="26" fillId="42" borderId="10" xfId="0" applyNumberFormat="1" applyFont="1" applyFill="1" applyBorder="1" applyAlignment="1">
      <alignment horizontal="center"/>
    </xf>
    <xf numFmtId="2" fontId="47" fillId="42" borderId="10" xfId="0" applyNumberFormat="1" applyFont="1" applyFill="1" applyBorder="1" applyAlignment="1">
      <alignment horizontal="center"/>
    </xf>
    <xf numFmtId="2" fontId="23" fillId="42" borderId="10" xfId="0" applyNumberFormat="1" applyFont="1" applyFill="1" applyBorder="1" applyAlignment="1">
      <alignment horizontal="center"/>
    </xf>
    <xf numFmtId="0" fontId="0" fillId="40" borderId="0" xfId="0" applyFill="1"/>
    <xf numFmtId="14" fontId="0" fillId="0" borderId="0" xfId="0" applyNumberFormat="1" applyProtection="1">
      <protection locked="0"/>
    </xf>
    <xf numFmtId="0" fontId="26" fillId="0" borderId="0" xfId="0" applyFont="1" applyAlignment="1" applyProtection="1">
      <alignment horizontal="center"/>
      <protection locked="0"/>
    </xf>
    <xf numFmtId="0" fontId="47" fillId="42" borderId="0" xfId="0" applyFont="1" applyFill="1" applyAlignment="1">
      <alignment horizontal="center"/>
    </xf>
    <xf numFmtId="0" fontId="47" fillId="42" borderId="19" xfId="0" applyFont="1" applyFill="1" applyBorder="1" applyAlignment="1">
      <alignment horizontal="center"/>
    </xf>
    <xf numFmtId="0" fontId="47" fillId="42" borderId="30" xfId="0" applyFont="1" applyFill="1" applyBorder="1" applyAlignment="1">
      <alignment horizontal="center"/>
    </xf>
    <xf numFmtId="0" fontId="47" fillId="42" borderId="65" xfId="0" applyFont="1" applyFill="1" applyBorder="1" applyAlignment="1">
      <alignment horizontal="center"/>
    </xf>
    <xf numFmtId="0" fontId="0" fillId="0" borderId="37" xfId="0" applyBorder="1" applyAlignment="1" applyProtection="1">
      <alignment horizontal="right" vertical="top"/>
      <protection locked="0"/>
    </xf>
    <xf numFmtId="0" fontId="0" fillId="0" borderId="28" xfId="0" applyBorder="1" applyAlignment="1" applyProtection="1">
      <alignment vertical="top"/>
      <protection locked="0"/>
    </xf>
    <xf numFmtId="0" fontId="0" fillId="0" borderId="37" xfId="0" applyBorder="1" applyProtection="1">
      <protection locked="0"/>
    </xf>
    <xf numFmtId="0" fontId="0" fillId="0" borderId="39" xfId="0" applyBorder="1" applyAlignment="1" applyProtection="1">
      <alignment horizontal="right" vertical="top"/>
      <protection locked="0"/>
    </xf>
    <xf numFmtId="0" fontId="0" fillId="0" borderId="39" xfId="0" applyBorder="1" applyProtection="1">
      <protection locked="0"/>
    </xf>
    <xf numFmtId="0" fontId="0" fillId="0" borderId="15" xfId="0" applyBorder="1" applyProtection="1">
      <protection locked="0"/>
      <extLst>
        <ext xmlns:xfpb="http://schemas.microsoft.com/office/spreadsheetml/2022/featurepropertybag" uri="{C7286773-470A-42A8-94C5-96B5CB345126}">
          <xfpb:xfComplement i="0"/>
        </ext>
      </extLst>
    </xf>
    <xf numFmtId="0" fontId="0" fillId="0" borderId="17" xfId="0" applyBorder="1" applyProtection="1">
      <protection locked="0"/>
    </xf>
    <xf numFmtId="0" fontId="32" fillId="33" borderId="39" xfId="0" applyFont="1" applyFill="1" applyBorder="1" applyAlignment="1" applyProtection="1">
      <alignment horizontal="left" vertical="center"/>
      <protection locked="0"/>
    </xf>
    <xf numFmtId="0" fontId="0" fillId="0" borderId="18" xfId="0" applyBorder="1" applyProtection="1">
      <protection locked="0"/>
      <extLst>
        <ext xmlns:xfpb="http://schemas.microsoft.com/office/spreadsheetml/2022/featurepropertybag" uri="{C7286773-470A-42A8-94C5-96B5CB345126}">
          <xfpb:xfComplement i="0"/>
        </ext>
      </extLst>
    </xf>
    <xf numFmtId="0" fontId="32" fillId="33" borderId="10" xfId="0" applyFont="1" applyFill="1" applyBorder="1" applyAlignment="1" applyProtection="1">
      <alignment horizontal="center" vertical="center"/>
      <protection locked="0"/>
    </xf>
    <xf numFmtId="0" fontId="32" fillId="36" borderId="10" xfId="0" applyFont="1" applyFill="1" applyBorder="1" applyAlignment="1" applyProtection="1">
      <alignment vertical="center"/>
      <protection locked="0"/>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2" xfId="0" applyBorder="1" applyProtection="1">
      <protection locked="0"/>
    </xf>
    <xf numFmtId="0" fontId="0" fillId="0" borderId="41" xfId="0" applyBorder="1" applyProtection="1">
      <protection locked="0"/>
    </xf>
    <xf numFmtId="0" fontId="32" fillId="33" borderId="41" xfId="0" applyFont="1" applyFill="1" applyBorder="1" applyAlignment="1" applyProtection="1">
      <alignment horizontal="left" vertical="center"/>
      <protection locked="0"/>
    </xf>
    <xf numFmtId="0" fontId="32" fillId="33" borderId="43" xfId="0" applyFont="1" applyFill="1" applyBorder="1" applyAlignment="1" applyProtection="1">
      <alignment horizontal="center" vertical="center"/>
      <protection locked="0"/>
    </xf>
    <xf numFmtId="0" fontId="0" fillId="0" borderId="0" xfId="0" applyAlignment="1" applyProtection="1">
      <alignment horizontal="left" wrapText="1"/>
      <protection locked="0"/>
    </xf>
    <xf numFmtId="0" fontId="0" fillId="0" borderId="12" xfId="0" applyBorder="1" applyProtection="1">
      <protection locked="0"/>
    </xf>
    <xf numFmtId="0" fontId="0" fillId="0" borderId="40" xfId="0" applyBorder="1" applyAlignment="1" applyProtection="1">
      <alignment horizontal="left" vertical="top"/>
      <protection locked="0"/>
    </xf>
    <xf numFmtId="0" fontId="0" fillId="33" borderId="28" xfId="0" applyFill="1" applyBorder="1" applyProtection="1">
      <protection locked="0"/>
    </xf>
    <xf numFmtId="0" fontId="31" fillId="0" borderId="0" xfId="0" applyFont="1" applyAlignment="1" applyProtection="1">
      <alignment vertical="center"/>
      <protection locked="0"/>
    </xf>
    <xf numFmtId="0" fontId="31" fillId="0" borderId="10" xfId="0" applyFont="1" applyBorder="1" applyAlignment="1" applyProtection="1">
      <alignment horizontal="center" vertical="center"/>
      <protection locked="0"/>
    </xf>
    <xf numFmtId="0" fontId="0" fillId="33" borderId="40" xfId="0" applyFill="1" applyBorder="1" applyProtection="1">
      <protection locked="0"/>
    </xf>
    <xf numFmtId="0" fontId="31" fillId="0" borderId="10" xfId="0" applyFont="1" applyBorder="1" applyAlignment="1" applyProtection="1">
      <alignment vertical="center"/>
      <protection locked="0"/>
    </xf>
    <xf numFmtId="0" fontId="31" fillId="36" borderId="10" xfId="0" applyFont="1" applyFill="1" applyBorder="1" applyAlignment="1" applyProtection="1">
      <alignment vertical="center"/>
      <protection locked="0"/>
    </xf>
    <xf numFmtId="0" fontId="32" fillId="35" borderId="10" xfId="0" applyFont="1" applyFill="1" applyBorder="1" applyAlignment="1" applyProtection="1">
      <alignment vertical="center"/>
      <protection locked="0"/>
    </xf>
    <xf numFmtId="0" fontId="31" fillId="0" borderId="10" xfId="0" applyFont="1" applyBorder="1" applyProtection="1">
      <protection locked="0"/>
    </xf>
    <xf numFmtId="0" fontId="0" fillId="0" borderId="0" xfId="0" applyAlignment="1" applyProtection="1">
      <alignment vertical="top"/>
      <protection locked="0"/>
    </xf>
    <xf numFmtId="0" fontId="32" fillId="42" borderId="45" xfId="0" applyFont="1" applyFill="1" applyBorder="1" applyAlignment="1">
      <alignment horizontal="left" vertical="center"/>
    </xf>
    <xf numFmtId="0" fontId="32" fillId="42" borderId="38" xfId="0" applyFont="1" applyFill="1" applyBorder="1" applyAlignment="1">
      <alignment horizontal="center" vertical="center"/>
    </xf>
    <xf numFmtId="10" fontId="32" fillId="42" borderId="28" xfId="0" quotePrefix="1" applyNumberFormat="1" applyFont="1" applyFill="1" applyBorder="1" applyAlignment="1">
      <alignment horizontal="center" vertical="center"/>
    </xf>
    <xf numFmtId="0" fontId="32" fillId="42" borderId="92" xfId="0" applyFont="1" applyFill="1" applyBorder="1" applyAlignment="1">
      <alignment horizontal="left" vertical="center"/>
    </xf>
    <xf numFmtId="0" fontId="32" fillId="42" borderId="10" xfId="0" applyFont="1" applyFill="1" applyBorder="1" applyAlignment="1">
      <alignment horizontal="center" vertical="center"/>
    </xf>
    <xf numFmtId="10" fontId="32" fillId="42" borderId="40" xfId="0" quotePrefix="1" applyNumberFormat="1" applyFont="1" applyFill="1" applyBorder="1" applyAlignment="1">
      <alignment horizontal="center" vertical="center"/>
    </xf>
    <xf numFmtId="0" fontId="32" fillId="42" borderId="60" xfId="0" applyFont="1" applyFill="1" applyBorder="1" applyAlignment="1">
      <alignment horizontal="left" vertical="center"/>
    </xf>
    <xf numFmtId="0" fontId="32" fillId="42" borderId="43" xfId="0" applyFont="1" applyFill="1" applyBorder="1" applyAlignment="1">
      <alignment horizontal="center" vertical="center"/>
    </xf>
    <xf numFmtId="10" fontId="32" fillId="42" borderId="42" xfId="0" quotePrefix="1" applyNumberFormat="1" applyFont="1" applyFill="1" applyBorder="1" applyAlignment="1">
      <alignment horizontal="center" vertical="center"/>
    </xf>
    <xf numFmtId="14" fontId="31" fillId="42" borderId="10" xfId="0" applyNumberFormat="1" applyFont="1" applyFill="1" applyBorder="1" applyAlignment="1">
      <alignment horizontal="center" vertical="center"/>
    </xf>
    <xf numFmtId="0" fontId="31" fillId="42" borderId="10" xfId="0" applyFont="1" applyFill="1" applyBorder="1" applyAlignment="1">
      <alignment horizontal="center" vertical="center"/>
    </xf>
    <xf numFmtId="0" fontId="32" fillId="35" borderId="10" xfId="0" applyFont="1" applyFill="1" applyBorder="1" applyAlignment="1">
      <alignment horizontal="center" vertical="center"/>
    </xf>
    <xf numFmtId="2" fontId="32" fillId="35" borderId="10" xfId="0" applyNumberFormat="1" applyFont="1" applyFill="1" applyBorder="1" applyAlignment="1">
      <alignment horizontal="center" vertical="center"/>
    </xf>
    <xf numFmtId="2" fontId="31" fillId="42" borderId="10" xfId="0" applyNumberFormat="1" applyFont="1" applyFill="1" applyBorder="1" applyAlignment="1">
      <alignment horizontal="center"/>
    </xf>
    <xf numFmtId="0" fontId="28" fillId="38" borderId="23" xfId="0" applyFont="1" applyFill="1" applyBorder="1" applyAlignment="1">
      <alignment vertical="center"/>
    </xf>
    <xf numFmtId="0" fontId="28" fillId="38" borderId="24" xfId="0" applyFont="1" applyFill="1" applyBorder="1" applyAlignment="1">
      <alignment vertical="center"/>
    </xf>
    <xf numFmtId="0" fontId="28" fillId="38" borderId="25" xfId="0" applyFont="1" applyFill="1" applyBorder="1" applyAlignment="1">
      <alignment vertical="center"/>
    </xf>
    <xf numFmtId="0" fontId="19" fillId="0" borderId="10" xfId="0" applyFont="1" applyBorder="1" applyAlignment="1">
      <alignment horizontal="center"/>
    </xf>
    <xf numFmtId="0" fontId="25" fillId="0" borderId="10" xfId="0" applyFont="1" applyBorder="1" applyAlignment="1">
      <alignment horizontal="center"/>
    </xf>
    <xf numFmtId="0" fontId="47" fillId="0" borderId="10" xfId="0" applyFont="1" applyBorder="1" applyAlignment="1">
      <alignment horizontal="center"/>
    </xf>
    <xf numFmtId="0" fontId="16" fillId="0" borderId="10" xfId="0" applyFont="1" applyBorder="1"/>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2" fillId="36" borderId="10" xfId="0" applyFont="1" applyFill="1" applyBorder="1" applyAlignment="1">
      <alignment vertical="center"/>
    </xf>
    <xf numFmtId="1" fontId="32" fillId="36" borderId="10" xfId="0" applyNumberFormat="1" applyFont="1" applyFill="1" applyBorder="1" applyAlignment="1">
      <alignment horizontal="center" vertical="center"/>
    </xf>
    <xf numFmtId="0" fontId="32" fillId="36" borderId="10" xfId="0" applyFont="1" applyFill="1" applyBorder="1" applyAlignment="1">
      <alignment horizontal="center" vertical="center"/>
    </xf>
    <xf numFmtId="10" fontId="32" fillId="36" borderId="10" xfId="0" applyNumberFormat="1" applyFont="1" applyFill="1" applyBorder="1" applyAlignment="1">
      <alignment horizontal="center" vertical="center"/>
    </xf>
    <xf numFmtId="10" fontId="51" fillId="36" borderId="10" xfId="0" quotePrefix="1" applyNumberFormat="1" applyFont="1" applyFill="1" applyBorder="1" applyAlignment="1">
      <alignment horizontal="center" vertical="center"/>
    </xf>
    <xf numFmtId="2" fontId="32" fillId="36" borderId="10" xfId="0" applyNumberFormat="1" applyFont="1" applyFill="1" applyBorder="1" applyAlignment="1">
      <alignment horizontal="center" vertical="center"/>
    </xf>
    <xf numFmtId="0" fontId="32" fillId="36" borderId="66" xfId="0" applyFont="1" applyFill="1" applyBorder="1" applyAlignment="1">
      <alignment vertical="center"/>
    </xf>
    <xf numFmtId="0" fontId="32" fillId="41" borderId="10" xfId="0" applyFont="1" applyFill="1" applyBorder="1" applyAlignment="1">
      <alignment vertical="center"/>
    </xf>
    <xf numFmtId="0" fontId="32" fillId="41" borderId="10" xfId="0" applyFont="1" applyFill="1" applyBorder="1" applyAlignment="1">
      <alignment horizontal="center" vertical="center"/>
    </xf>
    <xf numFmtId="0" fontId="32" fillId="35" borderId="26" xfId="0" applyFont="1" applyFill="1" applyBorder="1" applyAlignment="1">
      <alignment vertical="center"/>
    </xf>
    <xf numFmtId="0" fontId="32" fillId="41" borderId="63" xfId="0" applyFont="1" applyFill="1" applyBorder="1" applyAlignment="1">
      <alignment horizontal="center" vertical="center"/>
    </xf>
    <xf numFmtId="0" fontId="32" fillId="41" borderId="62" xfId="0" applyFont="1" applyFill="1" applyBorder="1" applyAlignment="1">
      <alignment horizontal="center" vertical="center"/>
    </xf>
    <xf numFmtId="0" fontId="50" fillId="36" borderId="10" xfId="0" applyFont="1" applyFill="1" applyBorder="1" applyAlignment="1">
      <alignment vertical="center"/>
    </xf>
    <xf numFmtId="2" fontId="50" fillId="36" borderId="10" xfId="0" applyNumberFormat="1" applyFont="1" applyFill="1" applyBorder="1" applyAlignment="1">
      <alignment horizontal="center" vertical="center"/>
    </xf>
    <xf numFmtId="10" fontId="50" fillId="36" borderId="10" xfId="0" applyNumberFormat="1" applyFont="1" applyFill="1" applyBorder="1" applyAlignment="1">
      <alignment horizontal="center" vertical="center"/>
    </xf>
    <xf numFmtId="1" fontId="33" fillId="36" borderId="10" xfId="0" applyNumberFormat="1" applyFont="1" applyFill="1" applyBorder="1" applyAlignment="1">
      <alignment horizontal="center" vertical="center"/>
    </xf>
    <xf numFmtId="0" fontId="32" fillId="36" borderId="27" xfId="0" applyFont="1" applyFill="1" applyBorder="1" applyAlignment="1">
      <alignment vertical="center"/>
    </xf>
    <xf numFmtId="1" fontId="33" fillId="36" borderId="27" xfId="0" applyNumberFormat="1" applyFont="1" applyFill="1" applyBorder="1" applyAlignment="1">
      <alignment horizontal="center" vertical="center"/>
    </xf>
    <xf numFmtId="0" fontId="32" fillId="36" borderId="27" xfId="0" applyFont="1" applyFill="1" applyBorder="1" applyAlignment="1">
      <alignment horizontal="center" vertical="center"/>
    </xf>
    <xf numFmtId="2" fontId="0" fillId="0" borderId="10" xfId="0" applyNumberFormat="1" applyBorder="1" applyAlignment="1">
      <alignment horizontal="center"/>
    </xf>
    <xf numFmtId="2" fontId="33" fillId="36" borderId="27" xfId="0" applyNumberFormat="1" applyFont="1" applyFill="1" applyBorder="1" applyAlignment="1">
      <alignment horizontal="center" vertical="center"/>
    </xf>
    <xf numFmtId="2" fontId="32" fillId="36" borderId="27" xfId="0" applyNumberFormat="1" applyFont="1" applyFill="1" applyBorder="1" applyAlignment="1">
      <alignment horizontal="center" vertical="center"/>
    </xf>
    <xf numFmtId="2" fontId="33" fillId="36" borderId="10" xfId="0" applyNumberFormat="1" applyFont="1" applyFill="1" applyBorder="1" applyAlignment="1">
      <alignment horizontal="center" vertical="center"/>
    </xf>
    <xf numFmtId="3" fontId="32" fillId="36" borderId="10" xfId="0" applyNumberFormat="1" applyFont="1" applyFill="1" applyBorder="1" applyAlignment="1">
      <alignment horizontal="center" vertical="center"/>
    </xf>
    <xf numFmtId="0" fontId="32" fillId="36" borderId="0" xfId="0" applyFont="1" applyFill="1" applyAlignment="1">
      <alignment vertical="center"/>
    </xf>
    <xf numFmtId="3" fontId="32" fillId="36" borderId="0" xfId="0" applyNumberFormat="1" applyFont="1" applyFill="1" applyAlignment="1">
      <alignment horizontal="center" vertical="center"/>
    </xf>
    <xf numFmtId="10" fontId="32" fillId="36" borderId="0" xfId="0" applyNumberFormat="1" applyFont="1" applyFill="1" applyAlignment="1">
      <alignment horizontal="center" vertical="center"/>
    </xf>
    <xf numFmtId="2" fontId="32" fillId="36" borderId="66" xfId="0" applyNumberFormat="1" applyFont="1" applyFill="1" applyBorder="1" applyAlignment="1">
      <alignment horizontal="center" vertical="center"/>
    </xf>
    <xf numFmtId="0" fontId="32" fillId="35" borderId="63" xfId="0" applyFont="1" applyFill="1" applyBorder="1" applyAlignment="1">
      <alignment vertical="center"/>
    </xf>
    <xf numFmtId="0" fontId="32" fillId="35" borderId="62" xfId="0" applyFont="1" applyFill="1" applyBorder="1" applyAlignment="1">
      <alignment vertical="center"/>
    </xf>
    <xf numFmtId="10" fontId="32" fillId="36" borderId="27" xfId="0" applyNumberFormat="1" applyFont="1" applyFill="1" applyBorder="1" applyAlignment="1">
      <alignment horizontal="center" vertical="center"/>
    </xf>
    <xf numFmtId="3" fontId="32" fillId="36" borderId="27" xfId="0" applyNumberFormat="1" applyFont="1" applyFill="1" applyBorder="1" applyAlignment="1">
      <alignment horizontal="center" vertical="center"/>
    </xf>
    <xf numFmtId="0" fontId="31" fillId="36" borderId="0" xfId="0" applyFont="1" applyFill="1" applyAlignment="1">
      <alignment vertical="center"/>
    </xf>
    <xf numFmtId="0" fontId="32" fillId="0" borderId="0" xfId="0" applyFont="1" applyAlignment="1">
      <alignment horizontal="center" vertical="center"/>
    </xf>
    <xf numFmtId="0" fontId="50" fillId="36" borderId="10" xfId="0" applyFont="1" applyFill="1" applyBorder="1" applyAlignment="1">
      <alignment horizontal="center" vertical="center"/>
    </xf>
    <xf numFmtId="0" fontId="32" fillId="36" borderId="0" xfId="0" applyFont="1" applyFill="1" applyAlignment="1">
      <alignment horizontal="center" vertical="center"/>
    </xf>
    <xf numFmtId="0" fontId="35" fillId="36" borderId="64" xfId="0" applyFont="1" applyFill="1" applyBorder="1" applyAlignment="1">
      <alignment horizontal="center" vertical="center"/>
    </xf>
    <xf numFmtId="0" fontId="35" fillId="36" borderId="65" xfId="0" applyFont="1" applyFill="1" applyBorder="1" applyAlignment="1">
      <alignment horizontal="center" vertical="center"/>
    </xf>
    <xf numFmtId="0" fontId="35" fillId="36" borderId="77" xfId="0" applyFont="1" applyFill="1" applyBorder="1" applyAlignment="1">
      <alignment horizontal="center" vertical="center"/>
    </xf>
    <xf numFmtId="0" fontId="35" fillId="36" borderId="67" xfId="0" applyFont="1" applyFill="1" applyBorder="1" applyAlignment="1">
      <alignment horizontal="center" vertical="center"/>
    </xf>
    <xf numFmtId="0" fontId="0" fillId="0" borderId="26" xfId="0" applyBorder="1" applyAlignment="1" applyProtection="1">
      <alignment horizontal="center"/>
      <protection locked="0"/>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65" fillId="0" borderId="0" xfId="0" applyFont="1" applyProtection="1">
      <protection locked="0"/>
    </xf>
    <xf numFmtId="0" fontId="58" fillId="47" borderId="79" xfId="47" applyFont="1" applyFill="1" applyBorder="1" applyAlignment="1" applyProtection="1">
      <alignment vertical="center" wrapText="1"/>
      <protection locked="0"/>
    </xf>
    <xf numFmtId="0" fontId="58" fillId="47" borderId="80" xfId="47" applyFont="1" applyFill="1" applyBorder="1" applyAlignment="1" applyProtection="1">
      <alignment vertical="center" wrapText="1"/>
      <protection locked="0"/>
    </xf>
    <xf numFmtId="0" fontId="58" fillId="47" borderId="80" xfId="47" applyFont="1" applyFill="1" applyBorder="1" applyAlignment="1" applyProtection="1">
      <alignment vertical="center"/>
      <protection locked="0"/>
    </xf>
    <xf numFmtId="0" fontId="57" fillId="47" borderId="80" xfId="47" applyFont="1" applyFill="1" applyBorder="1" applyAlignment="1" applyProtection="1">
      <alignment horizontal="center" vertical="center" wrapText="1"/>
      <protection locked="0"/>
    </xf>
    <xf numFmtId="0" fontId="58" fillId="47" borderId="80" xfId="47" applyFont="1" applyFill="1" applyBorder="1" applyAlignment="1" applyProtection="1">
      <alignment horizontal="center" vertical="center" wrapText="1"/>
      <protection locked="0"/>
    </xf>
    <xf numFmtId="0" fontId="58" fillId="47" borderId="81" xfId="47" applyFont="1" applyFill="1" applyBorder="1" applyAlignment="1" applyProtection="1">
      <alignment horizontal="center" vertical="center" wrapText="1"/>
      <protection locked="0"/>
    </xf>
    <xf numFmtId="0" fontId="58" fillId="46" borderId="0" xfId="47" applyFont="1" applyFill="1" applyAlignment="1" applyProtection="1">
      <alignment horizontal="center" vertical="center" wrapText="1"/>
      <protection locked="0"/>
    </xf>
    <xf numFmtId="0" fontId="58" fillId="47" borderId="79" xfId="47" applyFont="1" applyFill="1" applyBorder="1" applyAlignment="1" applyProtection="1">
      <alignment horizontal="center" vertical="center"/>
      <protection locked="0"/>
    </xf>
    <xf numFmtId="0" fontId="58" fillId="46" borderId="0" xfId="47" applyFont="1" applyFill="1" applyAlignment="1" applyProtection="1">
      <alignment horizontal="center" vertical="center"/>
      <protection locked="0"/>
    </xf>
    <xf numFmtId="0" fontId="58" fillId="47" borderId="79" xfId="47" applyFont="1" applyFill="1" applyBorder="1" applyAlignment="1" applyProtection="1">
      <alignment horizontal="left" vertical="center"/>
      <protection locked="0"/>
    </xf>
    <xf numFmtId="0" fontId="58" fillId="47" borderId="80" xfId="47" applyFont="1" applyFill="1" applyBorder="1" applyAlignment="1" applyProtection="1">
      <alignment horizontal="center" vertical="center"/>
      <protection locked="0"/>
    </xf>
    <xf numFmtId="0" fontId="58" fillId="47" borderId="80" xfId="47" applyFont="1" applyFill="1" applyBorder="1" applyAlignment="1" applyProtection="1">
      <alignment horizontal="left" vertical="center"/>
      <protection locked="0"/>
    </xf>
    <xf numFmtId="0" fontId="58" fillId="47" borderId="81" xfId="47" applyFont="1" applyFill="1" applyBorder="1" applyAlignment="1" applyProtection="1">
      <alignment horizontal="center" vertical="center"/>
      <protection locked="0"/>
    </xf>
    <xf numFmtId="0" fontId="64" fillId="0" borderId="0" xfId="47" applyFont="1" applyAlignment="1" applyProtection="1">
      <alignment horizontal="center" vertical="center"/>
      <protection locked="0"/>
    </xf>
    <xf numFmtId="0" fontId="64" fillId="0" borderId="0" xfId="0" applyFont="1" applyAlignment="1" applyProtection="1">
      <alignment vertical="center"/>
      <protection locked="0"/>
    </xf>
    <xf numFmtId="0" fontId="49" fillId="0" borderId="0" xfId="0" applyFont="1" applyAlignment="1" applyProtection="1">
      <alignment vertical="center"/>
      <protection locked="0"/>
    </xf>
    <xf numFmtId="0" fontId="57" fillId="33" borderId="79" xfId="47" applyFont="1" applyFill="1" applyBorder="1" applyAlignment="1" applyProtection="1">
      <alignment horizontal="left" vertical="center"/>
      <protection locked="0"/>
    </xf>
    <xf numFmtId="0" fontId="57"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wrapText="1"/>
      <protection locked="0"/>
    </xf>
    <xf numFmtId="0" fontId="59" fillId="33" borderId="80" xfId="47" applyFont="1" applyFill="1" applyBorder="1" applyAlignment="1" applyProtection="1">
      <alignment vertical="center" wrapText="1"/>
      <protection locked="0"/>
    </xf>
    <xf numFmtId="0" fontId="60" fillId="33" borderId="80" xfId="47" applyFont="1" applyFill="1" applyBorder="1" applyAlignment="1" applyProtection="1">
      <alignment horizontal="left" vertical="center" wrapText="1"/>
      <protection locked="0"/>
    </xf>
    <xf numFmtId="0" fontId="61" fillId="33" borderId="80" xfId="47" applyFont="1" applyFill="1" applyBorder="1" applyAlignment="1" applyProtection="1">
      <alignment horizontal="center" vertical="center" wrapText="1"/>
      <protection locked="0"/>
    </xf>
    <xf numFmtId="0" fontId="59" fillId="33" borderId="80" xfId="47" applyFont="1" applyFill="1" applyBorder="1" applyAlignment="1" applyProtection="1">
      <alignment horizontal="center" vertical="center"/>
      <protection locked="0"/>
    </xf>
    <xf numFmtId="0" fontId="62" fillId="33" borderId="80" xfId="47" applyFont="1" applyFill="1" applyBorder="1" applyAlignment="1" applyProtection="1">
      <alignment horizontal="center" vertical="center"/>
      <protection locked="0"/>
    </xf>
    <xf numFmtId="0" fontId="60" fillId="33" borderId="80" xfId="47" quotePrefix="1" applyFont="1" applyFill="1" applyBorder="1" applyAlignment="1" applyProtection="1">
      <alignment horizontal="center" vertical="center"/>
      <protection locked="0"/>
    </xf>
    <xf numFmtId="0" fontId="60" fillId="33" borderId="81" xfId="47" applyFont="1" applyFill="1" applyBorder="1" applyAlignment="1" applyProtection="1">
      <alignment horizontal="center" vertical="center"/>
      <protection locked="0"/>
    </xf>
    <xf numFmtId="167" fontId="60" fillId="46" borderId="0" xfId="43" quotePrefix="1" applyNumberFormat="1" applyFont="1" applyFill="1" applyBorder="1" applyAlignment="1" applyProtection="1">
      <alignment horizontal="center" vertical="center"/>
      <protection locked="0"/>
    </xf>
    <xf numFmtId="0" fontId="60" fillId="45" borderId="79" xfId="47" quotePrefix="1" applyFont="1" applyFill="1" applyBorder="1" applyAlignment="1" applyProtection="1">
      <alignment horizontal="center" vertical="center"/>
      <protection locked="0"/>
    </xf>
    <xf numFmtId="42" fontId="60" fillId="45" borderId="80" xfId="43" quotePrefix="1" applyNumberFormat="1" applyFont="1" applyFill="1" applyBorder="1" applyAlignment="1" applyProtection="1">
      <alignment horizontal="center" vertical="center"/>
      <protection locked="0"/>
    </xf>
    <xf numFmtId="167" fontId="60" fillId="45" borderId="80" xfId="43" quotePrefix="1" applyNumberFormat="1" applyFont="1" applyFill="1" applyBorder="1" applyAlignment="1" applyProtection="1">
      <alignment horizontal="center" vertical="center"/>
      <protection locked="0"/>
    </xf>
    <xf numFmtId="167" fontId="60" fillId="45" borderId="81" xfId="43" quotePrefix="1" applyNumberFormat="1" applyFont="1" applyFill="1" applyBorder="1" applyAlignment="1" applyProtection="1">
      <alignment horizontal="center" vertical="center"/>
      <protection locked="0"/>
    </xf>
    <xf numFmtId="0" fontId="60" fillId="45" borderId="79" xfId="47" applyFont="1" applyFill="1" applyBorder="1" applyAlignment="1" applyProtection="1">
      <alignment horizontal="left" vertical="center"/>
      <protection locked="0"/>
    </xf>
    <xf numFmtId="0" fontId="60" fillId="45" borderId="80" xfId="47" applyFont="1" applyFill="1" applyBorder="1" applyAlignment="1" applyProtection="1">
      <alignment horizontal="center" vertical="center"/>
      <protection locked="0"/>
    </xf>
    <xf numFmtId="0" fontId="60" fillId="45" borderId="80" xfId="0" applyFont="1" applyFill="1" applyBorder="1" applyAlignment="1" applyProtection="1">
      <alignment horizontal="center" vertical="center"/>
      <protection locked="0"/>
    </xf>
    <xf numFmtId="0" fontId="60" fillId="45" borderId="80" xfId="47" applyFont="1" applyFill="1" applyBorder="1" applyAlignment="1" applyProtection="1">
      <alignment horizontal="left" vertical="center"/>
      <protection locked="0"/>
    </xf>
    <xf numFmtId="49" fontId="63" fillId="45" borderId="80" xfId="44" applyNumberFormat="1" applyFont="1" applyFill="1" applyBorder="1" applyAlignment="1" applyProtection="1">
      <alignment horizontal="center" vertical="center"/>
      <protection locked="0"/>
    </xf>
    <xf numFmtId="49" fontId="63" fillId="45" borderId="81" xfId="44" applyNumberFormat="1" applyFont="1" applyFill="1" applyBorder="1" applyAlignment="1" applyProtection="1">
      <alignment horizontal="center" vertical="center"/>
      <protection locked="0"/>
    </xf>
    <xf numFmtId="0" fontId="57" fillId="0" borderId="0" xfId="47" applyFont="1" applyAlignment="1" applyProtection="1">
      <alignment horizontal="left" vertical="center"/>
      <protection locked="0"/>
    </xf>
    <xf numFmtId="0" fontId="58" fillId="0" borderId="0" xfId="47" applyFont="1" applyAlignment="1" applyProtection="1">
      <alignment horizontal="left" vertical="center"/>
      <protection locked="0"/>
    </xf>
    <xf numFmtId="0" fontId="58" fillId="0" borderId="0" xfId="47" applyFont="1" applyAlignment="1" applyProtection="1">
      <alignment horizontal="left" vertical="center" wrapText="1"/>
      <protection locked="0"/>
    </xf>
    <xf numFmtId="0" fontId="59" fillId="0" borderId="0" xfId="47" applyFont="1" applyAlignment="1" applyProtection="1">
      <alignment vertical="center" wrapText="1"/>
      <protection locked="0"/>
    </xf>
    <xf numFmtId="0" fontId="60" fillId="0" borderId="0" xfId="47" applyFont="1" applyAlignment="1" applyProtection="1">
      <alignment horizontal="left" vertical="center" wrapText="1"/>
      <protection locked="0"/>
    </xf>
    <xf numFmtId="0" fontId="61" fillId="0" borderId="0" xfId="47" applyFont="1" applyAlignment="1" applyProtection="1">
      <alignment horizontal="center" vertical="center" wrapText="1"/>
      <protection locked="0"/>
    </xf>
    <xf numFmtId="0" fontId="59" fillId="0" borderId="0" xfId="47" applyFont="1" applyAlignment="1" applyProtection="1">
      <alignment horizontal="center" vertical="center"/>
      <protection locked="0"/>
    </xf>
    <xf numFmtId="0" fontId="62" fillId="0" borderId="0" xfId="47" applyFont="1" applyAlignment="1" applyProtection="1">
      <alignment horizontal="center" vertical="center"/>
      <protection locked="0"/>
    </xf>
    <xf numFmtId="0" fontId="60" fillId="0" borderId="0" xfId="47" quotePrefix="1" applyFont="1" applyAlignment="1" applyProtection="1">
      <alignment horizontal="center" vertical="center"/>
      <protection locked="0"/>
    </xf>
    <xf numFmtId="0" fontId="60" fillId="0" borderId="0" xfId="47" applyFont="1" applyAlignment="1" applyProtection="1">
      <alignment horizontal="center" vertical="center"/>
      <protection locked="0"/>
    </xf>
    <xf numFmtId="167" fontId="60" fillId="0" borderId="0" xfId="43" quotePrefix="1" applyNumberFormat="1" applyFont="1" applyFill="1" applyBorder="1" applyAlignment="1" applyProtection="1">
      <alignment horizontal="center" vertical="center"/>
      <protection locked="0"/>
    </xf>
    <xf numFmtId="42" fontId="60" fillId="0" borderId="0" xfId="43" quotePrefix="1" applyNumberFormat="1" applyFont="1" applyFill="1" applyBorder="1" applyAlignment="1" applyProtection="1">
      <alignment horizontal="center" vertical="center"/>
      <protection locked="0"/>
    </xf>
    <xf numFmtId="0" fontId="60" fillId="0" borderId="0" xfId="47" applyFont="1" applyAlignment="1" applyProtection="1">
      <alignment horizontal="left" vertical="center"/>
      <protection locked="0"/>
    </xf>
    <xf numFmtId="0" fontId="60" fillId="0" borderId="0" xfId="0" applyFont="1" applyAlignment="1" applyProtection="1">
      <alignment horizontal="center" vertical="center"/>
      <protection locked="0"/>
    </xf>
    <xf numFmtId="49" fontId="63" fillId="0" borderId="0" xfId="44" applyNumberFormat="1" applyFont="1" applyAlignment="1" applyProtection="1">
      <alignment horizontal="center" vertical="center"/>
      <protection locked="0"/>
    </xf>
    <xf numFmtId="0" fontId="16" fillId="38" borderId="31" xfId="0" applyFont="1" applyFill="1" applyBorder="1" applyAlignment="1" applyProtection="1">
      <alignment horizontal="center"/>
      <protection locked="0"/>
    </xf>
    <xf numFmtId="0" fontId="65" fillId="38" borderId="31" xfId="0" applyFont="1" applyFill="1" applyBorder="1" applyAlignment="1" applyProtection="1">
      <alignment vertical="center"/>
      <protection locked="0"/>
    </xf>
    <xf numFmtId="0" fontId="65" fillId="38" borderId="87" xfId="0" applyFont="1" applyFill="1" applyBorder="1" applyAlignment="1" applyProtection="1">
      <alignment vertical="center"/>
      <protection locked="0"/>
    </xf>
    <xf numFmtId="0" fontId="65" fillId="38" borderId="73" xfId="0" applyFont="1" applyFill="1" applyBorder="1" applyAlignment="1" applyProtection="1">
      <alignment vertical="center"/>
      <protection locked="0"/>
    </xf>
    <xf numFmtId="0" fontId="16" fillId="0" borderId="32" xfId="0" applyFont="1" applyBorder="1" applyProtection="1">
      <protection locked="0"/>
    </xf>
    <xf numFmtId="0" fontId="0" fillId="33" borderId="36" xfId="0" applyFill="1" applyBorder="1" applyAlignment="1" applyProtection="1">
      <alignment horizontal="center"/>
      <protection locked="0"/>
    </xf>
    <xf numFmtId="0" fontId="0" fillId="42" borderId="34" xfId="0" applyFill="1" applyBorder="1" applyAlignment="1" applyProtection="1">
      <alignment horizontal="center"/>
      <protection locked="0"/>
    </xf>
    <xf numFmtId="0" fontId="0" fillId="33" borderId="33" xfId="0" applyFill="1" applyBorder="1" applyProtection="1">
      <protection locked="0"/>
    </xf>
    <xf numFmtId="0" fontId="16" fillId="0" borderId="0" xfId="0" applyFont="1" applyAlignment="1" applyProtection="1">
      <alignment horizontal="left" vertical="top"/>
      <protection locked="0"/>
    </xf>
    <xf numFmtId="0" fontId="0" fillId="0" borderId="0" xfId="0" applyAlignment="1" applyProtection="1">
      <alignment horizontal="left" vertical="top" wrapText="1"/>
      <protection locked="0"/>
    </xf>
    <xf numFmtId="0" fontId="0" fillId="33" borderId="33" xfId="0" applyFill="1" applyBorder="1" applyAlignment="1" applyProtection="1">
      <alignment horizontal="left"/>
      <protection locked="0"/>
    </xf>
    <xf numFmtId="0" fontId="0" fillId="33" borderId="72" xfId="0" applyFill="1" applyBorder="1" applyProtection="1">
      <protection locked="0"/>
    </xf>
    <xf numFmtId="0" fontId="0" fillId="33" borderId="82" xfId="0" applyFill="1" applyBorder="1" applyProtection="1">
      <protection locked="0"/>
    </xf>
    <xf numFmtId="0" fontId="66" fillId="0" borderId="0" xfId="47" applyFont="1" applyAlignment="1" applyProtection="1">
      <alignment horizontal="left" vertical="center" wrapText="1"/>
      <protection locked="0"/>
    </xf>
    <xf numFmtId="0" fontId="66" fillId="0" borderId="0" xfId="47" applyFont="1" applyAlignment="1" applyProtection="1">
      <alignment horizontal="left" vertical="center"/>
      <protection locked="0"/>
    </xf>
    <xf numFmtId="0" fontId="0" fillId="33" borderId="35" xfId="0" applyFill="1" applyBorder="1" applyAlignment="1" applyProtection="1">
      <alignment horizontal="left"/>
      <protection locked="0"/>
    </xf>
    <xf numFmtId="0" fontId="66" fillId="0" borderId="0" xfId="47" applyFont="1" applyAlignment="1" applyProtection="1">
      <alignment vertical="center"/>
      <protection locked="0"/>
    </xf>
    <xf numFmtId="0" fontId="66" fillId="0" borderId="0" xfId="0" applyFont="1" applyProtection="1">
      <protection locked="0"/>
    </xf>
    <xf numFmtId="0" fontId="0" fillId="0" borderId="0" xfId="0" applyAlignment="1" applyProtection="1">
      <alignment vertical="center"/>
      <protection locked="0"/>
    </xf>
    <xf numFmtId="0" fontId="0" fillId="42" borderId="14" xfId="0" applyFill="1" applyBorder="1" applyAlignment="1" applyProtection="1">
      <alignment vertical="center"/>
      <protection locked="0"/>
    </xf>
    <xf numFmtId="0" fontId="0" fillId="42" borderId="49" xfId="0" applyFill="1" applyBorder="1" applyAlignment="1" applyProtection="1">
      <alignment vertical="center" wrapText="1"/>
      <protection locked="0"/>
    </xf>
    <xf numFmtId="9" fontId="32" fillId="42" borderId="36" xfId="0" applyNumberFormat="1" applyFont="1" applyFill="1" applyBorder="1" applyAlignment="1">
      <alignment horizontal="center" vertical="center"/>
    </xf>
    <xf numFmtId="9" fontId="32" fillId="42" borderId="32" xfId="0" applyNumberFormat="1" applyFont="1" applyFill="1" applyBorder="1" applyAlignment="1">
      <alignment horizontal="center" vertical="center"/>
    </xf>
    <xf numFmtId="9" fontId="32" fillId="42" borderId="76" xfId="0" applyNumberFormat="1" applyFont="1" applyFill="1" applyBorder="1" applyAlignment="1">
      <alignment horizontal="center" vertical="center"/>
    </xf>
    <xf numFmtId="9" fontId="32" fillId="42" borderId="85" xfId="0" applyNumberFormat="1" applyFont="1" applyFill="1" applyBorder="1" applyAlignment="1">
      <alignment horizontal="center" vertical="center"/>
    </xf>
    <xf numFmtId="9" fontId="32" fillId="42" borderId="29" xfId="0" applyNumberFormat="1" applyFont="1" applyFill="1" applyBorder="1" applyAlignment="1">
      <alignment horizontal="center" vertical="center"/>
    </xf>
    <xf numFmtId="0" fontId="66" fillId="0" borderId="36" xfId="47" applyFont="1" applyBorder="1" applyAlignment="1">
      <alignment horizontal="left" vertical="center"/>
    </xf>
    <xf numFmtId="0" fontId="48" fillId="42" borderId="88" xfId="0" applyFont="1" applyFill="1" applyBorder="1" applyAlignment="1">
      <alignment vertical="center"/>
    </xf>
    <xf numFmtId="0" fontId="48" fillId="42" borderId="84" xfId="0" applyFont="1" applyFill="1" applyBorder="1" applyAlignment="1">
      <alignment vertical="center"/>
    </xf>
    <xf numFmtId="0" fontId="66" fillId="0" borderId="32" xfId="47" applyFont="1" applyBorder="1" applyAlignment="1">
      <alignment horizontal="left" vertical="center"/>
    </xf>
    <xf numFmtId="0" fontId="48" fillId="42" borderId="62" xfId="0" applyFont="1" applyFill="1" applyBorder="1" applyAlignment="1">
      <alignment vertical="center"/>
    </xf>
    <xf numFmtId="0" fontId="48" fillId="42" borderId="26" xfId="0" applyFont="1" applyFill="1" applyBorder="1" applyAlignment="1">
      <alignment vertical="center"/>
    </xf>
    <xf numFmtId="0" fontId="48" fillId="42" borderId="62" xfId="0" applyFont="1" applyFill="1" applyBorder="1"/>
    <xf numFmtId="0" fontId="48" fillId="42" borderId="26" xfId="0" applyFont="1" applyFill="1" applyBorder="1"/>
    <xf numFmtId="0" fontId="66" fillId="0" borderId="32" xfId="47" applyFont="1" applyBorder="1" applyAlignment="1">
      <alignment vertical="center"/>
    </xf>
    <xf numFmtId="0" fontId="66" fillId="0" borderId="34" xfId="47" applyFont="1" applyBorder="1" applyAlignment="1">
      <alignment vertical="center"/>
    </xf>
    <xf numFmtId="0" fontId="48" fillId="42" borderId="89" xfId="0" applyFont="1" applyFill="1" applyBorder="1"/>
    <xf numFmtId="0" fontId="48" fillId="42" borderId="83" xfId="0" applyFont="1" applyFill="1" applyBorder="1"/>
    <xf numFmtId="0" fontId="66" fillId="0" borderId="29" xfId="47" applyFont="1" applyBorder="1" applyAlignment="1">
      <alignment horizontal="left" vertical="center"/>
    </xf>
    <xf numFmtId="0" fontId="0" fillId="42" borderId="47" xfId="0" applyFill="1" applyBorder="1"/>
    <xf numFmtId="0" fontId="0" fillId="42" borderId="33" xfId="0" applyFill="1" applyBorder="1"/>
    <xf numFmtId="0" fontId="0" fillId="42" borderId="35" xfId="0" applyFill="1" applyBorder="1"/>
    <xf numFmtId="0" fontId="54" fillId="42" borderId="33" xfId="45" applyFill="1" applyBorder="1" applyProtection="1"/>
    <xf numFmtId="0" fontId="0" fillId="42" borderId="25" xfId="0" applyFill="1" applyBorder="1"/>
    <xf numFmtId="0" fontId="0" fillId="42" borderId="47" xfId="0" applyFill="1" applyBorder="1" applyAlignment="1">
      <alignment horizontal="left"/>
    </xf>
    <xf numFmtId="0" fontId="0" fillId="0" borderId="29" xfId="0" applyBorder="1" applyAlignment="1">
      <alignment wrapText="1"/>
    </xf>
    <xf numFmtId="0" fontId="0" fillId="0" borderId="29" xfId="0" applyBorder="1" applyAlignment="1">
      <alignment horizontal="center" wrapText="1"/>
    </xf>
    <xf numFmtId="0" fontId="0" fillId="0" borderId="36" xfId="0" applyBorder="1"/>
    <xf numFmtId="0" fontId="18" fillId="42" borderId="36" xfId="0" applyFont="1" applyFill="1" applyBorder="1"/>
    <xf numFmtId="14" fontId="18" fillId="42" borderId="36" xfId="0" applyNumberFormat="1" applyFont="1" applyFill="1" applyBorder="1" applyAlignment="1">
      <alignment horizontal="center"/>
    </xf>
    <xf numFmtId="0" fontId="0" fillId="0" borderId="32" xfId="0" applyBorder="1"/>
    <xf numFmtId="0" fontId="18" fillId="42" borderId="32" xfId="0" applyFont="1" applyFill="1" applyBorder="1"/>
    <xf numFmtId="14" fontId="18" fillId="42" borderId="32" xfId="0" applyNumberFormat="1" applyFont="1" applyFill="1" applyBorder="1" applyAlignment="1">
      <alignment horizontal="center"/>
    </xf>
    <xf numFmtId="0" fontId="0" fillId="0" borderId="34" xfId="0" applyBorder="1"/>
    <xf numFmtId="0" fontId="18" fillId="42" borderId="34" xfId="0" applyFont="1" applyFill="1" applyBorder="1"/>
    <xf numFmtId="14" fontId="18" fillId="42" borderId="34" xfId="0" applyNumberFormat="1" applyFont="1" applyFill="1" applyBorder="1" applyAlignment="1">
      <alignment horizontal="center"/>
    </xf>
    <xf numFmtId="0" fontId="0" fillId="42" borderId="36" xfId="0" applyFill="1" applyBorder="1"/>
    <xf numFmtId="14" fontId="0" fillId="0" borderId="36" xfId="0" applyNumberFormat="1" applyBorder="1" applyAlignment="1">
      <alignment horizontal="center" wrapText="1"/>
    </xf>
    <xf numFmtId="0" fontId="0" fillId="42" borderId="32" xfId="0" applyFill="1" applyBorder="1"/>
    <xf numFmtId="14" fontId="0" fillId="0" borderId="32" xfId="0" applyNumberFormat="1" applyBorder="1" applyAlignment="1">
      <alignment horizontal="center" wrapText="1"/>
    </xf>
    <xf numFmtId="0" fontId="0" fillId="42" borderId="34" xfId="0" applyFill="1" applyBorder="1"/>
    <xf numFmtId="14" fontId="0" fillId="0" borderId="34" xfId="0" applyNumberFormat="1" applyBorder="1" applyAlignment="1">
      <alignment horizontal="center" wrapText="1"/>
    </xf>
    <xf numFmtId="0" fontId="18" fillId="0" borderId="0" xfId="0" applyFont="1"/>
    <xf numFmtId="0" fontId="16" fillId="49" borderId="23" xfId="0" applyFont="1" applyFill="1" applyBorder="1"/>
    <xf numFmtId="0" fontId="16" fillId="49" borderId="20" xfId="0" applyFont="1" applyFill="1" applyBorder="1"/>
    <xf numFmtId="3" fontId="0" fillId="33" borderId="88" xfId="0" applyNumberFormat="1" applyFill="1" applyBorder="1" applyAlignment="1" applyProtection="1">
      <alignment horizontal="center" vertical="center"/>
      <protection locked="0"/>
    </xf>
    <xf numFmtId="3" fontId="0" fillId="33" borderId="38" xfId="0" applyNumberFormat="1" applyFill="1" applyBorder="1" applyAlignment="1" applyProtection="1">
      <alignment horizontal="center" vertical="center"/>
      <protection locked="0"/>
    </xf>
    <xf numFmtId="3" fontId="0" fillId="33" borderId="39" xfId="0" applyNumberFormat="1" applyFill="1" applyBorder="1" applyAlignment="1" applyProtection="1">
      <alignment horizontal="center" vertical="center"/>
      <protection locked="0"/>
    </xf>
    <xf numFmtId="3" fontId="0" fillId="33" borderId="10" xfId="0" applyNumberFormat="1" applyFill="1" applyBorder="1" applyAlignment="1" applyProtection="1">
      <alignment horizontal="center" vertical="center"/>
      <protection locked="0"/>
    </xf>
    <xf numFmtId="3" fontId="0" fillId="33" borderId="62" xfId="0" applyNumberFormat="1" applyFill="1" applyBorder="1" applyAlignment="1" applyProtection="1">
      <alignment horizontal="center" vertical="center"/>
      <protection locked="0"/>
    </xf>
    <xf numFmtId="3" fontId="0" fillId="33" borderId="64" xfId="0" applyNumberFormat="1" applyFill="1" applyBorder="1" applyAlignment="1" applyProtection="1">
      <alignment horizontal="center" vertical="center"/>
      <protection locked="0"/>
    </xf>
    <xf numFmtId="3" fontId="0" fillId="33" borderId="66" xfId="0" applyNumberFormat="1" applyFill="1" applyBorder="1" applyAlignment="1" applyProtection="1">
      <alignment horizontal="center" vertical="center"/>
      <protection locked="0"/>
    </xf>
    <xf numFmtId="3" fontId="0" fillId="33" borderId="89" xfId="0" applyNumberFormat="1" applyFill="1" applyBorder="1" applyAlignment="1" applyProtection="1">
      <alignment horizontal="center" vertical="center"/>
      <protection locked="0"/>
    </xf>
    <xf numFmtId="3" fontId="0" fillId="33" borderId="43" xfId="0" applyNumberFormat="1" applyFill="1" applyBorder="1" applyAlignment="1" applyProtection="1">
      <alignment horizontal="center" vertical="center"/>
      <protection locked="0"/>
    </xf>
    <xf numFmtId="3" fontId="0" fillId="33" borderId="37" xfId="0" applyNumberFormat="1" applyFill="1" applyBorder="1" applyAlignment="1" applyProtection="1">
      <alignment horizontal="center" vertical="center"/>
      <protection locked="0"/>
    </xf>
    <xf numFmtId="3" fontId="0" fillId="33" borderId="57" xfId="0" applyNumberFormat="1" applyFill="1" applyBorder="1" applyAlignment="1" applyProtection="1">
      <alignment horizontal="center" vertical="center"/>
      <protection locked="0"/>
    </xf>
    <xf numFmtId="3" fontId="0" fillId="33" borderId="41" xfId="0" applyNumberFormat="1" applyFill="1" applyBorder="1" applyAlignment="1" applyProtection="1">
      <alignment horizontal="center" vertical="center"/>
      <protection locked="0"/>
    </xf>
    <xf numFmtId="0" fontId="0" fillId="42" borderId="63" xfId="0" applyFill="1" applyBorder="1" applyAlignment="1">
      <alignment horizontal="left" vertical="center"/>
    </xf>
    <xf numFmtId="0" fontId="32" fillId="33" borderId="37" xfId="0" applyFont="1" applyFill="1" applyBorder="1" applyAlignment="1" applyProtection="1">
      <alignment horizontal="left" vertical="center"/>
      <protection locked="0"/>
    </xf>
    <xf numFmtId="0" fontId="32" fillId="33" borderId="38" xfId="0" applyFont="1" applyFill="1" applyBorder="1" applyAlignment="1" applyProtection="1">
      <alignment horizontal="center" vertical="center"/>
      <protection locked="0"/>
    </xf>
    <xf numFmtId="0" fontId="0" fillId="42" borderId="28" xfId="0" applyFill="1" applyBorder="1" applyAlignment="1">
      <alignment horizontal="left" wrapText="1"/>
    </xf>
    <xf numFmtId="166" fontId="0" fillId="42" borderId="40" xfId="0" applyNumberFormat="1" applyFill="1" applyBorder="1" applyAlignment="1">
      <alignment horizontal="left" wrapText="1"/>
    </xf>
    <xf numFmtId="14" fontId="0" fillId="42" borderId="42" xfId="0" applyNumberFormat="1" applyFill="1" applyBorder="1" applyAlignment="1">
      <alignment horizontal="left" wrapText="1"/>
    </xf>
    <xf numFmtId="0" fontId="0" fillId="42" borderId="28" xfId="0" applyFill="1" applyBorder="1" applyAlignment="1">
      <alignment wrapText="1"/>
    </xf>
    <xf numFmtId="0" fontId="0" fillId="42" borderId="40" xfId="0" applyFill="1" applyBorder="1" applyAlignment="1">
      <alignment horizontal="left" wrapText="1"/>
    </xf>
    <xf numFmtId="0" fontId="0" fillId="42" borderId="42" xfId="0" applyFill="1" applyBorder="1" applyAlignment="1">
      <alignment horizontal="left" wrapText="1"/>
    </xf>
    <xf numFmtId="164" fontId="0" fillId="42" borderId="40" xfId="0" applyNumberFormat="1" applyFill="1" applyBorder="1" applyAlignment="1">
      <alignment horizontal="center"/>
    </xf>
    <xf numFmtId="164" fontId="0" fillId="42" borderId="44" xfId="0" applyNumberFormat="1" applyFill="1" applyBorder="1" applyAlignment="1">
      <alignment horizontal="center"/>
    </xf>
    <xf numFmtId="164" fontId="0" fillId="42" borderId="74" xfId="0" applyNumberFormat="1" applyFill="1" applyBorder="1" applyAlignment="1">
      <alignment horizontal="center"/>
    </xf>
    <xf numFmtId="0" fontId="0" fillId="42" borderId="44" xfId="0" applyFill="1" applyBorder="1" applyAlignment="1">
      <alignment horizontal="center"/>
    </xf>
    <xf numFmtId="0" fontId="0" fillId="42" borderId="74" xfId="0" applyFill="1" applyBorder="1" applyAlignment="1">
      <alignment horizontal="center"/>
    </xf>
    <xf numFmtId="0" fontId="53" fillId="36" borderId="0" xfId="0" applyFont="1" applyFill="1" applyAlignment="1">
      <alignment vertical="top"/>
    </xf>
    <xf numFmtId="0" fontId="0" fillId="36" borderId="0" xfId="0" applyFill="1"/>
    <xf numFmtId="0" fontId="0" fillId="36" borderId="29" xfId="0" applyFill="1" applyBorder="1" applyAlignment="1">
      <alignment wrapText="1"/>
    </xf>
    <xf numFmtId="0" fontId="0" fillId="36" borderId="12" xfId="0" applyFill="1" applyBorder="1" applyAlignment="1">
      <alignment horizontal="center" wrapText="1"/>
    </xf>
    <xf numFmtId="0" fontId="0" fillId="36" borderId="14" xfId="0" applyFill="1" applyBorder="1" applyAlignment="1">
      <alignment horizontal="center" wrapText="1"/>
    </xf>
    <xf numFmtId="0" fontId="0" fillId="36" borderId="76" xfId="0" applyFill="1" applyBorder="1"/>
    <xf numFmtId="0" fontId="0" fillId="36" borderId="32" xfId="0" applyFill="1" applyBorder="1"/>
    <xf numFmtId="0" fontId="0" fillId="36" borderId="34" xfId="0" applyFill="1" applyBorder="1"/>
    <xf numFmtId="0" fontId="19" fillId="33" borderId="44" xfId="0" applyFont="1" applyFill="1" applyBorder="1" applyAlignment="1">
      <alignment horizontal="center"/>
    </xf>
    <xf numFmtId="0" fontId="25" fillId="33" borderId="74" xfId="0" applyFont="1" applyFill="1" applyBorder="1" applyAlignment="1">
      <alignment horizontal="center"/>
    </xf>
    <xf numFmtId="0" fontId="19" fillId="33" borderId="39" xfId="0" applyFont="1" applyFill="1" applyBorder="1" applyAlignment="1">
      <alignment horizontal="center"/>
    </xf>
    <xf numFmtId="0" fontId="25" fillId="33" borderId="40" xfId="0" applyFont="1" applyFill="1" applyBorder="1" applyAlignment="1">
      <alignment horizontal="center"/>
    </xf>
    <xf numFmtId="0" fontId="0" fillId="50" borderId="63" xfId="0" applyFill="1" applyBorder="1" applyAlignment="1" applyProtection="1">
      <alignment horizontal="left" vertical="center"/>
      <protection locked="0"/>
    </xf>
    <xf numFmtId="22" fontId="0" fillId="0" borderId="0" xfId="0" applyNumberFormat="1" applyProtection="1">
      <protection locked="0"/>
    </xf>
    <xf numFmtId="0" fontId="22" fillId="36" borderId="20" xfId="0" applyFont="1" applyFill="1" applyBorder="1" applyAlignment="1">
      <alignment horizontal="right" vertical="center"/>
    </xf>
    <xf numFmtId="0" fontId="0" fillId="42" borderId="14" xfId="0" applyFill="1" applyBorder="1" applyAlignment="1">
      <alignment horizontal="left" wrapText="1"/>
    </xf>
    <xf numFmtId="0" fontId="48" fillId="0" borderId="0" xfId="0" applyFont="1" applyAlignment="1">
      <alignment vertical="center"/>
    </xf>
    <xf numFmtId="14" fontId="0" fillId="33" borderId="63" xfId="0" quotePrefix="1" applyNumberFormat="1" applyFill="1" applyBorder="1" applyAlignment="1" applyProtection="1">
      <alignment horizontal="left" vertical="center"/>
      <protection locked="0"/>
    </xf>
    <xf numFmtId="3" fontId="14" fillId="33" borderId="39" xfId="0" applyNumberFormat="1" applyFont="1" applyFill="1" applyBorder="1" applyAlignment="1" applyProtection="1">
      <alignment horizontal="center" vertical="center"/>
      <protection locked="0"/>
    </xf>
    <xf numFmtId="3" fontId="14" fillId="33" borderId="10" xfId="0" applyNumberFormat="1" applyFont="1" applyFill="1" applyBorder="1" applyAlignment="1" applyProtection="1">
      <alignment horizontal="center" vertical="center"/>
      <protection locked="0"/>
    </xf>
    <xf numFmtId="3" fontId="14" fillId="33" borderId="62" xfId="0" applyNumberFormat="1" applyFont="1" applyFill="1" applyBorder="1" applyAlignment="1" applyProtection="1">
      <alignment horizontal="center" vertical="center"/>
      <protection locked="0"/>
    </xf>
    <xf numFmtId="0" fontId="54" fillId="0" borderId="0" xfId="45"/>
    <xf numFmtId="0" fontId="47" fillId="0" borderId="0" xfId="0" applyFont="1"/>
    <xf numFmtId="0" fontId="47" fillId="51" borderId="0" xfId="0" applyFont="1" applyFill="1" applyAlignment="1">
      <alignment horizontal="center"/>
    </xf>
    <xf numFmtId="0" fontId="16" fillId="51" borderId="0" xfId="0" applyFont="1" applyFill="1" applyAlignment="1">
      <alignment horizontal="center"/>
    </xf>
    <xf numFmtId="0" fontId="0" fillId="43" borderId="0" xfId="0" applyFill="1"/>
    <xf numFmtId="14" fontId="0" fillId="43" borderId="0" xfId="0" applyNumberFormat="1" applyFill="1"/>
    <xf numFmtId="0" fontId="0" fillId="51" borderId="0" xfId="0" applyFill="1" applyAlignment="1">
      <alignment horizontal="center"/>
    </xf>
    <xf numFmtId="0" fontId="16" fillId="43" borderId="0" xfId="0" applyFont="1" applyFill="1"/>
    <xf numFmtId="0" fontId="16" fillId="39" borderId="0" xfId="0" applyFont="1" applyFill="1"/>
    <xf numFmtId="0" fontId="0" fillId="39" borderId="0" xfId="0" applyFill="1"/>
    <xf numFmtId="14" fontId="0" fillId="39" borderId="0" xfId="0" applyNumberFormat="1" applyFill="1"/>
    <xf numFmtId="0" fontId="16" fillId="52" borderId="0" xfId="0" applyFont="1" applyFill="1"/>
    <xf numFmtId="0" fontId="0" fillId="52" borderId="0" xfId="0" applyFill="1"/>
    <xf numFmtId="14" fontId="0" fillId="52" borderId="0" xfId="0" applyNumberFormat="1" applyFill="1"/>
    <xf numFmtId="0" fontId="0" fillId="45" borderId="0" xfId="0" applyFill="1"/>
    <xf numFmtId="0" fontId="47" fillId="45" borderId="0" xfId="0" applyFont="1" applyFill="1"/>
    <xf numFmtId="14" fontId="0" fillId="45" borderId="0" xfId="0" applyNumberFormat="1" applyFill="1"/>
    <xf numFmtId="0" fontId="16" fillId="45" borderId="0" xfId="0" applyFont="1" applyFill="1"/>
    <xf numFmtId="14" fontId="0" fillId="33" borderId="42" xfId="0" quotePrefix="1" applyNumberFormat="1" applyFill="1" applyBorder="1" applyProtection="1">
      <protection locked="0"/>
    </xf>
    <xf numFmtId="0" fontId="16" fillId="53" borderId="0" xfId="0" applyFont="1" applyFill="1"/>
    <xf numFmtId="0" fontId="0" fillId="53" borderId="0" xfId="0" applyFill="1"/>
    <xf numFmtId="14" fontId="0" fillId="53" borderId="0" xfId="0" applyNumberFormat="1" applyFill="1"/>
    <xf numFmtId="0" fontId="16" fillId="54" borderId="0" xfId="0" applyFont="1" applyFill="1"/>
    <xf numFmtId="0" fontId="0" fillId="54" borderId="0" xfId="0" applyFill="1"/>
    <xf numFmtId="14" fontId="0" fillId="54" borderId="0" xfId="0" applyNumberFormat="1" applyFill="1"/>
    <xf numFmtId="0" fontId="54" fillId="33" borderId="14" xfId="45" applyFill="1" applyBorder="1" applyProtection="1">
      <protection locked="0"/>
    </xf>
    <xf numFmtId="0" fontId="16" fillId="33" borderId="31" xfId="0" applyFont="1" applyFill="1" applyBorder="1" applyProtection="1">
      <protection locked="0"/>
    </xf>
    <xf numFmtId="0" fontId="16" fillId="0" borderId="37" xfId="0" applyFont="1" applyBorder="1"/>
    <xf numFmtId="0" fontId="0" fillId="0" borderId="37" xfId="0" applyBorder="1"/>
    <xf numFmtId="0" fontId="16" fillId="0" borderId="39" xfId="0" applyFont="1" applyBorder="1"/>
    <xf numFmtId="0" fontId="0" fillId="0" borderId="10" xfId="0" applyBorder="1"/>
    <xf numFmtId="0" fontId="0" fillId="0" borderId="39" xfId="0" applyBorder="1"/>
    <xf numFmtId="0" fontId="16" fillId="0" borderId="41" xfId="0" applyFont="1" applyBorder="1"/>
    <xf numFmtId="0" fontId="0" fillId="0" borderId="43" xfId="0" applyBorder="1"/>
    <xf numFmtId="0" fontId="0" fillId="0" borderId="41" xfId="0" applyBorder="1"/>
    <xf numFmtId="0" fontId="0" fillId="49" borderId="38" xfId="0" applyFill="1" applyBorder="1"/>
    <xf numFmtId="10" fontId="32" fillId="49" borderId="28" xfId="0" applyNumberFormat="1" applyFont="1" applyFill="1" applyBorder="1" applyAlignment="1">
      <alignment horizontal="center" vertical="center"/>
    </xf>
    <xf numFmtId="0" fontId="16" fillId="49" borderId="39" xfId="0" applyFont="1" applyFill="1" applyBorder="1"/>
    <xf numFmtId="0" fontId="0" fillId="49" borderId="10" xfId="0" applyFill="1" applyBorder="1"/>
    <xf numFmtId="10" fontId="32" fillId="49" borderId="40" xfId="0" applyNumberFormat="1" applyFont="1" applyFill="1" applyBorder="1" applyAlignment="1">
      <alignment horizontal="center" vertical="center"/>
    </xf>
    <xf numFmtId="0" fontId="16" fillId="49" borderId="41" xfId="0" applyFont="1" applyFill="1" applyBorder="1"/>
    <xf numFmtId="0" fontId="0" fillId="49" borderId="43" xfId="0" applyFill="1" applyBorder="1"/>
    <xf numFmtId="10" fontId="32" fillId="49" borderId="42" xfId="0" applyNumberFormat="1" applyFont="1" applyFill="1" applyBorder="1" applyAlignment="1">
      <alignment horizontal="center" vertical="center"/>
    </xf>
    <xf numFmtId="0" fontId="16" fillId="48" borderId="23" xfId="0" applyFont="1" applyFill="1" applyBorder="1"/>
    <xf numFmtId="0" fontId="0" fillId="48" borderId="13" xfId="0" applyFill="1" applyBorder="1"/>
    <xf numFmtId="0" fontId="0" fillId="48" borderId="72" xfId="0" applyFill="1" applyBorder="1"/>
    <xf numFmtId="10" fontId="32" fillId="48" borderId="25" xfId="0" applyNumberFormat="1" applyFont="1" applyFill="1" applyBorder="1" applyAlignment="1">
      <alignment horizontal="center" vertical="center"/>
    </xf>
    <xf numFmtId="0" fontId="16" fillId="49" borderId="12" xfId="0" applyFont="1" applyFill="1" applyBorder="1"/>
    <xf numFmtId="0" fontId="0" fillId="49" borderId="13" xfId="0" applyFill="1" applyBorder="1"/>
    <xf numFmtId="10" fontId="32" fillId="49" borderId="14" xfId="0" applyNumberFormat="1" applyFont="1" applyFill="1" applyBorder="1" applyAlignment="1">
      <alignment horizontal="center" vertical="center"/>
    </xf>
    <xf numFmtId="0" fontId="29" fillId="43" borderId="23" xfId="0" applyFont="1" applyFill="1" applyBorder="1" applyAlignment="1">
      <alignment horizontal="center" vertical="center" wrapText="1"/>
    </xf>
    <xf numFmtId="0" fontId="29" fillId="43" borderId="24" xfId="0" applyFont="1" applyFill="1" applyBorder="1" applyAlignment="1">
      <alignment horizontal="center" vertical="center" wrapText="1"/>
    </xf>
    <xf numFmtId="0" fontId="29" fillId="43" borderId="25" xfId="0" applyFont="1" applyFill="1" applyBorder="1" applyAlignment="1">
      <alignment horizontal="center" vertical="center" wrapText="1"/>
    </xf>
    <xf numFmtId="0" fontId="24" fillId="38" borderId="15" xfId="0" applyFont="1" applyFill="1" applyBorder="1" applyAlignment="1" applyProtection="1">
      <alignment horizontal="center"/>
      <protection locked="0"/>
    </xf>
    <xf numFmtId="0" fontId="24" fillId="38" borderId="16" xfId="0" applyFont="1" applyFill="1" applyBorder="1" applyAlignment="1" applyProtection="1">
      <alignment horizontal="center"/>
      <protection locked="0"/>
    </xf>
    <xf numFmtId="0" fontId="24" fillId="38" borderId="17" xfId="0" applyFont="1" applyFill="1" applyBorder="1" applyAlignment="1" applyProtection="1">
      <alignment horizontal="center"/>
      <protection locked="0"/>
    </xf>
    <xf numFmtId="0" fontId="24" fillId="38" borderId="20" xfId="0" applyFont="1" applyFill="1" applyBorder="1" applyAlignment="1" applyProtection="1">
      <alignment horizontal="center"/>
      <protection locked="0"/>
    </xf>
    <xf numFmtId="0" fontId="24" fillId="38" borderId="21" xfId="0" applyFont="1" applyFill="1" applyBorder="1" applyAlignment="1" applyProtection="1">
      <alignment horizontal="center"/>
      <protection locked="0"/>
    </xf>
    <xf numFmtId="0" fontId="24" fillId="38" borderId="22" xfId="0" applyFont="1" applyFill="1" applyBorder="1" applyAlignment="1" applyProtection="1">
      <alignment horizontal="center"/>
      <protection locked="0"/>
    </xf>
    <xf numFmtId="0" fontId="0" fillId="50" borderId="41" xfId="0" applyFill="1" applyBorder="1" applyAlignment="1" applyProtection="1">
      <alignment horizontal="center"/>
      <protection locked="0"/>
    </xf>
    <xf numFmtId="0" fontId="0" fillId="50" borderId="42" xfId="0"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16" fillId="38" borderId="17" xfId="0" applyFont="1" applyFill="1" applyBorder="1" applyAlignment="1" applyProtection="1">
      <alignment horizontal="center"/>
      <protection locked="0"/>
    </xf>
    <xf numFmtId="0" fontId="0" fillId="33" borderId="37" xfId="0" applyFill="1" applyBorder="1" applyAlignment="1" applyProtection="1">
      <alignment horizontal="center"/>
      <protection locked="0"/>
    </xf>
    <xf numFmtId="0" fontId="0" fillId="33" borderId="28" xfId="0" applyFill="1" applyBorder="1" applyAlignment="1" applyProtection="1">
      <alignment horizontal="center"/>
      <protection locked="0"/>
    </xf>
    <xf numFmtId="0" fontId="0" fillId="44" borderId="39" xfId="0" applyFill="1" applyBorder="1" applyAlignment="1" applyProtection="1">
      <alignment horizontal="center"/>
      <protection locked="0"/>
    </xf>
    <xf numFmtId="0" fontId="0" fillId="44" borderId="40" xfId="0" applyFill="1" applyBorder="1" applyAlignment="1" applyProtection="1">
      <alignment horizontal="center"/>
      <protection locked="0"/>
    </xf>
    <xf numFmtId="0" fontId="0" fillId="42" borderId="93" xfId="0" applyFill="1" applyBorder="1" applyAlignment="1" applyProtection="1">
      <alignment horizontal="center"/>
      <protection locked="0"/>
    </xf>
    <xf numFmtId="0" fontId="0" fillId="42" borderId="58" xfId="0" applyFill="1" applyBorder="1" applyAlignment="1" applyProtection="1">
      <alignment horizontal="center"/>
      <protection locked="0"/>
    </xf>
    <xf numFmtId="0" fontId="16" fillId="38" borderId="23" xfId="0" applyFont="1" applyFill="1" applyBorder="1" applyAlignment="1" applyProtection="1">
      <alignment horizontal="center" vertical="center"/>
      <protection locked="0"/>
    </xf>
    <xf numFmtId="0" fontId="16" fillId="38" borderId="24" xfId="0" applyFont="1" applyFill="1" applyBorder="1" applyAlignment="1" applyProtection="1">
      <alignment horizontal="center" vertical="center"/>
      <protection locked="0"/>
    </xf>
    <xf numFmtId="0" fontId="16" fillId="38" borderId="25" xfId="0" applyFont="1" applyFill="1" applyBorder="1" applyAlignment="1" applyProtection="1">
      <alignment horizontal="center" vertical="center"/>
      <protection locked="0"/>
    </xf>
    <xf numFmtId="0" fontId="0" fillId="36" borderId="57" xfId="0" applyFill="1" applyBorder="1" applyAlignment="1" applyProtection="1">
      <alignment horizontal="center" wrapText="1"/>
      <protection locked="0"/>
    </xf>
    <xf numFmtId="0" fontId="0" fillId="36" borderId="48" xfId="0" applyFill="1" applyBorder="1" applyAlignment="1" applyProtection="1">
      <alignment horizontal="center" wrapText="1"/>
      <protection locked="0"/>
    </xf>
    <xf numFmtId="0" fontId="0" fillId="36" borderId="0" xfId="0" applyFill="1" applyAlignment="1" applyProtection="1">
      <alignment horizontal="left" vertical="top" wrapText="1"/>
      <protection locked="0"/>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28" xfId="0" applyBorder="1" applyAlignment="1" applyProtection="1">
      <alignment horizontal="center" wrapText="1"/>
      <protection locked="0"/>
    </xf>
    <xf numFmtId="0" fontId="0" fillId="0" borderId="42" xfId="0" applyBorder="1" applyAlignment="1" applyProtection="1">
      <alignment horizontal="center" wrapText="1"/>
      <protection locked="0"/>
    </xf>
    <xf numFmtId="0" fontId="0" fillId="0" borderId="36" xfId="0" applyBorder="1" applyAlignment="1" applyProtection="1">
      <alignment horizontal="center" wrapText="1"/>
      <protection locked="0"/>
    </xf>
    <xf numFmtId="0" fontId="0" fillId="0" borderId="34" xfId="0" applyBorder="1" applyAlignment="1" applyProtection="1">
      <alignment horizontal="center" wrapText="1"/>
      <protection locked="0"/>
    </xf>
    <xf numFmtId="0" fontId="0" fillId="36" borderId="0" xfId="0" applyFill="1" applyAlignment="1" applyProtection="1">
      <alignment horizontal="left" wrapText="1"/>
      <protection locked="0"/>
    </xf>
    <xf numFmtId="0" fontId="0" fillId="42" borderId="41" xfId="0" applyFill="1" applyBorder="1" applyAlignment="1" applyProtection="1">
      <alignment horizontal="center"/>
      <protection locked="0"/>
    </xf>
    <xf numFmtId="0" fontId="0" fillId="42" borderId="42" xfId="0" applyFill="1" applyBorder="1" applyAlignment="1" applyProtection="1">
      <alignment horizontal="center"/>
      <protection locked="0"/>
    </xf>
    <xf numFmtId="0" fontId="0" fillId="33" borderId="33" xfId="0" applyFill="1" applyBorder="1" applyAlignment="1" applyProtection="1">
      <alignment horizontal="center" vertical="center"/>
      <protection locked="0"/>
    </xf>
    <xf numFmtId="0" fontId="0" fillId="33" borderId="35" xfId="0" applyFill="1" applyBorder="1" applyAlignment="1" applyProtection="1">
      <alignment horizontal="center" vertical="center"/>
      <protection locked="0"/>
    </xf>
    <xf numFmtId="0" fontId="24" fillId="38" borderId="23" xfId="0" applyFont="1" applyFill="1" applyBorder="1" applyAlignment="1" applyProtection="1">
      <alignment horizontal="center"/>
      <protection locked="0"/>
    </xf>
    <xf numFmtId="0" fontId="24" fillId="38" borderId="24" xfId="0" applyFont="1" applyFill="1" applyBorder="1" applyAlignment="1" applyProtection="1">
      <alignment horizontal="center"/>
      <protection locked="0"/>
    </xf>
    <xf numFmtId="0" fontId="24" fillId="38" borderId="25" xfId="0" applyFont="1" applyFill="1" applyBorder="1" applyAlignment="1" applyProtection="1">
      <alignment horizontal="center"/>
      <protection locked="0"/>
    </xf>
    <xf numFmtId="0" fontId="16" fillId="38" borderId="23" xfId="0" applyFont="1" applyFill="1" applyBorder="1" applyAlignment="1" applyProtection="1">
      <alignment horizontal="center"/>
      <protection locked="0"/>
    </xf>
    <xf numFmtId="0" fontId="16" fillId="38" borderId="24" xfId="0" applyFont="1" applyFill="1" applyBorder="1" applyAlignment="1" applyProtection="1">
      <alignment horizontal="center"/>
      <protection locked="0"/>
    </xf>
    <xf numFmtId="0" fontId="16" fillId="38" borderId="25" xfId="0" applyFont="1" applyFill="1" applyBorder="1" applyAlignment="1" applyProtection="1">
      <alignment horizontal="center"/>
      <protection locked="0"/>
    </xf>
    <xf numFmtId="0" fontId="0" fillId="0" borderId="36"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0" borderId="37"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0" fillId="0" borderId="38" xfId="0"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36" borderId="68" xfId="0" applyFill="1" applyBorder="1" applyAlignment="1" applyProtection="1">
      <alignment horizontal="left"/>
      <protection locked="0"/>
    </xf>
    <xf numFmtId="0" fontId="0" fillId="36" borderId="69" xfId="0" applyFill="1" applyBorder="1" applyAlignment="1" applyProtection="1">
      <alignment horizontal="left"/>
      <protection locked="0"/>
    </xf>
    <xf numFmtId="0" fontId="0" fillId="36" borderId="70" xfId="0" applyFill="1" applyBorder="1" applyAlignment="1" applyProtection="1">
      <alignment horizontal="left"/>
      <protection locked="0"/>
    </xf>
    <xf numFmtId="0" fontId="0" fillId="36" borderId="71" xfId="0" applyFill="1" applyBorder="1" applyAlignment="1" applyProtection="1">
      <alignment horizontal="left"/>
      <protection locked="0"/>
    </xf>
    <xf numFmtId="0" fontId="16" fillId="38" borderId="12" xfId="0" applyFont="1" applyFill="1" applyBorder="1" applyAlignment="1" applyProtection="1">
      <alignment horizontal="center" vertical="center"/>
      <protection locked="0"/>
    </xf>
    <xf numFmtId="0" fontId="16" fillId="38" borderId="13" xfId="0" applyFont="1" applyFill="1" applyBorder="1" applyAlignment="1" applyProtection="1">
      <alignment horizontal="center" vertical="center"/>
      <protection locked="0"/>
    </xf>
    <xf numFmtId="0" fontId="16" fillId="38" borderId="14" xfId="0" applyFont="1" applyFill="1" applyBorder="1" applyAlignment="1" applyProtection="1">
      <alignment horizontal="center" vertical="center"/>
      <protection locked="0"/>
    </xf>
    <xf numFmtId="0" fontId="16" fillId="38" borderId="12" xfId="0" applyFont="1" applyFill="1" applyBorder="1" applyAlignment="1" applyProtection="1">
      <alignment horizontal="center"/>
      <protection locked="0"/>
    </xf>
    <xf numFmtId="0" fontId="16" fillId="38" borderId="14" xfId="0" applyFont="1" applyFill="1" applyBorder="1" applyAlignment="1" applyProtection="1">
      <alignment horizontal="center"/>
      <protection locked="0"/>
    </xf>
    <xf numFmtId="0" fontId="0" fillId="0" borderId="0" xfId="0" applyAlignment="1">
      <alignment horizontal="left" vertical="top" wrapText="1"/>
    </xf>
    <xf numFmtId="0" fontId="0" fillId="0" borderId="63" xfId="0" applyBorder="1" applyAlignment="1">
      <alignment horizontal="left" vertical="center" wrapText="1"/>
    </xf>
    <xf numFmtId="0" fontId="0" fillId="0" borderId="62" xfId="0" applyBorder="1" applyAlignment="1">
      <alignment horizontal="left" vertical="center" wrapText="1"/>
    </xf>
    <xf numFmtId="0" fontId="27" fillId="0" borderId="53" xfId="0" applyFont="1" applyBorder="1" applyAlignment="1">
      <alignment horizontal="left" vertical="center" wrapText="1"/>
    </xf>
    <xf numFmtId="0" fontId="27" fillId="0" borderId="54" xfId="0" applyFont="1" applyBorder="1" applyAlignment="1">
      <alignment horizontal="left" vertical="center" wrapText="1"/>
    </xf>
    <xf numFmtId="0" fontId="27" fillId="0" borderId="55" xfId="0" applyFont="1" applyBorder="1" applyAlignment="1">
      <alignment horizontal="left" vertical="center" wrapText="1"/>
    </xf>
    <xf numFmtId="0" fontId="0" fillId="0" borderId="51" xfId="0" applyBorder="1" applyAlignment="1">
      <alignment horizontal="left" vertical="center" wrapText="1"/>
    </xf>
    <xf numFmtId="0" fontId="0" fillId="0" borderId="64" xfId="0" applyBorder="1" applyAlignment="1">
      <alignment horizontal="left" vertical="center" wrapText="1"/>
    </xf>
    <xf numFmtId="0" fontId="0" fillId="0" borderId="0" xfId="0" applyAlignment="1">
      <alignment horizontal="left" vertical="center" wrapText="1"/>
    </xf>
    <xf numFmtId="0" fontId="0" fillId="0" borderId="30" xfId="0" applyBorder="1" applyAlignment="1">
      <alignment horizontal="left" vertical="center" wrapText="1"/>
    </xf>
    <xf numFmtId="0" fontId="0" fillId="0" borderId="52" xfId="0" applyBorder="1" applyAlignment="1">
      <alignment horizontal="left" vertical="center" wrapText="1"/>
    </xf>
    <xf numFmtId="0" fontId="0" fillId="0" borderId="65" xfId="0" applyBorder="1" applyAlignment="1">
      <alignment horizontal="left" vertical="center" wrapText="1"/>
    </xf>
    <xf numFmtId="0" fontId="45" fillId="38" borderId="23" xfId="0" applyFont="1" applyFill="1" applyBorder="1" applyAlignment="1">
      <alignment horizontal="center"/>
    </xf>
    <xf numFmtId="0" fontId="45" fillId="38" borderId="24" xfId="0" applyFont="1" applyFill="1" applyBorder="1" applyAlignment="1">
      <alignment horizontal="center"/>
    </xf>
    <xf numFmtId="0" fontId="45" fillId="38" borderId="25" xfId="0" applyFont="1" applyFill="1" applyBorder="1" applyAlignment="1">
      <alignment horizontal="center"/>
    </xf>
    <xf numFmtId="0" fontId="27" fillId="36" borderId="15" xfId="0" applyFont="1" applyFill="1" applyBorder="1" applyAlignment="1">
      <alignment horizontal="left"/>
    </xf>
    <xf numFmtId="0" fontId="27" fillId="36" borderId="16" xfId="0" applyFont="1" applyFill="1" applyBorder="1" applyAlignment="1">
      <alignment horizontal="left"/>
    </xf>
    <xf numFmtId="0" fontId="27" fillId="36" borderId="17" xfId="0" applyFont="1" applyFill="1" applyBorder="1" applyAlignment="1">
      <alignment horizontal="left"/>
    </xf>
    <xf numFmtId="0" fontId="0" fillId="36" borderId="0" xfId="0" applyFill="1" applyAlignment="1">
      <alignment horizontal="left"/>
    </xf>
    <xf numFmtId="0" fontId="0" fillId="36" borderId="19" xfId="0" applyFill="1" applyBorder="1" applyAlignment="1">
      <alignment horizontal="left"/>
    </xf>
    <xf numFmtId="0" fontId="46" fillId="36" borderId="21" xfId="0" applyFont="1" applyFill="1" applyBorder="1" applyAlignment="1">
      <alignment horizontal="left"/>
    </xf>
    <xf numFmtId="0" fontId="46" fillId="36" borderId="22" xfId="0" applyFont="1" applyFill="1" applyBorder="1" applyAlignment="1">
      <alignment horizontal="left"/>
    </xf>
    <xf numFmtId="0" fontId="0" fillId="0" borderId="5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36" borderId="51" xfId="0" applyFill="1" applyBorder="1" applyAlignment="1" applyProtection="1">
      <alignment horizontal="left" vertical="center" wrapText="1"/>
      <protection locked="0"/>
    </xf>
    <xf numFmtId="0" fontId="0" fillId="36" borderId="58" xfId="0" applyFill="1" applyBorder="1" applyAlignment="1" applyProtection="1">
      <alignment horizontal="left" vertical="center" wrapText="1"/>
      <protection locked="0"/>
    </xf>
    <xf numFmtId="0" fontId="0" fillId="36" borderId="21" xfId="0" applyFill="1" applyBorder="1" applyAlignment="1" applyProtection="1">
      <alignment horizontal="left" vertical="center" wrapText="1"/>
      <protection locked="0"/>
    </xf>
    <xf numFmtId="0" fontId="0" fillId="36" borderId="22" xfId="0" applyFill="1" applyBorder="1" applyAlignment="1" applyProtection="1">
      <alignment horizontal="left" vertical="center" wrapText="1"/>
      <protection locked="0"/>
    </xf>
    <xf numFmtId="0" fontId="0" fillId="36" borderId="51" xfId="0" applyFill="1" applyBorder="1" applyProtection="1">
      <protection locked="0"/>
    </xf>
    <xf numFmtId="0" fontId="0" fillId="36" borderId="58" xfId="0" applyFill="1" applyBorder="1" applyProtection="1">
      <protection locked="0"/>
    </xf>
    <xf numFmtId="0" fontId="0" fillId="36" borderId="0" xfId="0" quotePrefix="1" applyFill="1" applyAlignment="1" applyProtection="1">
      <alignment horizontal="left" wrapText="1"/>
      <protection locked="0"/>
    </xf>
    <xf numFmtId="0" fontId="0" fillId="36" borderId="19" xfId="0" quotePrefix="1" applyFill="1" applyBorder="1" applyAlignment="1" applyProtection="1">
      <alignment horizontal="left" wrapText="1"/>
      <protection locked="0"/>
    </xf>
    <xf numFmtId="0" fontId="0" fillId="36" borderId="19" xfId="0" applyFill="1" applyBorder="1" applyAlignment="1" applyProtection="1">
      <alignment horizontal="left" wrapText="1"/>
      <protection locked="0"/>
    </xf>
    <xf numFmtId="0" fontId="0" fillId="36" borderId="52" xfId="0" applyFill="1" applyBorder="1" applyAlignment="1" applyProtection="1">
      <alignment horizontal="left" wrapText="1"/>
      <protection locked="0"/>
    </xf>
    <xf numFmtId="0" fontId="0" fillId="36" borderId="56" xfId="0" applyFill="1" applyBorder="1" applyAlignment="1" applyProtection="1">
      <alignment horizontal="left" wrapText="1"/>
      <protection locked="0"/>
    </xf>
    <xf numFmtId="0" fontId="0" fillId="0" borderId="59"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15"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0" fillId="0" borderId="16"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28" fillId="39" borderId="23" xfId="0" applyFont="1" applyFill="1" applyBorder="1" applyAlignment="1" applyProtection="1">
      <alignment horizontal="center" vertical="center"/>
      <protection locked="0"/>
    </xf>
    <xf numFmtId="0" fontId="28" fillId="39" borderId="24" xfId="0" applyFont="1" applyFill="1" applyBorder="1" applyAlignment="1" applyProtection="1">
      <alignment horizontal="center" vertical="center"/>
      <protection locked="0"/>
    </xf>
    <xf numFmtId="0" fontId="28" fillId="38" borderId="15" xfId="0" applyFont="1" applyFill="1" applyBorder="1" applyAlignment="1" applyProtection="1">
      <alignment horizontal="left" vertical="center"/>
      <protection locked="0"/>
    </xf>
    <xf numFmtId="0" fontId="28" fillId="38" borderId="16" xfId="0" applyFont="1" applyFill="1" applyBorder="1" applyAlignment="1" applyProtection="1">
      <alignment horizontal="left" vertical="center"/>
      <protection locked="0"/>
    </xf>
    <xf numFmtId="0" fontId="28" fillId="38" borderId="24" xfId="0" applyFont="1" applyFill="1" applyBorder="1" applyAlignment="1" applyProtection="1">
      <alignment horizontal="left" vertical="center"/>
      <protection locked="0"/>
    </xf>
    <xf numFmtId="0" fontId="28" fillId="38" borderId="25" xfId="0" applyFont="1" applyFill="1" applyBorder="1" applyAlignment="1" applyProtection="1">
      <alignment horizontal="left" vertical="center"/>
      <protection locked="0"/>
    </xf>
    <xf numFmtId="0" fontId="0" fillId="0" borderId="17"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0" fillId="38" borderId="11" xfId="0" applyFill="1" applyBorder="1" applyAlignment="1" applyProtection="1">
      <alignment horizontal="left"/>
      <protection locked="0"/>
    </xf>
    <xf numFmtId="0" fontId="0" fillId="38" borderId="77" xfId="0" applyFill="1" applyBorder="1" applyAlignment="1" applyProtection="1">
      <alignment horizontal="left"/>
      <protection locked="0"/>
    </xf>
    <xf numFmtId="0" fontId="0" fillId="38" borderId="75" xfId="0" applyFill="1" applyBorder="1" applyAlignment="1" applyProtection="1">
      <alignment horizontal="left"/>
      <protection locked="0"/>
    </xf>
    <xf numFmtId="0" fontId="0" fillId="36" borderId="73" xfId="0" applyFill="1" applyBorder="1" applyAlignment="1" applyProtection="1">
      <alignment horizontal="left" vertical="top" wrapText="1"/>
      <protection locked="0"/>
    </xf>
    <xf numFmtId="0" fontId="0" fillId="36" borderId="16" xfId="0" applyFill="1" applyBorder="1" applyAlignment="1" applyProtection="1">
      <alignment horizontal="left" vertical="top" wrapText="1"/>
      <protection locked="0"/>
    </xf>
    <xf numFmtId="0" fontId="0" fillId="36" borderId="17" xfId="0" applyFill="1" applyBorder="1" applyAlignment="1" applyProtection="1">
      <alignment horizontal="left" vertical="top" wrapText="1"/>
      <protection locked="0"/>
    </xf>
    <xf numFmtId="0" fontId="0" fillId="36" borderId="54" xfId="0" applyFill="1" applyBorder="1" applyAlignment="1" applyProtection="1">
      <alignment horizontal="left" vertical="top" wrapText="1"/>
      <protection locked="0"/>
    </xf>
    <xf numFmtId="0" fontId="0" fillId="36" borderId="19" xfId="0" applyFill="1" applyBorder="1" applyAlignment="1" applyProtection="1">
      <alignment horizontal="left" vertical="top" wrapText="1"/>
      <protection locked="0"/>
    </xf>
    <xf numFmtId="0" fontId="0" fillId="36" borderId="11" xfId="0" applyFill="1" applyBorder="1" applyAlignment="1" applyProtection="1">
      <alignment horizontal="center" vertical="center"/>
      <protection locked="0"/>
    </xf>
    <xf numFmtId="0" fontId="0" fillId="36" borderId="59" xfId="0" applyFill="1" applyBorder="1" applyAlignment="1" applyProtection="1">
      <alignment horizontal="center" vertical="center"/>
      <protection locked="0"/>
    </xf>
    <xf numFmtId="0" fontId="28" fillId="39" borderId="23" xfId="0" applyFont="1" applyFill="1" applyBorder="1" applyAlignment="1" applyProtection="1">
      <alignment horizontal="left" vertical="center"/>
      <protection locked="0"/>
    </xf>
    <xf numFmtId="0" fontId="28" fillId="39" borderId="24" xfId="0" applyFont="1" applyFill="1" applyBorder="1" applyAlignment="1" applyProtection="1">
      <alignment horizontal="left" vertical="center"/>
      <protection locked="0"/>
    </xf>
    <xf numFmtId="0" fontId="28" fillId="38" borderId="23" xfId="0" applyFont="1" applyFill="1" applyBorder="1" applyAlignment="1" applyProtection="1">
      <alignment horizontal="left" vertical="center"/>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0" fillId="0" borderId="39" xfId="0" applyBorder="1" applyAlignment="1" applyProtection="1">
      <alignment horizontal="right" vertical="top"/>
      <protection locked="0"/>
    </xf>
    <xf numFmtId="0" fontId="0" fillId="0" borderId="41" xfId="0" applyBorder="1" applyAlignment="1" applyProtection="1">
      <alignment horizontal="right" vertical="top"/>
      <protection locked="0"/>
    </xf>
    <xf numFmtId="0" fontId="0" fillId="0" borderId="40" xfId="0" applyBorder="1" applyAlignment="1" applyProtection="1">
      <alignment horizontal="left" vertical="top" wrapText="1"/>
      <protection locked="0"/>
    </xf>
    <xf numFmtId="0" fontId="30" fillId="38" borderId="15" xfId="0" applyFont="1" applyFill="1" applyBorder="1" applyAlignment="1" applyProtection="1">
      <alignment horizontal="left"/>
      <protection locked="0"/>
    </xf>
    <xf numFmtId="0" fontId="30" fillId="38" borderId="17" xfId="0" applyFont="1" applyFill="1" applyBorder="1" applyAlignment="1" applyProtection="1">
      <alignment horizontal="left"/>
      <protection locked="0"/>
    </xf>
    <xf numFmtId="0" fontId="0" fillId="42" borderId="60" xfId="0" applyFill="1" applyBorder="1" applyAlignment="1" applyProtection="1">
      <alignment horizontal="center"/>
      <protection locked="0"/>
    </xf>
    <xf numFmtId="0" fontId="0" fillId="42" borderId="35" xfId="0" applyFill="1" applyBorder="1" applyAlignment="1" applyProtection="1">
      <alignment horizontal="center"/>
      <protection locked="0"/>
    </xf>
    <xf numFmtId="0" fontId="35" fillId="36" borderId="75" xfId="0" applyFont="1" applyFill="1" applyBorder="1" applyAlignment="1">
      <alignment horizontal="center" vertical="center" wrapText="1"/>
    </xf>
    <xf numFmtId="0" fontId="35" fillId="36" borderId="78" xfId="0" applyFont="1" applyFill="1" applyBorder="1" applyAlignment="1">
      <alignment horizontal="center" vertical="center" wrapText="1"/>
    </xf>
    <xf numFmtId="0" fontId="34" fillId="36" borderId="11" xfId="0" applyFont="1" applyFill="1" applyBorder="1" applyAlignment="1">
      <alignment horizontal="center" vertical="center" wrapText="1"/>
    </xf>
    <xf numFmtId="0" fontId="34" fillId="36" borderId="59" xfId="0" applyFont="1" applyFill="1" applyBorder="1" applyAlignment="1">
      <alignment horizontal="center" vertical="center" wrapText="1"/>
    </xf>
    <xf numFmtId="0" fontId="34" fillId="36" borderId="11" xfId="0" applyFont="1" applyFill="1" applyBorder="1" applyAlignment="1" applyProtection="1">
      <alignment horizontal="center" vertical="center" wrapText="1"/>
      <protection locked="0"/>
    </xf>
    <xf numFmtId="0" fontId="34" fillId="36" borderId="48" xfId="0" applyFont="1" applyFill="1" applyBorder="1" applyAlignment="1" applyProtection="1">
      <alignment horizontal="center" vertical="center" wrapText="1"/>
      <protection locked="0"/>
    </xf>
    <xf numFmtId="0" fontId="35" fillId="36" borderId="77" xfId="0" applyFont="1" applyFill="1" applyBorder="1" applyAlignment="1" applyProtection="1">
      <alignment horizontal="center" vertical="center" wrapText="1"/>
      <protection locked="0"/>
    </xf>
    <xf numFmtId="0" fontId="35" fillId="36" borderId="91" xfId="0" applyFont="1" applyFill="1" applyBorder="1" applyAlignment="1" applyProtection="1">
      <alignment horizontal="center" vertical="center" wrapText="1"/>
      <protection locked="0"/>
    </xf>
    <xf numFmtId="0" fontId="35" fillId="36" borderId="75" xfId="0" applyFont="1" applyFill="1" applyBorder="1" applyAlignment="1" applyProtection="1">
      <alignment horizontal="center" vertical="center" wrapText="1"/>
      <protection locked="0"/>
    </xf>
    <xf numFmtId="0" fontId="35" fillId="36" borderId="49" xfId="0" applyFont="1" applyFill="1" applyBorder="1" applyAlignment="1" applyProtection="1">
      <alignment horizontal="center" vertical="center" wrapText="1"/>
      <protection locked="0"/>
    </xf>
    <xf numFmtId="0" fontId="34" fillId="36" borderId="66" xfId="0" applyFont="1" applyFill="1" applyBorder="1" applyAlignment="1">
      <alignment horizontal="center" vertical="center" wrapText="1"/>
    </xf>
    <xf numFmtId="0" fontId="34" fillId="36" borderId="27" xfId="0" applyFont="1" applyFill="1" applyBorder="1" applyAlignment="1">
      <alignment horizontal="center" vertical="center" wrapText="1"/>
    </xf>
    <xf numFmtId="0" fontId="35" fillId="36" borderId="26" xfId="0" applyFont="1" applyFill="1" applyBorder="1" applyAlignment="1">
      <alignment horizontal="center" vertical="center" wrapText="1"/>
    </xf>
    <xf numFmtId="0" fontId="34" fillId="36" borderId="66" xfId="0" applyFont="1" applyFill="1" applyBorder="1" applyAlignment="1">
      <alignment horizontal="center" vertical="center"/>
    </xf>
    <xf numFmtId="0" fontId="34" fillId="36" borderId="27" xfId="0" applyFont="1" applyFill="1" applyBorder="1" applyAlignment="1">
      <alignment horizontal="center" vertical="center"/>
    </xf>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5" fillId="36" borderId="66" xfId="0" applyFont="1" applyFill="1" applyBorder="1" applyAlignment="1">
      <alignment horizontal="center" vertical="center" wrapText="1"/>
    </xf>
    <xf numFmtId="0" fontId="35" fillId="36" borderId="27" xfId="0" applyFont="1" applyFill="1" applyBorder="1" applyAlignment="1">
      <alignment horizontal="center" vertical="center" wrapText="1"/>
    </xf>
    <xf numFmtId="0" fontId="35" fillId="36" borderId="62" xfId="0" applyFont="1" applyFill="1" applyBorder="1" applyAlignment="1">
      <alignment horizontal="center" vertical="center" wrapText="1"/>
    </xf>
    <xf numFmtId="0" fontId="16" fillId="0" borderId="26" xfId="0" applyFont="1" applyBorder="1" applyAlignment="1">
      <alignment horizontal="center"/>
    </xf>
    <xf numFmtId="0" fontId="16" fillId="0" borderId="63" xfId="0" applyFont="1" applyBorder="1" applyAlignment="1">
      <alignment horizontal="center"/>
    </xf>
    <xf numFmtId="0" fontId="16" fillId="0" borderId="62" xfId="0" applyFont="1" applyBorder="1" applyAlignment="1">
      <alignment horizontal="center"/>
    </xf>
    <xf numFmtId="0" fontId="16" fillId="0" borderId="10" xfId="0" applyFont="1" applyBorder="1" applyAlignment="1">
      <alignment horizontal="center"/>
    </xf>
    <xf numFmtId="0" fontId="67" fillId="36" borderId="66" xfId="0" applyFont="1" applyFill="1" applyBorder="1" applyAlignment="1" applyProtection="1">
      <alignment horizontal="center" vertical="center" wrapText="1"/>
      <protection locked="0"/>
    </xf>
    <xf numFmtId="0" fontId="67" fillId="36" borderId="27" xfId="0" applyFont="1" applyFill="1" applyBorder="1" applyAlignment="1" applyProtection="1">
      <alignment horizontal="center" vertical="center" wrapText="1"/>
      <protection locked="0"/>
    </xf>
    <xf numFmtId="0" fontId="68" fillId="36" borderId="66" xfId="0" applyFont="1" applyFill="1" applyBorder="1" applyAlignment="1" applyProtection="1">
      <alignment horizontal="center" vertical="center" wrapText="1"/>
      <protection locked="0"/>
    </xf>
    <xf numFmtId="0" fontId="68" fillId="36" borderId="27" xfId="0" applyFont="1" applyFill="1" applyBorder="1" applyAlignment="1" applyProtection="1">
      <alignment horizontal="center" vertical="center" wrapText="1"/>
      <protection locked="0"/>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6" fillId="48" borderId="31" xfId="0" applyFont="1" applyFill="1" applyBorder="1" applyAlignment="1">
      <alignment horizontal="left" vertical="top"/>
    </xf>
    <xf numFmtId="0" fontId="16" fillId="48" borderId="86" xfId="0" applyFont="1" applyFill="1" applyBorder="1" applyAlignment="1">
      <alignment horizontal="left" vertical="top"/>
    </xf>
    <xf numFmtId="0" fontId="16" fillId="48" borderId="85" xfId="0" applyFont="1" applyFill="1" applyBorder="1" applyAlignment="1">
      <alignment horizontal="left" vertical="top"/>
    </xf>
    <xf numFmtId="0" fontId="0" fillId="42" borderId="15" xfId="0" applyFill="1" applyBorder="1" applyAlignment="1">
      <alignment horizontal="left" vertical="top" wrapText="1"/>
    </xf>
    <xf numFmtId="0" fontId="0" fillId="42" borderId="16" xfId="0" applyFill="1" applyBorder="1" applyAlignment="1">
      <alignment horizontal="left" vertical="top" wrapText="1"/>
    </xf>
    <xf numFmtId="0" fontId="0" fillId="42" borderId="17" xfId="0" applyFill="1" applyBorder="1" applyAlignment="1">
      <alignment horizontal="left" vertical="top" wrapText="1"/>
    </xf>
    <xf numFmtId="0" fontId="0" fillId="42" borderId="18" xfId="0" applyFill="1" applyBorder="1" applyAlignment="1">
      <alignment horizontal="left" vertical="top" wrapText="1"/>
    </xf>
    <xf numFmtId="0" fontId="0" fillId="42" borderId="0" xfId="0" applyFill="1" applyAlignment="1">
      <alignment horizontal="left" vertical="top" wrapText="1"/>
    </xf>
    <xf numFmtId="0" fontId="0" fillId="42" borderId="19" xfId="0" applyFill="1" applyBorder="1" applyAlignment="1">
      <alignment horizontal="left" vertical="top" wrapText="1"/>
    </xf>
    <xf numFmtId="0" fontId="0" fillId="42" borderId="20" xfId="0" applyFill="1" applyBorder="1" applyAlignment="1">
      <alignment horizontal="left" vertical="top" wrapText="1"/>
    </xf>
    <xf numFmtId="0" fontId="0" fillId="42" borderId="21" xfId="0" applyFill="1" applyBorder="1" applyAlignment="1">
      <alignment horizontal="left" vertical="top" wrapText="1"/>
    </xf>
    <xf numFmtId="0" fontId="0" fillId="42" borderId="22" xfId="0" applyFill="1" applyBorder="1" applyAlignment="1">
      <alignment horizontal="left" vertical="top" wrapText="1"/>
    </xf>
    <xf numFmtId="0" fontId="16" fillId="0" borderId="31" xfId="0" applyFont="1" applyBorder="1" applyAlignment="1" applyProtection="1">
      <alignment horizontal="left" vertical="top"/>
      <protection locked="0"/>
    </xf>
    <xf numFmtId="0" fontId="16" fillId="0" borderId="86" xfId="0" applyFont="1" applyBorder="1" applyAlignment="1" applyProtection="1">
      <alignment horizontal="left" vertical="top"/>
      <protection locked="0"/>
    </xf>
    <xf numFmtId="0" fontId="16" fillId="0" borderId="85" xfId="0" applyFont="1" applyBorder="1" applyAlignment="1" applyProtection="1">
      <alignment horizontal="left" vertical="top"/>
      <protection locked="0"/>
    </xf>
    <xf numFmtId="0" fontId="0" fillId="42" borderId="23" xfId="0" applyFill="1" applyBorder="1" applyAlignment="1">
      <alignment horizontal="left" vertical="center"/>
    </xf>
    <xf numFmtId="0" fontId="0" fillId="42" borderId="24" xfId="0" applyFill="1" applyBorder="1" applyAlignment="1">
      <alignment horizontal="left" vertical="center"/>
    </xf>
    <xf numFmtId="0" fontId="0" fillId="42" borderId="72" xfId="0" applyFill="1" applyBorder="1" applyAlignment="1">
      <alignment horizontal="left" vertical="center"/>
    </xf>
    <xf numFmtId="0" fontId="0" fillId="42" borderId="23" xfId="0" applyFill="1" applyBorder="1" applyAlignment="1">
      <alignment horizontal="left" vertical="center" wrapText="1"/>
    </xf>
    <xf numFmtId="0" fontId="0" fillId="42" borderId="24" xfId="0" applyFill="1" applyBorder="1" applyAlignment="1">
      <alignment horizontal="left" vertical="center" wrapText="1"/>
    </xf>
    <xf numFmtId="0" fontId="0" fillId="42" borderId="72" xfId="0" applyFill="1" applyBorder="1" applyAlignment="1">
      <alignment horizontal="left" vertical="center" wrapText="1"/>
    </xf>
    <xf numFmtId="3" fontId="0" fillId="0" borderId="0" xfId="0" applyNumberFormat="1" applyProtection="1">
      <protection locked="0"/>
    </xf>
    <xf numFmtId="3" fontId="18" fillId="33" borderId="62" xfId="0" applyNumberFormat="1" applyFont="1" applyFill="1" applyBorder="1" applyAlignment="1" applyProtection="1">
      <alignment horizontal="center" vertical="center"/>
      <protection locked="0"/>
    </xf>
    <xf numFmtId="3" fontId="18" fillId="33" borderId="10" xfId="0" applyNumberFormat="1" applyFont="1" applyFill="1" applyBorder="1" applyAlignment="1" applyProtection="1">
      <alignment horizontal="center" vertical="center"/>
      <protection locked="0"/>
    </xf>
    <xf numFmtId="3" fontId="18" fillId="33" borderId="39" xfId="0" applyNumberFormat="1" applyFont="1" applyFill="1" applyBorder="1" applyAlignment="1" applyProtection="1">
      <alignment horizontal="center" vertical="center"/>
      <protection locked="0"/>
    </xf>
    <xf numFmtId="3" fontId="0" fillId="44" borderId="27" xfId="0" applyNumberFormat="1" applyFill="1" applyBorder="1" applyProtection="1">
      <protection locked="0"/>
    </xf>
    <xf numFmtId="3" fontId="0" fillId="44" borderId="10" xfId="0" applyNumberFormat="1" applyFill="1" applyBorder="1" applyProtection="1">
      <protection locked="0"/>
    </xf>
    <xf numFmtId="3" fontId="0" fillId="44" borderId="43" xfId="0" applyNumberFormat="1" applyFill="1" applyBorder="1" applyProtection="1">
      <protection locked="0"/>
    </xf>
    <xf numFmtId="0" fontId="47" fillId="0" borderId="0" xfId="0" applyFont="1" applyProtection="1">
      <protection locked="0"/>
    </xf>
    <xf numFmtId="0" fontId="25" fillId="0" borderId="0" xfId="0" applyFont="1" applyProtection="1">
      <protection locked="0"/>
    </xf>
    <xf numFmtId="0" fontId="19" fillId="0" borderId="0" xfId="0" applyFont="1" applyProtection="1">
      <protection locked="0"/>
    </xf>
    <xf numFmtId="0" fontId="70" fillId="0" borderId="0" xfId="0" applyFont="1" applyProtection="1">
      <protection locked="0"/>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2" xfId="44" xr:uid="{93F54A01-2059-4BA0-A191-8144919D4B80}"/>
    <cellStyle name="Normal 2 2" xfId="46" xr:uid="{D199632D-8DB5-4437-A295-6341A2518A3D}"/>
    <cellStyle name="Normal 3" xfId="47" xr:uid="{E597BC38-CE89-41B8-8318-AEBB3DF21AA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FF3399"/>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FFFF"/>
        </patternFill>
      </fil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s>
  <tableStyles count="0" defaultTableStyle="TableStyleMedium2" defaultPivotStyle="PivotStyleLight16"/>
  <colors>
    <mruColors>
      <color rgb="FFADD8E6"/>
      <color rgb="FFFF3399"/>
      <color rgb="FF00FF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17/06/relationships/rdRichValueTypes" Target="richData/rdRichValueTypes.xml"/><Relationship Id="rId10" Type="http://schemas.openxmlformats.org/officeDocument/2006/relationships/worksheet" Target="worksheets/sheet10.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446076</xdr:colOff>
      <xdr:row>52</xdr:row>
      <xdr:rowOff>166687</xdr:rowOff>
    </xdr:to>
    <xdr:pic>
      <xdr:nvPicPr>
        <xdr:cNvPr id="3" name="Picture 2">
          <a:extLst>
            <a:ext uri="{FF2B5EF4-FFF2-40B4-BE49-F238E27FC236}">
              <a16:creationId xmlns:a16="http://schemas.microsoft.com/office/drawing/2014/main" id="{20266D35-1A52-1A85-F38F-C808A50641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26545" cy="10072687"/>
        </a:xfrm>
        <a:prstGeom prst="rect">
          <a:avLst/>
        </a:prstGeom>
      </xdr:spPr>
    </xdr:pic>
    <xdr:clientData/>
  </xdr:twoCellAnchor>
  <xdr:twoCellAnchor editAs="oneCell">
    <xdr:from>
      <xdr:col>0</xdr:col>
      <xdr:colOff>0</xdr:colOff>
      <xdr:row>53</xdr:row>
      <xdr:rowOff>33339</xdr:rowOff>
    </xdr:from>
    <xdr:to>
      <xdr:col>25</xdr:col>
      <xdr:colOff>452437</xdr:colOff>
      <xdr:row>105</xdr:row>
      <xdr:rowOff>164307</xdr:rowOff>
    </xdr:to>
    <xdr:pic>
      <xdr:nvPicPr>
        <xdr:cNvPr id="7" name="Picture 6">
          <a:extLst>
            <a:ext uri="{FF2B5EF4-FFF2-40B4-BE49-F238E27FC236}">
              <a16:creationId xmlns:a16="http://schemas.microsoft.com/office/drawing/2014/main" id="{3B9249C3-8CE2-8D7B-36A1-7B07E6CE37B2}"/>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319" t="6835" r="6876" b="1706"/>
        <a:stretch>
          <a:fillRect/>
        </a:stretch>
      </xdr:blipFill>
      <xdr:spPr>
        <a:xfrm>
          <a:off x="0" y="10129839"/>
          <a:ext cx="15692437" cy="10036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22224</xdr:colOff>
      <xdr:row>18</xdr:row>
      <xdr:rowOff>174869</xdr:rowOff>
    </xdr:from>
    <xdr:to>
      <xdr:col>10</xdr:col>
      <xdr:colOff>273050</xdr:colOff>
      <xdr:row>32</xdr:row>
      <xdr:rowOff>155621</xdr:rowOff>
    </xdr:to>
    <xdr:pic>
      <xdr:nvPicPr>
        <xdr:cNvPr id="12" name="Picture 11">
          <a:extLst>
            <a:ext uri="{FF2B5EF4-FFF2-40B4-BE49-F238E27FC236}">
              <a16:creationId xmlns:a16="http://schemas.microsoft.com/office/drawing/2014/main" id="{D93CCAE4-E412-CA58-E413-3441649A5DC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016354" y="3550529"/>
          <a:ext cx="4845686" cy="2602032"/>
        </a:xfrm>
        <a:prstGeom prst="rect">
          <a:avLst/>
        </a:prstGeom>
        <a:ln w="12700">
          <a:solidFill>
            <a:schemeClr val="tx1"/>
          </a:solidFill>
        </a:ln>
      </xdr:spPr>
    </xdr:pic>
    <xdr:clientData/>
  </xdr:twoCellAnchor>
  <xdr:twoCellAnchor>
    <xdr:from>
      <xdr:col>6</xdr:col>
      <xdr:colOff>1172210</xdr:colOff>
      <xdr:row>19</xdr:row>
      <xdr:rowOff>63500</xdr:rowOff>
    </xdr:from>
    <xdr:to>
      <xdr:col>7</xdr:col>
      <xdr:colOff>900176</xdr:colOff>
      <xdr:row>22</xdr:row>
      <xdr:rowOff>71120</xdr:rowOff>
    </xdr:to>
    <xdr:sp macro="" textlink="">
      <xdr:nvSpPr>
        <xdr:cNvPr id="13" name="TextBox 12">
          <a:extLst>
            <a:ext uri="{FF2B5EF4-FFF2-40B4-BE49-F238E27FC236}">
              <a16:creationId xmlns:a16="http://schemas.microsoft.com/office/drawing/2014/main" id="{ACDD532A-D733-3250-E3A6-2E1FC1A75634}"/>
            </a:ext>
          </a:extLst>
        </xdr:cNvPr>
        <xdr:cNvSpPr txBox="1"/>
      </xdr:nvSpPr>
      <xdr:spPr>
        <a:xfrm>
          <a:off x="15166340" y="3622040"/>
          <a:ext cx="1499616" cy="609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1602 (Main Street)</a:t>
          </a:r>
          <a:br>
            <a:rPr lang="en-US" sz="1100"/>
          </a:br>
          <a:r>
            <a:rPr lang="en-US" sz="1100"/>
            <a:t>25 mph</a:t>
          </a:r>
          <a:br>
            <a:rPr lang="en-US" sz="1100"/>
          </a:br>
          <a:r>
            <a:rPr lang="en-US" sz="1100"/>
            <a:t>2025 AADT: 2,500 </a:t>
          </a:r>
        </a:p>
      </xdr:txBody>
    </xdr:sp>
    <xdr:clientData/>
  </xdr:twoCellAnchor>
  <xdr:twoCellAnchor>
    <xdr:from>
      <xdr:col>6</xdr:col>
      <xdr:colOff>81280</xdr:colOff>
      <xdr:row>27</xdr:row>
      <xdr:rowOff>20320</xdr:rowOff>
    </xdr:from>
    <xdr:to>
      <xdr:col>6</xdr:col>
      <xdr:colOff>1581150</xdr:colOff>
      <xdr:row>30</xdr:row>
      <xdr:rowOff>83820</xdr:rowOff>
    </xdr:to>
    <xdr:sp macro="" textlink="">
      <xdr:nvSpPr>
        <xdr:cNvPr id="14" name="TextBox 13">
          <a:extLst>
            <a:ext uri="{FF2B5EF4-FFF2-40B4-BE49-F238E27FC236}">
              <a16:creationId xmlns:a16="http://schemas.microsoft.com/office/drawing/2014/main" id="{EB92EE2F-B807-A03D-CC51-0DFFB3A4CB03}"/>
            </a:ext>
          </a:extLst>
        </xdr:cNvPr>
        <xdr:cNvSpPr txBox="1"/>
      </xdr:nvSpPr>
      <xdr:spPr>
        <a:xfrm>
          <a:off x="14075410" y="5102860"/>
          <a:ext cx="1499870"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1207 (Spring Street)</a:t>
          </a:r>
          <a:br>
            <a:rPr lang="en-US" sz="1100"/>
          </a:br>
          <a:r>
            <a:rPr lang="en-US" sz="1100"/>
            <a:t>35 mph</a:t>
          </a:r>
          <a:br>
            <a:rPr lang="en-US" sz="1100"/>
          </a:br>
          <a:r>
            <a:rPr lang="en-US" sz="1100"/>
            <a:t>2025 AADT: 2,800 </a:t>
          </a:r>
        </a:p>
      </xdr:txBody>
    </xdr:sp>
    <xdr:clientData/>
  </xdr:twoCellAnchor>
  <xdr:twoCellAnchor>
    <xdr:from>
      <xdr:col>7</xdr:col>
      <xdr:colOff>449580</xdr:colOff>
      <xdr:row>29</xdr:row>
      <xdr:rowOff>19050</xdr:rowOff>
    </xdr:from>
    <xdr:to>
      <xdr:col>8</xdr:col>
      <xdr:colOff>83820</xdr:colOff>
      <xdr:row>32</xdr:row>
      <xdr:rowOff>82550</xdr:rowOff>
    </xdr:to>
    <xdr:sp macro="" textlink="">
      <xdr:nvSpPr>
        <xdr:cNvPr id="15" name="TextBox 14">
          <a:extLst>
            <a:ext uri="{FF2B5EF4-FFF2-40B4-BE49-F238E27FC236}">
              <a16:creationId xmlns:a16="http://schemas.microsoft.com/office/drawing/2014/main" id="{BAF5C41C-DB2D-FBCE-6789-91F504A9C420}"/>
            </a:ext>
          </a:extLst>
        </xdr:cNvPr>
        <xdr:cNvSpPr txBox="1"/>
      </xdr:nvSpPr>
      <xdr:spPr>
        <a:xfrm>
          <a:off x="16215360" y="5467350"/>
          <a:ext cx="1497330"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1602 (Main Street)</a:t>
          </a:r>
          <a:br>
            <a:rPr lang="en-US" sz="1100"/>
          </a:br>
          <a:r>
            <a:rPr lang="en-US" sz="1100"/>
            <a:t>25 mph</a:t>
          </a:r>
          <a:br>
            <a:rPr lang="en-US" sz="1100"/>
          </a:br>
          <a:r>
            <a:rPr lang="en-US" sz="1100"/>
            <a:t>2025 AADT: 1,300 </a:t>
          </a:r>
        </a:p>
      </xdr:txBody>
    </xdr:sp>
    <xdr:clientData/>
  </xdr:twoCellAnchor>
  <xdr:twoCellAnchor editAs="oneCell">
    <xdr:from>
      <xdr:col>7</xdr:col>
      <xdr:colOff>1428750</xdr:colOff>
      <xdr:row>18</xdr:row>
      <xdr:rowOff>174432</xdr:rowOff>
    </xdr:from>
    <xdr:to>
      <xdr:col>10</xdr:col>
      <xdr:colOff>274465</xdr:colOff>
      <xdr:row>23</xdr:row>
      <xdr:rowOff>102870</xdr:rowOff>
    </xdr:to>
    <xdr:pic>
      <xdr:nvPicPr>
        <xdr:cNvPr id="6" name="Picture 5">
          <a:extLst>
            <a:ext uri="{FF2B5EF4-FFF2-40B4-BE49-F238E27FC236}">
              <a16:creationId xmlns:a16="http://schemas.microsoft.com/office/drawing/2014/main" id="{173EC4C6-F767-CFDE-1748-F44B7E5C7E1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7194530" y="3550092"/>
          <a:ext cx="1668925" cy="896178"/>
        </a:xfrm>
        <a:prstGeom prst="rect">
          <a:avLst/>
        </a:prstGeom>
        <a:ln w="12700">
          <a:solidFill>
            <a:schemeClr val="tx1"/>
          </a:solidFill>
        </a:ln>
      </xdr:spPr>
    </xdr:pic>
    <xdr:clientData/>
  </xdr:twoCellAnchor>
  <xdr:twoCellAnchor>
    <xdr:from>
      <xdr:col>7</xdr:col>
      <xdr:colOff>1178560</xdr:colOff>
      <xdr:row>24</xdr:row>
      <xdr:rowOff>46990</xdr:rowOff>
    </xdr:from>
    <xdr:to>
      <xdr:col>9</xdr:col>
      <xdr:colOff>216916</xdr:colOff>
      <xdr:row>27</xdr:row>
      <xdr:rowOff>106680</xdr:rowOff>
    </xdr:to>
    <xdr:sp macro="" textlink="">
      <xdr:nvSpPr>
        <xdr:cNvPr id="9" name="TextBox 8">
          <a:extLst>
            <a:ext uri="{FF2B5EF4-FFF2-40B4-BE49-F238E27FC236}">
              <a16:creationId xmlns:a16="http://schemas.microsoft.com/office/drawing/2014/main" id="{50A9E57E-5311-4111-8D7D-8409E6734870}"/>
            </a:ext>
          </a:extLst>
        </xdr:cNvPr>
        <xdr:cNvSpPr txBox="1"/>
      </xdr:nvSpPr>
      <xdr:spPr>
        <a:xfrm>
          <a:off x="16944340" y="4577080"/>
          <a:ext cx="1499616"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E Spring Street</a:t>
          </a:r>
          <a:br>
            <a:rPr lang="en-US" sz="1100"/>
          </a:br>
          <a:r>
            <a:rPr lang="en-US" sz="1100"/>
            <a:t>35 mph</a:t>
          </a:r>
          <a:br>
            <a:rPr lang="en-US" sz="1100"/>
          </a:br>
          <a:r>
            <a:rPr lang="en-US" sz="1100"/>
            <a:t>2025 AADT: 1,900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57150</xdr:colOff>
      <xdr:row>26</xdr:row>
      <xdr:rowOff>125730</xdr:rowOff>
    </xdr:from>
    <xdr:to>
      <xdr:col>5</xdr:col>
      <xdr:colOff>1011779</xdr:colOff>
      <xdr:row>50</xdr:row>
      <xdr:rowOff>179513</xdr:rowOff>
    </xdr:to>
    <xdr:grpSp>
      <xdr:nvGrpSpPr>
        <xdr:cNvPr id="7" name="Group 6">
          <a:extLst>
            <a:ext uri="{FF2B5EF4-FFF2-40B4-BE49-F238E27FC236}">
              <a16:creationId xmlns:a16="http://schemas.microsoft.com/office/drawing/2014/main" id="{9DD16BFF-0188-A831-4212-1BEC6369474D}"/>
            </a:ext>
          </a:extLst>
        </xdr:cNvPr>
        <xdr:cNvGrpSpPr/>
      </xdr:nvGrpSpPr>
      <xdr:grpSpPr>
        <a:xfrm>
          <a:off x="514350" y="5273040"/>
          <a:ext cx="5160869" cy="4526723"/>
          <a:chOff x="514350" y="5273040"/>
          <a:chExt cx="5160869" cy="4526723"/>
        </a:xfrm>
      </xdr:grpSpPr>
      <xdr:pic>
        <xdr:nvPicPr>
          <xdr:cNvPr id="2" name="Picture 1">
            <a:extLst>
              <a:ext uri="{FF2B5EF4-FFF2-40B4-BE49-F238E27FC236}">
                <a16:creationId xmlns:a16="http://schemas.microsoft.com/office/drawing/2014/main" id="{51456027-EA2C-C2D0-EF35-414C9E6AE475}"/>
              </a:ext>
            </a:extLst>
          </xdr:cNvPr>
          <xdr:cNvPicPr>
            <a:picLocks noChangeAspect="1"/>
          </xdr:cNvPicPr>
        </xdr:nvPicPr>
        <xdr:blipFill>
          <a:blip xmlns:r="http://schemas.openxmlformats.org/officeDocument/2006/relationships" r:embed="rId1"/>
          <a:stretch>
            <a:fillRect/>
          </a:stretch>
        </xdr:blipFill>
        <xdr:spPr>
          <a:xfrm>
            <a:off x="514350" y="5273040"/>
            <a:ext cx="5160869" cy="4526723"/>
          </a:xfrm>
          <a:prstGeom prst="rect">
            <a:avLst/>
          </a:prstGeom>
          <a:ln>
            <a:solidFill>
              <a:schemeClr val="tx1"/>
            </a:solidFill>
          </a:ln>
        </xdr:spPr>
      </xdr:pic>
      <xdr:sp macro="" textlink="">
        <xdr:nvSpPr>
          <xdr:cNvPr id="3" name="Oval 2">
            <a:extLst>
              <a:ext uri="{FF2B5EF4-FFF2-40B4-BE49-F238E27FC236}">
                <a16:creationId xmlns:a16="http://schemas.microsoft.com/office/drawing/2014/main" id="{960C04A9-1CF6-9072-FA10-E417B2595EB7}"/>
              </a:ext>
            </a:extLst>
          </xdr:cNvPr>
          <xdr:cNvSpPr>
            <a:spLocks noChangeAspect="1"/>
          </xdr:cNvSpPr>
        </xdr:nvSpPr>
        <xdr:spPr>
          <a:xfrm>
            <a:off x="2640330" y="7578090"/>
            <a:ext cx="274320" cy="274320"/>
          </a:xfrm>
          <a:prstGeom prst="ellipse">
            <a:avLst/>
          </a:prstGeom>
          <a:noFill/>
          <a:ln w="28575">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Oval 3">
            <a:extLst>
              <a:ext uri="{FF2B5EF4-FFF2-40B4-BE49-F238E27FC236}">
                <a16:creationId xmlns:a16="http://schemas.microsoft.com/office/drawing/2014/main" id="{06ECA06E-8D8B-6229-5BBF-9F38C00CC68A}"/>
              </a:ext>
            </a:extLst>
          </xdr:cNvPr>
          <xdr:cNvSpPr>
            <a:spLocks noChangeAspect="1"/>
          </xdr:cNvSpPr>
        </xdr:nvSpPr>
        <xdr:spPr>
          <a:xfrm>
            <a:off x="3931920" y="6911340"/>
            <a:ext cx="274320" cy="274320"/>
          </a:xfrm>
          <a:prstGeom prst="ellipse">
            <a:avLst/>
          </a:prstGeom>
          <a:noFill/>
          <a:ln w="2857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2139FCC3-4205-48E2-9B27-97E46C638EDA}"/>
              </a:ext>
            </a:extLst>
          </xdr:cNvPr>
          <xdr:cNvSpPr>
            <a:spLocks noChangeAspect="1"/>
          </xdr:cNvSpPr>
        </xdr:nvSpPr>
        <xdr:spPr>
          <a:xfrm>
            <a:off x="3733800" y="7985760"/>
            <a:ext cx="274320" cy="274320"/>
          </a:xfrm>
          <a:prstGeom prst="ellipse">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Oval 5">
            <a:extLst>
              <a:ext uri="{FF2B5EF4-FFF2-40B4-BE49-F238E27FC236}">
                <a16:creationId xmlns:a16="http://schemas.microsoft.com/office/drawing/2014/main" id="{B4DC0EE6-B80B-4512-81A0-A29FA667E799}"/>
              </a:ext>
            </a:extLst>
          </xdr:cNvPr>
          <xdr:cNvSpPr>
            <a:spLocks noChangeAspect="1"/>
          </xdr:cNvSpPr>
        </xdr:nvSpPr>
        <xdr:spPr>
          <a:xfrm>
            <a:off x="2590800" y="6134100"/>
            <a:ext cx="274320" cy="274320"/>
          </a:xfrm>
          <a:prstGeom prst="ellipse">
            <a:avLst/>
          </a:prstGeom>
          <a:noFill/>
          <a:ln w="28575">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xdr:colOff>
          <xdr:row>12</xdr:row>
          <xdr:rowOff>114300</xdr:rowOff>
        </xdr:from>
        <xdr:to>
          <xdr:col>2</xdr:col>
          <xdr:colOff>525780</xdr:colOff>
          <xdr:row>15</xdr:row>
          <xdr:rowOff>87630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FF"/>
                  </a:solidFill>
                  <a:latin typeface="Aptos Narrow"/>
                </a:rPr>
                <a:t>Run FichePrep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30</xdr:col>
      <xdr:colOff>2254976</xdr:colOff>
      <xdr:row>1</xdr:row>
      <xdr:rowOff>81642</xdr:rowOff>
    </xdr:from>
    <xdr:to>
      <xdr:col>31</xdr:col>
      <xdr:colOff>1452972</xdr:colOff>
      <xdr:row>3</xdr:row>
      <xdr:rowOff>143555</xdr:rowOff>
    </xdr:to>
    <xdr:sp macro="[0]!S3_Binned_Crash.S3_Binned_Crash" textlink="">
      <xdr:nvSpPr>
        <xdr:cNvPr id="6" name="TextBox 5">
          <a:extLst>
            <a:ext uri="{FF2B5EF4-FFF2-40B4-BE49-F238E27FC236}">
              <a16:creationId xmlns:a16="http://schemas.microsoft.com/office/drawing/2014/main" id="{3E3D86C0-13E3-4375-BEAA-46F5A43B2EA6}"/>
            </a:ext>
          </a:extLst>
        </xdr:cNvPr>
        <xdr:cNvSpPr txBox="1"/>
      </xdr:nvSpPr>
      <xdr:spPr>
        <a:xfrm>
          <a:off x="28180393" y="272142"/>
          <a:ext cx="2238376" cy="442913"/>
        </a:xfrm>
        <a:prstGeom prst="rect">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a:scene3d>
          <a:camera prst="orthographicFront"/>
          <a:lightRig rig="threePt" dir="t"/>
        </a:scene3d>
        <a:sp3d>
          <a:bevelT/>
        </a:sp3d>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Final Sort</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xdr:colOff>
          <xdr:row>16</xdr:row>
          <xdr:rowOff>68580</xdr:rowOff>
        </xdr:from>
        <xdr:to>
          <xdr:col>5</xdr:col>
          <xdr:colOff>1314450</xdr:colOff>
          <xdr:row>19</xdr:row>
          <xdr:rowOff>163830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Equal Time Period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20</xdr:row>
          <xdr:rowOff>163830</xdr:rowOff>
        </xdr:from>
        <xdr:to>
          <xdr:col>5</xdr:col>
          <xdr:colOff>1287780</xdr:colOff>
          <xdr:row>24</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Unequal Time Period </a:t>
              </a:r>
            </a:p>
          </xdr:txBody>
        </xdr:sp>
        <xdr:clientData fPrintsWithSheet="0"/>
      </xdr:twoCellAnchor>
    </mc:Choice>
    <mc:Fallback/>
  </mc:AlternateContent>
  <xdr:twoCellAnchor editAs="oneCell">
    <xdr:from>
      <xdr:col>2</xdr:col>
      <xdr:colOff>104775</xdr:colOff>
      <xdr:row>25</xdr:row>
      <xdr:rowOff>180975</xdr:rowOff>
    </xdr:from>
    <xdr:to>
      <xdr:col>2</xdr:col>
      <xdr:colOff>1542870</xdr:colOff>
      <xdr:row>28</xdr:row>
      <xdr:rowOff>123755</xdr:rowOff>
    </xdr:to>
    <xdr:pic>
      <xdr:nvPicPr>
        <xdr:cNvPr id="2" name="Picture 1">
          <a:extLst>
            <a:ext uri="{FF2B5EF4-FFF2-40B4-BE49-F238E27FC236}">
              <a16:creationId xmlns:a16="http://schemas.microsoft.com/office/drawing/2014/main" id="{6B3355DA-6560-4B9E-A2BD-8F9056578155}"/>
            </a:ext>
          </a:extLst>
        </xdr:cNvPr>
        <xdr:cNvPicPr>
          <a:picLocks noChangeAspect="1"/>
        </xdr:cNvPicPr>
      </xdr:nvPicPr>
      <xdr:blipFill>
        <a:blip xmlns:r="http://schemas.openxmlformats.org/officeDocument/2006/relationships" r:embed="rId1"/>
        <a:stretch>
          <a:fillRect/>
        </a:stretch>
      </xdr:blipFill>
      <xdr:spPr>
        <a:xfrm>
          <a:off x="1076325" y="5267325"/>
          <a:ext cx="1438095" cy="5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323849</xdr:colOff>
      <xdr:row>7</xdr:row>
      <xdr:rowOff>152400</xdr:rowOff>
    </xdr:from>
    <xdr:to>
      <xdr:col>2</xdr:col>
      <xdr:colOff>1714499</xdr:colOff>
      <xdr:row>36</xdr:row>
      <xdr:rowOff>95250</xdr:rowOff>
    </xdr:to>
    <xdr:sp macro="" textlink="">
      <xdr:nvSpPr>
        <xdr:cNvPr id="2" name="TextBox 1">
          <a:extLst>
            <a:ext uri="{FF2B5EF4-FFF2-40B4-BE49-F238E27FC236}">
              <a16:creationId xmlns:a16="http://schemas.microsoft.com/office/drawing/2014/main" id="{1C9BAA7A-D488-7E09-5778-4C72B3804569}"/>
            </a:ext>
          </a:extLst>
        </xdr:cNvPr>
        <xdr:cNvSpPr txBox="1"/>
      </xdr:nvSpPr>
      <xdr:spPr>
        <a:xfrm>
          <a:off x="323849" y="1657350"/>
          <a:ext cx="2962275" cy="557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Copy the</a:t>
          </a:r>
          <a:r>
            <a:rPr lang="en-US" sz="1100" baseline="0"/>
            <a:t> entire row from the CRF sheet into row 3.</a:t>
          </a:r>
        </a:p>
        <a:p>
          <a:endParaRPr lang="en-US" sz="1100" baseline="0"/>
        </a:p>
        <a:p>
          <a:r>
            <a:rPr lang="en-US" sz="1100" baseline="0"/>
            <a:t>2. If the CRF Crash Pattern Affected is not in column  AG as an automatically calculated crash type, then add the before and after crash numbers into row 22.</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3. </a:t>
          </a:r>
          <a:r>
            <a:rPr lang="en-US" sz="1100" baseline="0">
              <a:solidFill>
                <a:schemeClr val="dk1"/>
              </a:solidFill>
              <a:effectLst/>
              <a:latin typeface="+mn-lt"/>
              <a:ea typeface="+mn-ea"/>
              <a:cs typeface="+mn-cs"/>
            </a:rPr>
            <a:t>Only the cells that are orange need to be edited. Blue Cells come from elsewhere in the workbook. If you need to overwrite anything in blue, that is fine but it will no longer be linked to the rest of the workbook</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4. Once you are satisfied with what is here, then you can click generate email. If this workbook is saved in the same folder as the Completed Evaluation document then it will attach the file to the email.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a:t>
          </a:r>
          <a:endParaRPr lang="en-US" sz="1100" b="1"/>
        </a:p>
        <a:p>
          <a:endParaRPr lang="en-US" sz="1100"/>
        </a:p>
        <a:p>
          <a:r>
            <a:rPr lang="en-US" sz="1100"/>
            <a:t>-</a:t>
          </a:r>
          <a:r>
            <a:rPr lang="en-US" sz="1100" baseline="0"/>
            <a:t> If this is a location with multiple locations or countermeasures or CRFs, you will need to edit the email manually. The email can only attach 1 Evaluation pdf.</a:t>
          </a:r>
        </a:p>
        <a:p>
          <a:r>
            <a:rPr lang="en-US" sz="1100" baseline="0"/>
            <a:t> </a:t>
          </a:r>
        </a:p>
        <a:p>
          <a:r>
            <a:rPr lang="en-US" sz="1100" baseline="0"/>
            <a:t>- The email distribution list comes directly from the Email Distribution workbook. If you need to reverify recipients or edit the recipients, you will need to do so directly in the Email Distribution List workbook.</a:t>
          </a:r>
        </a:p>
        <a:p>
          <a:endParaRPr lang="en-US" sz="1100" baseline="0"/>
        </a:p>
      </xdr:txBody>
    </xdr:sp>
    <xdr:clientData/>
  </xdr:twoCellAnchor>
  <xdr:twoCellAnchor>
    <xdr:from>
      <xdr:col>0</xdr:col>
      <xdr:colOff>400049</xdr:colOff>
      <xdr:row>4</xdr:row>
      <xdr:rowOff>80962</xdr:rowOff>
    </xdr:from>
    <xdr:to>
      <xdr:col>2</xdr:col>
      <xdr:colOff>1066799</xdr:colOff>
      <xdr:row>6</xdr:row>
      <xdr:rowOff>133350</xdr:rowOff>
    </xdr:to>
    <xdr:sp macro="[0]!S5_CreateEvalEmail.Step_5_CreateEvalEmail" textlink="">
      <xdr:nvSpPr>
        <xdr:cNvPr id="3" name="TextBox 2">
          <a:extLst>
            <a:ext uri="{FF2B5EF4-FFF2-40B4-BE49-F238E27FC236}">
              <a16:creationId xmlns:a16="http://schemas.microsoft.com/office/drawing/2014/main" id="{F8B4365E-E8B1-A17E-08F3-1DD399B1F6B4}"/>
            </a:ext>
          </a:extLst>
        </xdr:cNvPr>
        <xdr:cNvSpPr txBox="1"/>
      </xdr:nvSpPr>
      <xdr:spPr>
        <a:xfrm>
          <a:off x="400049" y="995362"/>
          <a:ext cx="2238375" cy="442913"/>
        </a:xfrm>
        <a:prstGeom prst="rect">
          <a:avLst/>
        </a:prstGeom>
        <a:ln/>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2400" b="0" cap="none" spc="0">
              <a:ln>
                <a:noFill/>
              </a:ln>
              <a:solidFill>
                <a:schemeClr val="tx1"/>
              </a:solidFill>
              <a:effectLst/>
            </a:rPr>
            <a:t>Generate</a:t>
          </a:r>
          <a:r>
            <a:rPr lang="en-US" sz="2400" b="0" cap="none" spc="0" baseline="0">
              <a:ln>
                <a:noFill/>
              </a:ln>
              <a:solidFill>
                <a:schemeClr val="tx1"/>
              </a:solidFill>
              <a:effectLst/>
            </a:rPr>
            <a:t> Email</a:t>
          </a:r>
          <a:endParaRPr lang="en-US" sz="2400" b="0" cap="none" spc="0">
            <a:ln>
              <a:noFill/>
            </a:ln>
            <a:solidFill>
              <a:schemeClr val="tx1"/>
            </a:solidFill>
            <a:effectLst/>
          </a:endParaRPr>
        </a:p>
      </xdr:txBody>
    </xdr:sp>
    <xdr:clientData/>
  </xdr:twoCellAnchor>
</xdr:wsDr>
</file>

<file path=xl/externalLinks/_rels/externalLink3.xml.rels><?xml version="1.0" encoding="UTF-8" standalone="yes"?>
<Relationships xmlns="http://schemas.openxmlformats.org/package/2006/relationships"><Relationship Id="rId2" Type="http://schemas.openxmlformats.org/officeDocument/2006/relationships/externalLinkPath" Target="file:///S:\TSU\SES\NC%20Project%20Development%20CRF%20Sheet\NCDOT%20CRF%20Sheet%20-%20unlocked%20-%2006062025.xlsx" TargetMode="External"/><Relationship Id="rId1" Type="http://schemas.openxmlformats.org/officeDocument/2006/relationships/externalLinkPath" Target="/TSU/SES/NC%20Project%20Development%20CRF%20Sheet/NCDOT%20CRF%20Sheet%20-%20unlocked%20-%2006062025.xlsx" TargetMode="External"/></Relationships>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DIRECTORY"/>
      <sheetName val="1 - Traffic Signals"/>
      <sheetName val="2 - Reduce Conflicts"/>
      <sheetName val="3 - Turn Lanes &amp; Ramps"/>
      <sheetName val="4 - Roadway Improvements"/>
      <sheetName val="5 - Roadside Improvements"/>
      <sheetName val="6 - Alignment &amp; Sight Distance"/>
      <sheetName val="7 - Sign-Delineate-Illuminate"/>
      <sheetName val="8 - Pedestrian &amp; Bicycle"/>
      <sheetName val="9 - Railroad Crossing"/>
      <sheetName val="10 - Work Zones"/>
      <sheetName val="CRASH COSTS"/>
      <sheetName val="HISTORICAL 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5">
          <cell r="B5" t="str">
            <v>TOTAL</v>
          </cell>
          <cell r="C5">
            <v>4129000</v>
          </cell>
          <cell r="D5">
            <v>187000</v>
          </cell>
          <cell r="E5">
            <v>15100</v>
          </cell>
        </row>
        <row r="6">
          <cell r="C6"/>
          <cell r="D6"/>
          <cell r="E6"/>
        </row>
        <row r="7">
          <cell r="B7" t="str">
            <v>FRONTAL IMPACT</v>
          </cell>
          <cell r="C7">
            <v>4216000</v>
          </cell>
          <cell r="D7">
            <v>213000</v>
          </cell>
          <cell r="E7">
            <v>15100</v>
          </cell>
        </row>
        <row r="8">
          <cell r="C8"/>
          <cell r="D8"/>
          <cell r="E8"/>
        </row>
        <row r="9">
          <cell r="B9" t="str">
            <v>LANE DEPARTURE</v>
          </cell>
          <cell r="C9">
            <v>4126000</v>
          </cell>
          <cell r="D9">
            <v>165000</v>
          </cell>
          <cell r="E9">
            <v>15100</v>
          </cell>
        </row>
        <row r="10">
          <cell r="C10"/>
          <cell r="D10"/>
          <cell r="E10"/>
        </row>
        <row r="11">
          <cell r="B11" t="str">
            <v>REAR END</v>
          </cell>
          <cell r="C11">
            <v>4018000</v>
          </cell>
          <cell r="D11">
            <v>186000</v>
          </cell>
          <cell r="E11">
            <v>15100</v>
          </cell>
        </row>
        <row r="12">
          <cell r="C12"/>
          <cell r="D12"/>
          <cell r="E12"/>
        </row>
        <row r="13">
          <cell r="B13" t="str">
            <v>PEDESTRIAN</v>
          </cell>
          <cell r="C13">
            <v>5595000</v>
          </cell>
          <cell r="D13">
            <v>148000</v>
          </cell>
          <cell r="E13">
            <v>15100</v>
          </cell>
        </row>
        <row r="14">
          <cell r="C14"/>
          <cell r="D14"/>
          <cell r="E14"/>
        </row>
        <row r="15">
          <cell r="B15" t="str">
            <v>BICYCLE</v>
          </cell>
          <cell r="C15">
            <v>4061000</v>
          </cell>
          <cell r="D15">
            <v>143000</v>
          </cell>
          <cell r="E15">
            <v>15100</v>
          </cell>
        </row>
        <row r="16">
          <cell r="C16"/>
          <cell r="D16"/>
          <cell r="E16"/>
        </row>
        <row r="17">
          <cell r="B17" t="str">
            <v>TRAIN</v>
          </cell>
          <cell r="C17">
            <v>8281000</v>
          </cell>
          <cell r="D17">
            <v>134000</v>
          </cell>
          <cell r="E17">
            <v>60000</v>
          </cell>
        </row>
        <row r="18">
          <cell r="C18"/>
          <cell r="D18"/>
          <cell r="E18"/>
        </row>
        <row r="19">
          <cell r="B19" t="str">
            <v>TRUCK</v>
          </cell>
          <cell r="C19">
            <v>5324000</v>
          </cell>
          <cell r="D19">
            <v>180000</v>
          </cell>
          <cell r="E19">
            <v>15100</v>
          </cell>
        </row>
      </sheetData>
      <sheetData sheetId="13"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75778E9-BAEC-4223-8E72-C7B1540A4603}"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#NAME?</fb>
    <v>4</v>
    <v>1</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50DE5B-C154-42CB-88DF-32F9CF581E8C}" name="Email_List" displayName="Email_List" ref="A1:T32" tableType="queryTable" totalsRowShown="0">
  <autoFilter ref="A1:T32" xr:uid="{E750DE5B-C154-42CB-88DF-32F9CF581E8C}"/>
  <tableColumns count="20">
    <tableColumn id="1" xr3:uid="{868B6ED7-1648-46A1-8D67-630806570648}" uniqueName="1" name="Column1" queryTableFieldId="1"/>
    <tableColumn id="2" xr3:uid="{32E4DED5-3746-461C-9374-C812448440E1}" uniqueName="2" name="Column2" queryTableFieldId="2"/>
    <tableColumn id="3" xr3:uid="{22188BA0-DD7A-4816-8162-0F57BDE633F2}" uniqueName="3" name="Column3" queryTableFieldId="3" dataDxfId="31"/>
    <tableColumn id="4" xr3:uid="{09F98296-7798-43A9-896E-04974E766AB0}" uniqueName="4" name="Column4" queryTableFieldId="4" dataDxfId="30"/>
    <tableColumn id="5" xr3:uid="{7404F65E-908C-4E97-8A12-167073D0C86C}" uniqueName="5" name="Column5" queryTableFieldId="5" dataDxfId="29"/>
    <tableColumn id="6" xr3:uid="{E8F135F1-991A-4811-87AD-D84806E5CC4D}" uniqueName="6" name="Column6" queryTableFieldId="6" dataDxfId="28"/>
    <tableColumn id="7" xr3:uid="{1B55EDB6-4BCD-47DA-BE7D-D9653772A615}" uniqueName="7" name="Column7" queryTableFieldId="7" dataDxfId="27"/>
    <tableColumn id="8" xr3:uid="{7ABA678C-AE41-4E2D-B477-7B4356F11CB8}" uniqueName="8" name="Column8" queryTableFieldId="8" dataDxfId="26"/>
    <tableColumn id="9" xr3:uid="{643D99A0-0B65-4AC0-AF81-E2DA4B225B21}" uniqueName="9" name="Column9" queryTableFieldId="9" dataDxfId="25"/>
    <tableColumn id="10" xr3:uid="{9DA9C349-FC44-4600-B7F6-45D6D024F33A}" uniqueName="10" name="Column10" queryTableFieldId="10" dataDxfId="24"/>
    <tableColumn id="11" xr3:uid="{A2B6EDF3-CECD-45AD-8586-09DDB24832EB}" uniqueName="11" name="Column11" queryTableFieldId="11" dataDxfId="23"/>
    <tableColumn id="12" xr3:uid="{3E005D86-B4D8-42B9-93D2-3C80DC04DCCE}" uniqueName="12" name="Column12" queryTableFieldId="12" dataDxfId="22"/>
    <tableColumn id="13" xr3:uid="{016FE69D-1C56-45D4-9E52-065A02E99004}" uniqueName="13" name="Column13" queryTableFieldId="13" dataDxfId="21"/>
    <tableColumn id="14" xr3:uid="{C34357CF-7B33-4146-BC79-692656D5A261}" uniqueName="14" name="Column14" queryTableFieldId="14" dataDxfId="20"/>
    <tableColumn id="15" xr3:uid="{C88019FB-EE31-4C10-A8D4-4687278EC36E}" uniqueName="15" name="Column15" queryTableFieldId="15" dataDxfId="19"/>
    <tableColumn id="16" xr3:uid="{2765D085-A51B-4A58-AB1C-DAAD376A310A}" uniqueName="16" name="Column16" queryTableFieldId="16" dataDxfId="18"/>
    <tableColumn id="17" xr3:uid="{3FB365D3-6DBE-4359-AEFC-281495DF078B}" uniqueName="17" name="Column17" queryTableFieldId="17" dataDxfId="17"/>
    <tableColumn id="18" xr3:uid="{FE013A89-E8AF-4575-82F2-F6B1BB038DDC}" uniqueName="18" name="Column18" queryTableFieldId="18" dataDxfId="16"/>
    <tableColumn id="19" xr3:uid="{FFA895D5-680A-4E33-8146-EB667FBECFB6}" uniqueName="19" name="Column19" queryTableFieldId="19" dataDxfId="15"/>
    <tableColumn id="20" xr3:uid="{630375A4-F031-4719-88E6-C86A4BD1306C}" uniqueName="20" name="Column20" queryTableFieldId="20" dataDxfId="14"/>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3" Type="http://schemas.openxmlformats.org/officeDocument/2006/relationships/hyperlink" Target="http://maps.google.com/?q=36.00188,-80.063" TargetMode="External"/><Relationship Id="rId18" Type="http://schemas.openxmlformats.org/officeDocument/2006/relationships/hyperlink" Target="http://maps.google.com/?q=36.016926,-80.06724" TargetMode="External"/><Relationship Id="rId26" Type="http://schemas.openxmlformats.org/officeDocument/2006/relationships/hyperlink" Target="http://maps.google.com/?q=35.9883,-80.06657" TargetMode="External"/><Relationship Id="rId39" Type="http://schemas.openxmlformats.org/officeDocument/2006/relationships/hyperlink" Target="http://maps.google.com/?q=35.99305,-80.05136" TargetMode="External"/><Relationship Id="rId3" Type="http://schemas.openxmlformats.org/officeDocument/2006/relationships/hyperlink" Target="http://maps.google.com/?q=35.98822,-80.0666" TargetMode="External"/><Relationship Id="rId21" Type="http://schemas.openxmlformats.org/officeDocument/2006/relationships/hyperlink" Target="http://maps.google.com/?q=36.009579,-80.06063" TargetMode="External"/><Relationship Id="rId34" Type="http://schemas.openxmlformats.org/officeDocument/2006/relationships/hyperlink" Target="http://maps.google.com/?q=35.99413,-80.06176" TargetMode="External"/><Relationship Id="rId42" Type="http://schemas.openxmlformats.org/officeDocument/2006/relationships/hyperlink" Target="http://maps.google.com/?q=35.988089,-80.06656" TargetMode="External"/><Relationship Id="rId47" Type="http://schemas.openxmlformats.org/officeDocument/2006/relationships/hyperlink" Target="http://maps.google.com/?q=36.000828,-80.06297" TargetMode="External"/><Relationship Id="rId50" Type="http://schemas.openxmlformats.org/officeDocument/2006/relationships/drawing" Target="../drawings/drawing5.xml"/><Relationship Id="rId7" Type="http://schemas.openxmlformats.org/officeDocument/2006/relationships/hyperlink" Target="http://maps.google.com/?q=35.994456,-80.06247" TargetMode="External"/><Relationship Id="rId12" Type="http://schemas.openxmlformats.org/officeDocument/2006/relationships/hyperlink" Target="http://maps.google.com/?q=35.99812,-80.06297" TargetMode="External"/><Relationship Id="rId17" Type="http://schemas.openxmlformats.org/officeDocument/2006/relationships/hyperlink" Target="http://maps.google.com/?q=36.009882,-80.06053" TargetMode="External"/><Relationship Id="rId25" Type="http://schemas.openxmlformats.org/officeDocument/2006/relationships/hyperlink" Target="http://maps.google.com/?q=35.99945,-80.06305" TargetMode="External"/><Relationship Id="rId33" Type="http://schemas.openxmlformats.org/officeDocument/2006/relationships/hyperlink" Target="http://maps.google.com/?q=35.99301,-80.04478" TargetMode="External"/><Relationship Id="rId38" Type="http://schemas.openxmlformats.org/officeDocument/2006/relationships/hyperlink" Target="http://maps.google.com/?q=35.993488,-80.057046" TargetMode="External"/><Relationship Id="rId46" Type="http://schemas.openxmlformats.org/officeDocument/2006/relationships/hyperlink" Target="http://maps.google.com/?q=35.99462,-80.06257" TargetMode="External"/><Relationship Id="rId2" Type="http://schemas.openxmlformats.org/officeDocument/2006/relationships/hyperlink" Target="http://maps.google.com/?q=35.98827,-80.06647" TargetMode="External"/><Relationship Id="rId16" Type="http://schemas.openxmlformats.org/officeDocument/2006/relationships/hyperlink" Target="http://maps.google.com/?q=36.00762,-80.06054" TargetMode="External"/><Relationship Id="rId20" Type="http://schemas.openxmlformats.org/officeDocument/2006/relationships/hyperlink" Target="http://maps.google.com/?q=36.00034,-80.06173" TargetMode="External"/><Relationship Id="rId29" Type="http://schemas.openxmlformats.org/officeDocument/2006/relationships/hyperlink" Target="http://maps.google.com/?q=35.99923,-80.06299" TargetMode="External"/><Relationship Id="rId41" Type="http://schemas.openxmlformats.org/officeDocument/2006/relationships/hyperlink" Target="http://maps.google.com/?q=35.99182,-80.04815" TargetMode="External"/><Relationship Id="rId1" Type="http://schemas.openxmlformats.org/officeDocument/2006/relationships/hyperlink" Target="http://maps.google.com/?q=35.988188,-80.06655" TargetMode="External"/><Relationship Id="rId6" Type="http://schemas.openxmlformats.org/officeDocument/2006/relationships/hyperlink" Target="http://maps.google.com/?q=35.994472,-80.06245" TargetMode="External"/><Relationship Id="rId11" Type="http://schemas.openxmlformats.org/officeDocument/2006/relationships/hyperlink" Target="http://maps.google.com/?q=35.994508,-80.062469" TargetMode="External"/><Relationship Id="rId24" Type="http://schemas.openxmlformats.org/officeDocument/2006/relationships/hyperlink" Target="http://maps.google.com/?q=35.99142,-80.06269" TargetMode="External"/><Relationship Id="rId32" Type="http://schemas.openxmlformats.org/officeDocument/2006/relationships/hyperlink" Target="http://maps.google.com/?q=36.00613,-80.06076" TargetMode="External"/><Relationship Id="rId37" Type="http://schemas.openxmlformats.org/officeDocument/2006/relationships/hyperlink" Target="http://maps.google.com/?q=35.99442,-80.04028" TargetMode="External"/><Relationship Id="rId40" Type="http://schemas.openxmlformats.org/officeDocument/2006/relationships/hyperlink" Target="http://maps.google.com/?q=35.993001,-80.05102" TargetMode="External"/><Relationship Id="rId45" Type="http://schemas.openxmlformats.org/officeDocument/2006/relationships/hyperlink" Target="http://maps.google.com/?q=35.98836,-80.0668" TargetMode="External"/><Relationship Id="rId5" Type="http://schemas.openxmlformats.org/officeDocument/2006/relationships/hyperlink" Target="http://maps.google.com/?q=35.99211,-80.06229" TargetMode="External"/><Relationship Id="rId15" Type="http://schemas.openxmlformats.org/officeDocument/2006/relationships/hyperlink" Target="http://maps.google.com/?q=36.00713,-80.0606" TargetMode="External"/><Relationship Id="rId23" Type="http://schemas.openxmlformats.org/officeDocument/2006/relationships/hyperlink" Target="http://maps.google.com/?q=35.99133,-80.06282" TargetMode="External"/><Relationship Id="rId28" Type="http://schemas.openxmlformats.org/officeDocument/2006/relationships/hyperlink" Target="http://maps.google.com/?q=36.0045,-80.06142" TargetMode="External"/><Relationship Id="rId36" Type="http://schemas.openxmlformats.org/officeDocument/2006/relationships/hyperlink" Target="http://maps.google.com/?q=35.99805,-80.05136" TargetMode="External"/><Relationship Id="rId49" Type="http://schemas.openxmlformats.org/officeDocument/2006/relationships/printerSettings" Target="../printerSettings/printerSettings5.bin"/><Relationship Id="rId10" Type="http://schemas.openxmlformats.org/officeDocument/2006/relationships/hyperlink" Target="http://maps.google.com/?q=35.9945,-80.06249" TargetMode="External"/><Relationship Id="rId19" Type="http://schemas.openxmlformats.org/officeDocument/2006/relationships/hyperlink" Target="http://maps.google.com/?q=36.0015,-80.06301" TargetMode="External"/><Relationship Id="rId31" Type="http://schemas.openxmlformats.org/officeDocument/2006/relationships/hyperlink" Target="http://maps.google.com/?q=36.007196,-80.0607" TargetMode="External"/><Relationship Id="rId44" Type="http://schemas.openxmlformats.org/officeDocument/2006/relationships/hyperlink" Target="http://maps.google.com/?q=35.9881,-80.06659" TargetMode="External"/><Relationship Id="rId4" Type="http://schemas.openxmlformats.org/officeDocument/2006/relationships/hyperlink" Target="http://maps.google.com/?q=35.99109,-80.06337" TargetMode="External"/><Relationship Id="rId9" Type="http://schemas.openxmlformats.org/officeDocument/2006/relationships/hyperlink" Target="http://maps.google.com/?q=35.99443,-80.06258" TargetMode="External"/><Relationship Id="rId14" Type="http://schemas.openxmlformats.org/officeDocument/2006/relationships/hyperlink" Target="http://maps.google.com/?q=36.00331,-80.06219" TargetMode="External"/><Relationship Id="rId22" Type="http://schemas.openxmlformats.org/officeDocument/2006/relationships/hyperlink" Target="http://maps.google.com/?q=36.011641,-80.06052" TargetMode="External"/><Relationship Id="rId27" Type="http://schemas.openxmlformats.org/officeDocument/2006/relationships/hyperlink" Target="http://maps.google.com/?q=36.0045,-80.06138" TargetMode="External"/><Relationship Id="rId30" Type="http://schemas.openxmlformats.org/officeDocument/2006/relationships/hyperlink" Target="http://maps.google.com/?q=36.00694,-80.06093" TargetMode="External"/><Relationship Id="rId35" Type="http://schemas.openxmlformats.org/officeDocument/2006/relationships/hyperlink" Target="http://maps.google.com/?q=35.99383,-80.06044" TargetMode="External"/><Relationship Id="rId43" Type="http://schemas.openxmlformats.org/officeDocument/2006/relationships/hyperlink" Target="http://maps.google.com/?q=35.98818,-80.06642" TargetMode="External"/><Relationship Id="rId48" Type="http://schemas.openxmlformats.org/officeDocument/2006/relationships/hyperlink" Target="http://maps.google.com/?q=35.818197,-80.245566" TargetMode="External"/><Relationship Id="rId8" Type="http://schemas.openxmlformats.org/officeDocument/2006/relationships/hyperlink" Target="http://maps.google.com/?q=35.994456,-80.06247"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maps.google.com/?q=35.994456,-80.06247" TargetMode="External"/><Relationship Id="rId13" Type="http://schemas.openxmlformats.org/officeDocument/2006/relationships/hyperlink" Target="http://maps.google.com/?q=36.00188,-80.063" TargetMode="External"/><Relationship Id="rId18" Type="http://schemas.openxmlformats.org/officeDocument/2006/relationships/hyperlink" Target="http://maps.google.com/?q=36.016926,-80.06724" TargetMode="External"/><Relationship Id="rId26" Type="http://schemas.openxmlformats.org/officeDocument/2006/relationships/hyperlink" Target="http://maps.google.com/?q=35.9883,-80.06657" TargetMode="External"/><Relationship Id="rId39" Type="http://schemas.openxmlformats.org/officeDocument/2006/relationships/hyperlink" Target="http://maps.google.com/?q=35.99305,-80.05136" TargetMode="External"/><Relationship Id="rId3" Type="http://schemas.openxmlformats.org/officeDocument/2006/relationships/hyperlink" Target="http://maps.google.com/?q=35.98822,-80.0666" TargetMode="External"/><Relationship Id="rId21" Type="http://schemas.openxmlformats.org/officeDocument/2006/relationships/hyperlink" Target="http://maps.google.com/?q=36.009579,-80.06063" TargetMode="External"/><Relationship Id="rId34" Type="http://schemas.openxmlformats.org/officeDocument/2006/relationships/hyperlink" Target="http://maps.google.com/?q=35.99413,-80.06176" TargetMode="External"/><Relationship Id="rId42" Type="http://schemas.openxmlformats.org/officeDocument/2006/relationships/hyperlink" Target="http://maps.google.com/?q=35.988089,-80.06656" TargetMode="External"/><Relationship Id="rId47" Type="http://schemas.openxmlformats.org/officeDocument/2006/relationships/hyperlink" Target="http://maps.google.com/?q=36.000828,-80.06297" TargetMode="External"/><Relationship Id="rId7" Type="http://schemas.openxmlformats.org/officeDocument/2006/relationships/hyperlink" Target="http://maps.google.com/?q=35.994456,-80.06247" TargetMode="External"/><Relationship Id="rId12" Type="http://schemas.openxmlformats.org/officeDocument/2006/relationships/hyperlink" Target="http://maps.google.com/?q=35.99812,-80.06297" TargetMode="External"/><Relationship Id="rId17" Type="http://schemas.openxmlformats.org/officeDocument/2006/relationships/hyperlink" Target="http://maps.google.com/?q=36.009882,-80.06053" TargetMode="External"/><Relationship Id="rId25" Type="http://schemas.openxmlformats.org/officeDocument/2006/relationships/hyperlink" Target="http://maps.google.com/?q=35.99945,-80.06305" TargetMode="External"/><Relationship Id="rId33" Type="http://schemas.openxmlformats.org/officeDocument/2006/relationships/hyperlink" Target="http://maps.google.com/?q=35.99301,-80.04478" TargetMode="External"/><Relationship Id="rId38" Type="http://schemas.openxmlformats.org/officeDocument/2006/relationships/hyperlink" Target="http://maps.google.com/?q=35.993488,-80.057046" TargetMode="External"/><Relationship Id="rId46" Type="http://schemas.openxmlformats.org/officeDocument/2006/relationships/hyperlink" Target="http://maps.google.com/?q=35.99462,-80.06257" TargetMode="External"/><Relationship Id="rId2" Type="http://schemas.openxmlformats.org/officeDocument/2006/relationships/hyperlink" Target="http://maps.google.com/?q=35.98827,-80.06647" TargetMode="External"/><Relationship Id="rId16" Type="http://schemas.openxmlformats.org/officeDocument/2006/relationships/hyperlink" Target="http://maps.google.com/?q=36.00762,-80.06054" TargetMode="External"/><Relationship Id="rId20" Type="http://schemas.openxmlformats.org/officeDocument/2006/relationships/hyperlink" Target="http://maps.google.com/?q=36.00034,-80.06173" TargetMode="External"/><Relationship Id="rId29" Type="http://schemas.openxmlformats.org/officeDocument/2006/relationships/hyperlink" Target="http://maps.google.com/?q=35.99923,-80.06299" TargetMode="External"/><Relationship Id="rId41" Type="http://schemas.openxmlformats.org/officeDocument/2006/relationships/hyperlink" Target="http://maps.google.com/?q=35.99182,-80.04815" TargetMode="External"/><Relationship Id="rId1" Type="http://schemas.openxmlformats.org/officeDocument/2006/relationships/hyperlink" Target="http://maps.google.com/?q=35.988188,-80.06655" TargetMode="External"/><Relationship Id="rId6" Type="http://schemas.openxmlformats.org/officeDocument/2006/relationships/hyperlink" Target="http://maps.google.com/?q=35.994472,-80.06245" TargetMode="External"/><Relationship Id="rId11" Type="http://schemas.openxmlformats.org/officeDocument/2006/relationships/hyperlink" Target="http://maps.google.com/?q=35.994508,-80.062469" TargetMode="External"/><Relationship Id="rId24" Type="http://schemas.openxmlformats.org/officeDocument/2006/relationships/hyperlink" Target="http://maps.google.com/?q=35.99142,-80.06269" TargetMode="External"/><Relationship Id="rId32" Type="http://schemas.openxmlformats.org/officeDocument/2006/relationships/hyperlink" Target="http://maps.google.com/?q=36.00613,-80.06076" TargetMode="External"/><Relationship Id="rId37" Type="http://schemas.openxmlformats.org/officeDocument/2006/relationships/hyperlink" Target="http://maps.google.com/?q=35.99442,-80.04028" TargetMode="External"/><Relationship Id="rId40" Type="http://schemas.openxmlformats.org/officeDocument/2006/relationships/hyperlink" Target="http://maps.google.com/?q=35.993001,-80.05102" TargetMode="External"/><Relationship Id="rId45" Type="http://schemas.openxmlformats.org/officeDocument/2006/relationships/hyperlink" Target="http://maps.google.com/?q=35.98836,-80.0668" TargetMode="External"/><Relationship Id="rId5" Type="http://schemas.openxmlformats.org/officeDocument/2006/relationships/hyperlink" Target="http://maps.google.com/?q=35.99211,-80.06229" TargetMode="External"/><Relationship Id="rId15" Type="http://schemas.openxmlformats.org/officeDocument/2006/relationships/hyperlink" Target="http://maps.google.com/?q=36.00713,-80.0606" TargetMode="External"/><Relationship Id="rId23" Type="http://schemas.openxmlformats.org/officeDocument/2006/relationships/hyperlink" Target="http://maps.google.com/?q=35.99133,-80.06282" TargetMode="External"/><Relationship Id="rId28" Type="http://schemas.openxmlformats.org/officeDocument/2006/relationships/hyperlink" Target="http://maps.google.com/?q=36.0045,-80.06142" TargetMode="External"/><Relationship Id="rId36" Type="http://schemas.openxmlformats.org/officeDocument/2006/relationships/hyperlink" Target="http://maps.google.com/?q=35.99805,-80.05136" TargetMode="External"/><Relationship Id="rId10" Type="http://schemas.openxmlformats.org/officeDocument/2006/relationships/hyperlink" Target="http://maps.google.com/?q=35.9945,-80.06249" TargetMode="External"/><Relationship Id="rId19" Type="http://schemas.openxmlformats.org/officeDocument/2006/relationships/hyperlink" Target="http://maps.google.com/?q=36.0015,-80.06301" TargetMode="External"/><Relationship Id="rId31" Type="http://schemas.openxmlformats.org/officeDocument/2006/relationships/hyperlink" Target="http://maps.google.com/?q=36.007196,-80.0607" TargetMode="External"/><Relationship Id="rId44" Type="http://schemas.openxmlformats.org/officeDocument/2006/relationships/hyperlink" Target="http://maps.google.com/?q=35.9881,-80.06659" TargetMode="External"/><Relationship Id="rId4" Type="http://schemas.openxmlformats.org/officeDocument/2006/relationships/hyperlink" Target="http://maps.google.com/?q=35.99109,-80.06337" TargetMode="External"/><Relationship Id="rId9" Type="http://schemas.openxmlformats.org/officeDocument/2006/relationships/hyperlink" Target="http://maps.google.com/?q=35.99443,-80.06258" TargetMode="External"/><Relationship Id="rId14" Type="http://schemas.openxmlformats.org/officeDocument/2006/relationships/hyperlink" Target="http://maps.google.com/?q=36.00331,-80.06219" TargetMode="External"/><Relationship Id="rId22" Type="http://schemas.openxmlformats.org/officeDocument/2006/relationships/hyperlink" Target="http://maps.google.com/?q=36.011641,-80.06052" TargetMode="External"/><Relationship Id="rId27" Type="http://schemas.openxmlformats.org/officeDocument/2006/relationships/hyperlink" Target="http://maps.google.com/?q=36.0045,-80.06138" TargetMode="External"/><Relationship Id="rId30" Type="http://schemas.openxmlformats.org/officeDocument/2006/relationships/hyperlink" Target="http://maps.google.com/?q=36.00694,-80.06093" TargetMode="External"/><Relationship Id="rId35" Type="http://schemas.openxmlformats.org/officeDocument/2006/relationships/hyperlink" Target="http://maps.google.com/?q=35.99383,-80.06044" TargetMode="External"/><Relationship Id="rId43" Type="http://schemas.openxmlformats.org/officeDocument/2006/relationships/hyperlink" Target="http://maps.google.com/?q=35.98818,-80.06642" TargetMode="External"/><Relationship Id="rId48" Type="http://schemas.openxmlformats.org/officeDocument/2006/relationships/hyperlink" Target="http://maps.google.com/?q=35.818197,-80.245566"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hyperlink" Target="../../../Documents/Accessible%20Worksheets"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7A013-059D-4EA3-AC9F-AE6BE1611C81}">
  <sheetPr codeName="Sheet1"/>
  <dimension ref="A1"/>
  <sheetViews>
    <sheetView zoomScaleNormal="100" workbookViewId="0"/>
  </sheetViews>
  <sheetFormatPr defaultRowHeight="14.4"/>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21E0-529C-4955-B371-D463F188F6A9}">
  <sheetPr codeName="Sheet2"/>
  <dimension ref="B1:I28"/>
  <sheetViews>
    <sheetView workbookViewId="0"/>
  </sheetViews>
  <sheetFormatPr defaultRowHeight="14.4"/>
  <cols>
    <col min="1" max="2" width="2.7890625" customWidth="1"/>
    <col min="3" max="3" width="39.15625" bestFit="1" customWidth="1"/>
    <col min="4" max="5" width="10.26171875" bestFit="1" customWidth="1"/>
    <col min="6" max="6" width="44.5234375" customWidth="1"/>
    <col min="7" max="7" width="58.734375" customWidth="1"/>
    <col min="8" max="8" width="61" bestFit="1" customWidth="1"/>
    <col min="9" max="10" width="2.7890625" customWidth="1"/>
  </cols>
  <sheetData>
    <row r="1" spans="2:9" ht="14.7" thickBot="1"/>
    <row r="2" spans="2:9" ht="26.1" thickBot="1">
      <c r="B2" s="653" t="s">
        <v>107</v>
      </c>
      <c r="C2" s="654"/>
      <c r="D2" s="654"/>
      <c r="E2" s="654"/>
      <c r="F2" s="654"/>
      <c r="G2" s="654"/>
      <c r="H2" s="654"/>
      <c r="I2" s="655"/>
    </row>
    <row r="3" spans="2:9" ht="18.600000000000001" thickBot="1">
      <c r="B3" s="3"/>
      <c r="C3" s="29"/>
      <c r="D3" s="30"/>
      <c r="E3" s="30"/>
      <c r="F3" s="12"/>
      <c r="G3" s="12"/>
      <c r="H3" s="12"/>
      <c r="I3" s="4"/>
    </row>
    <row r="4" spans="2:9" ht="18.600000000000001" thickBot="1">
      <c r="B4" s="3"/>
      <c r="C4" s="38" t="s">
        <v>108</v>
      </c>
      <c r="D4" s="39" t="s">
        <v>47</v>
      </c>
      <c r="E4" s="40" t="s">
        <v>49</v>
      </c>
      <c r="F4" s="41" t="s">
        <v>70</v>
      </c>
      <c r="G4" s="42" t="s">
        <v>71</v>
      </c>
      <c r="H4" s="38" t="s">
        <v>56</v>
      </c>
      <c r="I4" s="4"/>
    </row>
    <row r="5" spans="2:9" ht="28.8">
      <c r="B5" s="3"/>
      <c r="C5" s="35" t="s">
        <v>72</v>
      </c>
      <c r="D5" s="26" t="s">
        <v>61</v>
      </c>
      <c r="E5" s="23" t="s">
        <v>61</v>
      </c>
      <c r="F5" s="13" t="s">
        <v>73</v>
      </c>
      <c r="G5" s="14" t="s">
        <v>74</v>
      </c>
      <c r="H5" s="15" t="s">
        <v>75</v>
      </c>
      <c r="I5" s="4"/>
    </row>
    <row r="6" spans="2:9">
      <c r="B6" s="3"/>
      <c r="C6" s="36" t="s">
        <v>76</v>
      </c>
      <c r="D6" s="27" t="s">
        <v>61</v>
      </c>
      <c r="E6" s="24"/>
      <c r="F6" s="16" t="s">
        <v>77</v>
      </c>
      <c r="G6" s="17"/>
      <c r="H6" s="18"/>
      <c r="I6" s="4"/>
    </row>
    <row r="7" spans="2:9" ht="57.6">
      <c r="B7" s="3"/>
      <c r="C7" s="36" t="s">
        <v>174</v>
      </c>
      <c r="D7" s="27" t="s">
        <v>61</v>
      </c>
      <c r="E7" s="24"/>
      <c r="F7" s="16" t="s">
        <v>78</v>
      </c>
      <c r="G7" s="17"/>
      <c r="H7" s="18" t="s">
        <v>182</v>
      </c>
      <c r="I7" s="4"/>
    </row>
    <row r="8" spans="2:9" ht="28.8">
      <c r="B8" s="3"/>
      <c r="C8" s="36" t="s">
        <v>121</v>
      </c>
      <c r="D8" s="27" t="s">
        <v>61</v>
      </c>
      <c r="E8" s="24"/>
      <c r="F8" s="16" t="s">
        <v>77</v>
      </c>
      <c r="G8" s="17"/>
      <c r="H8" s="18"/>
      <c r="I8" s="4"/>
    </row>
    <row r="9" spans="2:9">
      <c r="B9" s="3"/>
      <c r="C9" s="36" t="s">
        <v>79</v>
      </c>
      <c r="D9" s="27" t="s">
        <v>61</v>
      </c>
      <c r="E9" s="24"/>
      <c r="F9" s="16" t="s">
        <v>77</v>
      </c>
      <c r="G9" s="17"/>
      <c r="H9" s="18"/>
      <c r="I9" s="4"/>
    </row>
    <row r="10" spans="2:9" ht="43.2">
      <c r="B10" s="3"/>
      <c r="C10" s="36" t="s">
        <v>117</v>
      </c>
      <c r="D10" s="27" t="s">
        <v>61</v>
      </c>
      <c r="E10" s="24"/>
      <c r="F10" s="16" t="s">
        <v>119</v>
      </c>
      <c r="G10" s="17"/>
      <c r="H10" s="18" t="s">
        <v>120</v>
      </c>
      <c r="I10" s="4"/>
    </row>
    <row r="11" spans="2:9" ht="28.8">
      <c r="B11" s="3"/>
      <c r="C11" s="36" t="s">
        <v>118</v>
      </c>
      <c r="D11" s="27" t="s">
        <v>61</v>
      </c>
      <c r="E11" s="24"/>
      <c r="F11" s="16" t="s">
        <v>73</v>
      </c>
      <c r="G11" s="17"/>
      <c r="H11" s="18" t="s">
        <v>134</v>
      </c>
      <c r="I11" s="4"/>
    </row>
    <row r="12" spans="2:9" ht="28.8">
      <c r="B12" s="3"/>
      <c r="C12" s="36" t="s">
        <v>80</v>
      </c>
      <c r="D12" s="27" t="s">
        <v>61</v>
      </c>
      <c r="E12" s="24" t="s">
        <v>61</v>
      </c>
      <c r="F12" s="16" t="s">
        <v>77</v>
      </c>
      <c r="G12" s="17" t="s">
        <v>81</v>
      </c>
      <c r="H12" s="18" t="s">
        <v>82</v>
      </c>
      <c r="I12" s="4"/>
    </row>
    <row r="13" spans="2:9" ht="28.8">
      <c r="B13" s="3"/>
      <c r="C13" s="36" t="s">
        <v>83</v>
      </c>
      <c r="D13" s="27" t="s">
        <v>61</v>
      </c>
      <c r="E13" s="24" t="s">
        <v>61</v>
      </c>
      <c r="F13" s="16" t="s">
        <v>74</v>
      </c>
      <c r="G13" s="17" t="s">
        <v>84</v>
      </c>
      <c r="H13" s="18" t="s">
        <v>85</v>
      </c>
      <c r="I13" s="4"/>
    </row>
    <row r="14" spans="2:9" ht="28.8">
      <c r="B14" s="3"/>
      <c r="C14" s="36" t="s">
        <v>86</v>
      </c>
      <c r="D14" s="27" t="s">
        <v>61</v>
      </c>
      <c r="E14" s="24"/>
      <c r="F14" s="16" t="s">
        <v>84</v>
      </c>
      <c r="G14" s="17"/>
      <c r="H14" s="18"/>
      <c r="I14" s="4"/>
    </row>
    <row r="15" spans="2:9" ht="43.2">
      <c r="B15" s="3"/>
      <c r="C15" s="36" t="s">
        <v>87</v>
      </c>
      <c r="D15" s="27" t="s">
        <v>61</v>
      </c>
      <c r="E15" s="24" t="s">
        <v>61</v>
      </c>
      <c r="F15" s="16" t="s">
        <v>78</v>
      </c>
      <c r="G15" s="17" t="s">
        <v>88</v>
      </c>
      <c r="H15" s="18" t="s">
        <v>183</v>
      </c>
      <c r="I15" s="4"/>
    </row>
    <row r="16" spans="2:9">
      <c r="B16" s="3"/>
      <c r="C16" s="36" t="s">
        <v>89</v>
      </c>
      <c r="D16" s="27" t="s">
        <v>61</v>
      </c>
      <c r="E16" s="24"/>
      <c r="F16" s="16" t="s">
        <v>77</v>
      </c>
      <c r="G16" s="17"/>
      <c r="H16" s="18"/>
      <c r="I16" s="4"/>
    </row>
    <row r="17" spans="2:9">
      <c r="B17" s="3"/>
      <c r="C17" s="36" t="s">
        <v>90</v>
      </c>
      <c r="D17" s="27" t="s">
        <v>61</v>
      </c>
      <c r="E17" s="24"/>
      <c r="F17" s="16" t="s">
        <v>91</v>
      </c>
      <c r="G17" s="17"/>
      <c r="H17" s="18" t="s">
        <v>92</v>
      </c>
      <c r="I17" s="4"/>
    </row>
    <row r="18" spans="2:9" ht="28.8">
      <c r="B18" s="3"/>
      <c r="C18" s="36" t="s">
        <v>93</v>
      </c>
      <c r="D18" s="27" t="s">
        <v>61</v>
      </c>
      <c r="E18" s="24" t="s">
        <v>61</v>
      </c>
      <c r="F18" s="16" t="s">
        <v>94</v>
      </c>
      <c r="G18" s="17" t="s">
        <v>95</v>
      </c>
      <c r="H18" s="18" t="s">
        <v>96</v>
      </c>
      <c r="I18" s="4"/>
    </row>
    <row r="19" spans="2:9" ht="28.8">
      <c r="B19" s="3"/>
      <c r="C19" s="36" t="s">
        <v>97</v>
      </c>
      <c r="D19" s="27" t="s">
        <v>61</v>
      </c>
      <c r="E19" s="24" t="s">
        <v>61</v>
      </c>
      <c r="F19" s="16" t="s">
        <v>74</v>
      </c>
      <c r="G19" s="17" t="s">
        <v>98</v>
      </c>
      <c r="H19" s="18" t="s">
        <v>99</v>
      </c>
      <c r="I19" s="4"/>
    </row>
    <row r="20" spans="2:9" ht="57.6">
      <c r="B20" s="3"/>
      <c r="C20" s="36" t="s">
        <v>100</v>
      </c>
      <c r="D20" s="27" t="s">
        <v>61</v>
      </c>
      <c r="E20" s="24"/>
      <c r="F20" s="16" t="s">
        <v>77</v>
      </c>
      <c r="G20" s="17"/>
      <c r="H20" s="18" t="s">
        <v>184</v>
      </c>
      <c r="I20" s="4"/>
    </row>
    <row r="21" spans="2:9" ht="43.2">
      <c r="B21" s="3"/>
      <c r="C21" s="36" t="s">
        <v>101</v>
      </c>
      <c r="D21" s="27" t="s">
        <v>61</v>
      </c>
      <c r="E21" s="24"/>
      <c r="F21" s="16" t="s">
        <v>77</v>
      </c>
      <c r="G21" s="19"/>
      <c r="H21" s="18" t="s">
        <v>102</v>
      </c>
      <c r="I21" s="4"/>
    </row>
    <row r="22" spans="2:9" ht="28.8">
      <c r="B22" s="3"/>
      <c r="C22" s="36" t="s">
        <v>103</v>
      </c>
      <c r="D22" s="27" t="s">
        <v>61</v>
      </c>
      <c r="E22" s="24"/>
      <c r="F22" s="16" t="s">
        <v>84</v>
      </c>
      <c r="G22" s="19"/>
      <c r="H22" s="18"/>
      <c r="I22" s="4"/>
    </row>
    <row r="23" spans="2:9" ht="28.8">
      <c r="B23" s="3"/>
      <c r="C23" s="36" t="s">
        <v>104</v>
      </c>
      <c r="D23" s="27" t="s">
        <v>61</v>
      </c>
      <c r="E23" s="24"/>
      <c r="F23" s="16" t="s">
        <v>84</v>
      </c>
      <c r="G23" s="17"/>
      <c r="H23" s="18"/>
      <c r="I23" s="4"/>
    </row>
    <row r="24" spans="2:9" ht="86.7" thickBot="1">
      <c r="B24" s="3"/>
      <c r="C24" s="37" t="s">
        <v>105</v>
      </c>
      <c r="D24" s="28" t="s">
        <v>61</v>
      </c>
      <c r="E24" s="25"/>
      <c r="F24" s="20" t="s">
        <v>122</v>
      </c>
      <c r="G24" s="21"/>
      <c r="H24" s="22" t="s">
        <v>175</v>
      </c>
      <c r="I24" s="4"/>
    </row>
    <row r="25" spans="2:9">
      <c r="B25" s="3"/>
      <c r="C25" s="30"/>
      <c r="D25" s="31"/>
      <c r="E25" s="31"/>
      <c r="F25" s="12"/>
      <c r="G25" s="12"/>
      <c r="H25" s="12"/>
      <c r="I25" s="4"/>
    </row>
    <row r="26" spans="2:9" ht="18.3">
      <c r="B26" s="11" t="s">
        <v>109</v>
      </c>
      <c r="C26" s="30"/>
      <c r="D26" s="31"/>
      <c r="E26" s="31"/>
      <c r="F26" s="12"/>
      <c r="G26" s="12"/>
      <c r="H26" s="12"/>
      <c r="I26" s="4"/>
    </row>
    <row r="27" spans="2:9">
      <c r="B27" s="6" t="s">
        <v>45</v>
      </c>
      <c r="C27" s="32" t="s">
        <v>110</v>
      </c>
      <c r="D27" s="31"/>
      <c r="E27" s="31"/>
      <c r="F27" s="12"/>
      <c r="G27" s="12"/>
      <c r="H27" s="12"/>
      <c r="I27" s="4"/>
    </row>
    <row r="28" spans="2:9" ht="14.7" thickBot="1">
      <c r="B28" s="7"/>
      <c r="C28" s="8"/>
      <c r="D28" s="8"/>
      <c r="E28" s="8"/>
      <c r="F28" s="8"/>
      <c r="G28" s="8"/>
      <c r="H28" s="8"/>
      <c r="I28" s="9"/>
    </row>
  </sheetData>
  <mergeCells count="1">
    <mergeCell ref="B2:I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CB9D-D9E8-48C8-A586-286575CE1062}">
  <sheetPr codeName="Sheet3"/>
  <dimension ref="B1:R33"/>
  <sheetViews>
    <sheetView tabSelected="1" zoomScaleNormal="100" workbookViewId="0"/>
  </sheetViews>
  <sheetFormatPr defaultColWidth="9.15625" defaultRowHeight="14.4"/>
  <cols>
    <col min="1" max="1" width="2.734375" style="98" customWidth="1"/>
    <col min="2" max="2" width="3.15625" style="98" customWidth="1"/>
    <col min="3" max="3" width="22.26171875" style="98" bestFit="1" customWidth="1"/>
    <col min="4" max="4" width="120.15625" style="98" customWidth="1"/>
    <col min="5" max="5" width="40.5234375" style="98" customWidth="1"/>
    <col min="6" max="6" width="4.47265625" style="98" customWidth="1"/>
    <col min="7" max="7" width="24.47265625" style="98" customWidth="1"/>
    <col min="8" max="8" width="25.734375" style="98" bestFit="1" customWidth="1"/>
    <col min="9" max="9" width="8.26171875" style="98" bestFit="1" customWidth="1"/>
    <col min="10" max="10" width="5" style="98" customWidth="1"/>
    <col min="11" max="11" width="22.47265625" style="98" bestFit="1" customWidth="1"/>
    <col min="12" max="12" width="21" style="98" customWidth="1"/>
    <col min="13" max="13" width="10.734375" style="98" bestFit="1" customWidth="1"/>
    <col min="14" max="14" width="14" style="98" bestFit="1" customWidth="1"/>
    <col min="15" max="15" width="17.5234375" style="98" bestFit="1" customWidth="1"/>
    <col min="16" max="16" width="13.5234375" style="98" customWidth="1"/>
    <col min="17" max="17" width="62.7890625" style="98" bestFit="1" customWidth="1"/>
    <col min="18" max="18" width="3.734375" style="98" customWidth="1"/>
    <col min="19" max="16384" width="9.15625" style="98"/>
  </cols>
  <sheetData>
    <row r="1" spans="2:18" ht="14.7" thickBot="1"/>
    <row r="2" spans="2:18" ht="15" customHeight="1">
      <c r="B2" s="656" t="s">
        <v>323</v>
      </c>
      <c r="C2" s="657"/>
      <c r="D2" s="657"/>
      <c r="E2" s="657"/>
      <c r="F2" s="657"/>
      <c r="G2" s="657"/>
      <c r="H2" s="657"/>
      <c r="I2" s="657"/>
      <c r="J2" s="657"/>
      <c r="K2" s="657"/>
      <c r="L2" s="657"/>
      <c r="M2" s="657"/>
      <c r="N2" s="657"/>
      <c r="O2" s="657"/>
      <c r="P2" s="657"/>
      <c r="Q2" s="657"/>
      <c r="R2" s="658"/>
    </row>
    <row r="3" spans="2:18" ht="15" customHeight="1" thickBot="1">
      <c r="B3" s="659"/>
      <c r="C3" s="660"/>
      <c r="D3" s="660"/>
      <c r="E3" s="660"/>
      <c r="F3" s="660"/>
      <c r="G3" s="660"/>
      <c r="H3" s="660"/>
      <c r="I3" s="660"/>
      <c r="J3" s="660"/>
      <c r="K3" s="660"/>
      <c r="L3" s="660"/>
      <c r="M3" s="660"/>
      <c r="N3" s="660"/>
      <c r="O3" s="660"/>
      <c r="P3" s="660"/>
      <c r="Q3" s="660"/>
      <c r="R3" s="661"/>
    </row>
    <row r="4" spans="2:18" ht="15" customHeight="1" thickBot="1">
      <c r="B4" s="112"/>
      <c r="C4" s="113"/>
      <c r="D4" s="113"/>
      <c r="E4" s="113"/>
      <c r="F4" s="113"/>
      <c r="G4" s="113"/>
      <c r="H4" s="113"/>
      <c r="I4" s="113"/>
      <c r="J4" s="113"/>
      <c r="K4" s="113"/>
      <c r="L4" s="113"/>
      <c r="M4" s="113"/>
      <c r="N4" s="114"/>
      <c r="O4" s="114"/>
      <c r="P4" s="114"/>
      <c r="Q4" s="114"/>
      <c r="R4" s="115"/>
    </row>
    <row r="5" spans="2:18" ht="16.5" customHeight="1" thickBot="1">
      <c r="B5" s="116"/>
      <c r="C5" s="114"/>
      <c r="D5" s="117"/>
      <c r="E5" s="118" t="s">
        <v>350</v>
      </c>
      <c r="F5" s="117"/>
      <c r="G5" s="119"/>
      <c r="H5" s="120" t="s">
        <v>111</v>
      </c>
      <c r="I5" s="114"/>
      <c r="J5" s="114"/>
      <c r="K5" s="664" t="s">
        <v>42</v>
      </c>
      <c r="L5" s="665"/>
      <c r="M5" s="114"/>
      <c r="O5" s="121" t="s">
        <v>374</v>
      </c>
      <c r="P5" s="114"/>
      <c r="Q5" s="114"/>
      <c r="R5" s="115"/>
    </row>
    <row r="6" spans="2:18">
      <c r="B6" s="116"/>
      <c r="C6" s="122" t="s">
        <v>135</v>
      </c>
      <c r="D6" s="123">
        <v>41000076579</v>
      </c>
      <c r="E6" s="124"/>
      <c r="F6" s="117"/>
      <c r="G6" s="125" t="s">
        <v>149</v>
      </c>
      <c r="H6" s="201" t="n">
        <f>YEARFRAC(H7,H8)</f>
        <v>10</v>
      </c>
      <c r="I6" s="114"/>
      <c r="J6" s="114"/>
      <c r="K6" s="666" t="s">
        <v>332</v>
      </c>
      <c r="L6" s="667"/>
      <c r="M6" s="114"/>
      <c r="N6" s="126" t="s">
        <v>373</v>
      </c>
      <c r="O6" s="127">
        <v>35</v>
      </c>
      <c r="P6" s="114"/>
      <c r="Q6" s="114"/>
      <c r="R6" s="115"/>
    </row>
    <row r="7" spans="2:18" ht="14.7" thickBot="1">
      <c r="B7" s="116"/>
      <c r="C7" s="128" t="s">
        <v>136</v>
      </c>
      <c r="D7" s="599" t="s">
        <v>921</v>
      </c>
      <c r="E7" s="130"/>
      <c r="F7" s="117"/>
      <c r="G7" s="131" t="s">
        <v>142</v>
      </c>
      <c r="H7" s="132">
        <v>40391</v>
      </c>
      <c r="I7" s="114"/>
      <c r="J7" s="114"/>
      <c r="K7" s="668" t="s">
        <v>330</v>
      </c>
      <c r="L7" s="669"/>
      <c r="M7" s="114"/>
      <c r="N7" s="133" t="s">
        <v>372</v>
      </c>
      <c r="O7" s="134">
        <v>25</v>
      </c>
      <c r="P7" s="114"/>
      <c r="Q7" s="114"/>
      <c r="R7" s="115"/>
    </row>
    <row r="8" spans="2:18" ht="14.7" thickBot="1">
      <c r="B8" s="116"/>
      <c r="C8" s="128" t="s">
        <v>324</v>
      </c>
      <c r="D8" s="129" t="s">
        <v>546</v>
      </c>
      <c r="E8" s="130"/>
      <c r="F8" s="117"/>
      <c r="G8" s="131" t="s">
        <v>143</v>
      </c>
      <c r="H8" s="132">
        <v>44043</v>
      </c>
      <c r="I8" s="114"/>
      <c r="J8" s="114"/>
      <c r="K8" s="670" t="s">
        <v>331</v>
      </c>
      <c r="L8" s="671"/>
      <c r="M8" s="114"/>
      <c r="N8" s="114"/>
      <c r="O8" s="114"/>
      <c r="P8" s="114"/>
      <c r="Q8" s="114"/>
      <c r="R8" s="115"/>
    </row>
    <row r="9" spans="2:18" ht="14.7" thickBot="1">
      <c r="B9" s="116"/>
      <c r="C9" s="128" t="s">
        <v>140</v>
      </c>
      <c r="D9" s="129" t="s">
        <v>922</v>
      </c>
      <c r="E9" s="130"/>
      <c r="F9" s="117"/>
      <c r="G9" s="135"/>
      <c r="H9" s="136"/>
      <c r="I9" s="120" t="s">
        <v>357</v>
      </c>
      <c r="J9" s="114"/>
      <c r="K9" s="662" t="s">
        <v>736</v>
      </c>
      <c r="L9" s="663"/>
      <c r="M9" s="114"/>
      <c r="N9" s="114"/>
      <c r="O9" s="114"/>
      <c r="P9" s="114"/>
      <c r="Q9" s="114"/>
      <c r="R9" s="115"/>
    </row>
    <row r="10" spans="2:18" ht="14.7" thickBot="1">
      <c r="B10" s="116"/>
      <c r="C10" s="128" t="s">
        <v>157</v>
      </c>
      <c r="D10" s="594" t="s">
        <v>923</v>
      </c>
      <c r="E10" s="130"/>
      <c r="F10" s="117"/>
      <c r="G10" s="137" t="s">
        <v>13</v>
      </c>
      <c r="H10" s="138">
        <v>19</v>
      </c>
      <c r="I10" s="202" t="n">
        <f>H10/$H$6</f>
        <v>1.9</v>
      </c>
      <c r="J10" s="114"/>
      <c r="K10" s="139" t="s">
        <v>358</v>
      </c>
      <c r="L10" s="114"/>
      <c r="M10" s="140"/>
      <c r="N10" s="114"/>
      <c r="O10" s="114"/>
      <c r="P10" s="114"/>
      <c r="Q10" s="114"/>
      <c r="R10" s="115"/>
    </row>
    <row r="11" spans="2:18" ht="14.7" thickBot="1">
      <c r="B11" s="116"/>
      <c r="C11" s="128" t="s">
        <v>137</v>
      </c>
      <c r="D11" s="129" t="s">
        <v>483</v>
      </c>
      <c r="E11" s="130"/>
      <c r="F11" s="117"/>
      <c r="G11" s="141" t="s">
        <v>150</v>
      </c>
      <c r="H11" s="138">
        <v>0</v>
      </c>
      <c r="I11" s="203" t="n">
        <f t="shared" ref="I11:I15" si="0">H11/$H$6</f>
        <v>0</v>
      </c>
      <c r="J11" s="114"/>
      <c r="K11" s="142" t="s">
        <v>351</v>
      </c>
      <c r="L11" s="143" t="s">
        <v>352</v>
      </c>
      <c r="M11" s="143" t="s">
        <v>353</v>
      </c>
      <c r="N11" s="143" t="s">
        <v>355</v>
      </c>
      <c r="O11" s="144" t="s">
        <v>354</v>
      </c>
      <c r="P11" s="145" t="s">
        <v>356</v>
      </c>
      <c r="Q11" s="146" t="s">
        <v>712</v>
      </c>
      <c r="R11" s="115"/>
    </row>
    <row r="12" spans="2:18">
      <c r="B12" s="116"/>
      <c r="C12" s="128" t="s">
        <v>138</v>
      </c>
      <c r="D12" s="129" t="s">
        <v>924</v>
      </c>
      <c r="E12" s="130"/>
      <c r="F12" s="117"/>
      <c r="G12" s="141" t="s">
        <v>151</v>
      </c>
      <c r="H12" s="138">
        <v>0</v>
      </c>
      <c r="I12" s="203" t="n">
        <f t="shared" si="0"/>
        <v>0</v>
      </c>
      <c r="J12" s="114"/>
      <c r="K12" s="147" t="inlineStr">
        <is>
          <t>West</t>
        </is>
      </c>
      <c r="L12" s="148" t="s">
        <v>929</v>
      </c>
      <c r="M12" s="148">
        <v>35</v>
      </c>
      <c r="N12" s="148">
        <v>2025</v>
      </c>
      <c r="O12" s="840" t="n">
        <f>'Evaluation Set-up'!L26</f>
        <v>2800</v>
      </c>
      <c r="P12" s="149" t="b">
        <v>0</v>
      </c>
      <c r="Q12" s="205" t="str">
        <f>K12&amp;" leg: "&amp;L12&amp;", "&amp;M12&amp;" mph, "&amp;N12&amp;" AADT: "&amp;O12&amp;IF(P12," (est)","")</f>
        <v>West leg: SR 1207 (Spring Street), 35 mph, 2025 AADT: 2800</v>
      </c>
      <c r="R12" s="115"/>
    </row>
    <row r="13" spans="2:18">
      <c r="B13" s="116"/>
      <c r="C13" s="128" t="s">
        <v>139</v>
      </c>
      <c r="D13" s="568">
        <f>IFERROR(_xlfn.XLOOKUP(D11,'For NCDOT staff - for Tracking'!G39:G139,'For NCDOT staff - for Tracking'!H39:H139),"")</f>
        <v>5</v>
      </c>
      <c r="E13" s="130"/>
      <c r="F13" s="117"/>
      <c r="G13" s="141" t="s">
        <v>152</v>
      </c>
      <c r="H13" s="138">
        <v>1</v>
      </c>
      <c r="I13" s="203" t="n">
        <f t="shared" si="0"/>
        <v>0.1</v>
      </c>
      <c r="J13" s="114"/>
      <c r="K13" s="150" t="inlineStr">
        <is>
          <t>East</t>
        </is>
      </c>
      <c r="L13" s="148" t="inlineStr">
        <is>
          <t>E Spring Street</t>
        </is>
      </c>
      <c r="M13" s="151">
        <v>35</v>
      </c>
      <c r="N13" s="151">
        <v>2025</v>
      </c>
      <c r="O13" s="841" t="n">
        <f>'Evaluation Set-up'!M26</f>
        <v>1900</v>
      </c>
      <c r="P13" s="152" t="b">
        <v>0</v>
      </c>
      <c r="Q13" s="205" t="str">
        <f t="shared" ref="Q13:Q15" si="1">K13&amp;" leg: "&amp;L13&amp;", "&amp;M13&amp;" mph, "&amp;N13&amp;" AADT: "&amp;O13&amp;IF(P13," (est)","")</f>
        <v>East leg: E Spring Street, 35 mph, 2025 AADT: 1900</v>
      </c>
      <c r="R13" s="115"/>
    </row>
    <row r="14" spans="2:18">
      <c r="B14" s="116"/>
      <c r="C14" s="128" t="s">
        <v>141</v>
      </c>
      <c r="D14" s="153" t="s">
        <v>925</v>
      </c>
      <c r="E14" s="154"/>
      <c r="F14" s="117"/>
      <c r="G14" s="141" t="s">
        <v>153</v>
      </c>
      <c r="H14" s="138">
        <v>3</v>
      </c>
      <c r="I14" s="203" t="n">
        <f t="shared" si="0"/>
        <v>0.3</v>
      </c>
      <c r="J14" s="114"/>
      <c r="K14" s="150" t="s">
        <v>740</v>
      </c>
      <c r="L14" s="151" t="s">
        <v>928</v>
      </c>
      <c r="M14" s="151">
        <v>25</v>
      </c>
      <c r="N14" s="151">
        <v>2025</v>
      </c>
      <c r="O14" s="841" t="n">
        <f>'Evaluation Set-up'!O26</f>
        <v>2500</v>
      </c>
      <c r="P14" s="152" t="b">
        <v>0</v>
      </c>
      <c r="Q14" s="205" t="str">
        <f t="shared" si="1"/>
        <v>North leg: SR 1602 (Main Street), 25 mph, 2025 AADT: 2500</v>
      </c>
      <c r="R14" s="115"/>
    </row>
    <row r="15" spans="2:18" ht="14.7" thickBot="1">
      <c r="B15" s="116"/>
      <c r="C15" s="128" t="s">
        <v>326</v>
      </c>
      <c r="D15" s="155" t="s">
        <v>100</v>
      </c>
      <c r="E15" s="130"/>
      <c r="F15" s="117"/>
      <c r="G15" s="156" t="s">
        <v>27</v>
      </c>
      <c r="H15" s="157">
        <v>15</v>
      </c>
      <c r="I15" s="204" t="n">
        <f t="shared" si="0"/>
        <v>1.5</v>
      </c>
      <c r="J15" s="114"/>
      <c r="K15" s="158" t="s">
        <v>741</v>
      </c>
      <c r="L15" s="151" t="s">
        <v>928</v>
      </c>
      <c r="M15" s="159">
        <v>25</v>
      </c>
      <c r="N15" s="159">
        <v>2025</v>
      </c>
      <c r="O15" s="842" t="n">
        <f>'Evaluation Set-up'!P26</f>
        <v>1300</v>
      </c>
      <c r="P15" s="160" t="b">
        <v>0</v>
      </c>
      <c r="Q15" s="206" t="str">
        <f>K15&amp;" leg: "&amp;L15&amp;", "&amp;M15&amp;" mph, "&amp;N15&amp;" AADT: "&amp;O15&amp;IF(P15," (est)","")</f>
        <v>South leg: SR 1602 (Main Street), 25 mph, 2025 AADT: 1300</v>
      </c>
      <c r="R15" s="115"/>
    </row>
    <row r="16" spans="2:18">
      <c r="B16" s="116"/>
      <c r="C16" s="128" t="s">
        <v>156</v>
      </c>
      <c r="D16" s="161">
        <v>278000</v>
      </c>
      <c r="E16" s="162"/>
      <c r="F16" s="117"/>
      <c r="G16" s="114"/>
      <c r="H16" s="114"/>
      <c r="I16" s="114"/>
      <c r="J16" s="114"/>
      <c r="K16" s="114"/>
      <c r="L16" s="114"/>
      <c r="M16" s="114"/>
      <c r="N16" s="114"/>
      <c r="O16" s="114"/>
      <c r="P16" s="114"/>
      <c r="Q16" s="114"/>
      <c r="R16" s="115"/>
    </row>
    <row r="17" spans="2:18" ht="14.7" thickBot="1">
      <c r="B17" s="116"/>
      <c r="C17" s="128" t="s">
        <v>158</v>
      </c>
      <c r="D17" s="163">
        <v>44545</v>
      </c>
      <c r="E17" s="164"/>
      <c r="F17" s="117"/>
      <c r="G17" s="139" t="s">
        <v>700</v>
      </c>
      <c r="H17" s="114"/>
      <c r="I17" s="114"/>
      <c r="J17" s="114"/>
      <c r="K17" s="114"/>
      <c r="L17" s="582" t="s">
        <v>727</v>
      </c>
      <c r="M17" s="583"/>
      <c r="N17" s="583"/>
      <c r="O17" s="583"/>
      <c r="P17" s="583"/>
      <c r="Q17" s="114"/>
      <c r="R17" s="115"/>
    </row>
    <row r="18" spans="2:18" ht="29.1" thickBot="1">
      <c r="B18" s="116"/>
      <c r="C18" s="128" t="s">
        <v>329</v>
      </c>
      <c r="D18" s="165" t="s">
        <v>976</v>
      </c>
      <c r="E18" s="166"/>
      <c r="F18" s="117"/>
      <c r="G18" s="114"/>
      <c r="H18" s="114"/>
      <c r="I18" s="114"/>
      <c r="J18" s="114"/>
      <c r="K18" s="114"/>
      <c r="L18" s="584" t="s">
        <v>163</v>
      </c>
      <c r="M18" s="585" t="s">
        <v>142</v>
      </c>
      <c r="N18" s="586" t="s">
        <v>143</v>
      </c>
      <c r="O18" s="585" t="s">
        <v>166</v>
      </c>
      <c r="P18" s="586" t="s">
        <v>167</v>
      </c>
      <c r="Q18" s="114"/>
      <c r="R18" s="115"/>
    </row>
    <row r="19" spans="2:18">
      <c r="B19" s="116"/>
      <c r="C19" s="128" t="s">
        <v>328</v>
      </c>
      <c r="D19" s="129">
        <v>150</v>
      </c>
      <c r="E19" s="130"/>
      <c r="F19" s="117"/>
      <c r="G19" s="114"/>
      <c r="H19" s="114"/>
      <c r="I19" s="114"/>
      <c r="J19" s="114"/>
      <c r="K19" s="114"/>
      <c r="L19" s="587" t="s">
        <v>112</v>
      </c>
      <c r="M19" s="578" t="n">
        <f>'Evaluation Set-up'!D9</f>
        <v>42795</v>
      </c>
      <c r="N19" s="579" t="n">
        <f>'Evaluation Set-up'!E9</f>
        <v>44469</v>
      </c>
      <c r="O19" s="580" t="n">
        <f>'Evaluation Set-up'!F9</f>
        <v>4</v>
      </c>
      <c r="P19" s="581" t="n">
        <f>'Evaluation Set-up'!G9</f>
        <v>7</v>
      </c>
      <c r="Q19" s="114"/>
      <c r="R19" s="115"/>
    </row>
    <row r="20" spans="2:18">
      <c r="B20" s="116"/>
      <c r="C20" s="128" t="s">
        <v>242</v>
      </c>
      <c r="D20" s="153" t="s">
        <v>739</v>
      </c>
      <c r="E20" s="154"/>
      <c r="F20" s="117"/>
      <c r="G20" s="114"/>
      <c r="H20" s="114"/>
      <c r="I20" s="114"/>
      <c r="J20" s="114"/>
      <c r="K20" s="114"/>
      <c r="L20" s="588" t="s">
        <v>144</v>
      </c>
      <c r="M20" s="183" t="n">
        <f>'Evaluation Set-up'!D10</f>
        <v>44470</v>
      </c>
      <c r="N20" s="577" t="n">
        <f>'Evaluation Set-up'!E10</f>
        <v>44561</v>
      </c>
      <c r="O20" s="189" t="n">
        <f>'Evaluation Set-up'!F10</f>
        <v>0</v>
      </c>
      <c r="P20" s="190" t="n">
        <f>'Evaluation Set-up'!G10</f>
        <v>3</v>
      </c>
      <c r="Q20" s="114"/>
      <c r="R20" s="115"/>
    </row>
    <row r="21" spans="2:18" ht="14.7" thickBot="1">
      <c r="B21" s="116"/>
      <c r="C21" s="128" t="s">
        <v>243</v>
      </c>
      <c r="D21" s="129"/>
      <c r="E21" s="130"/>
      <c r="F21" s="117"/>
      <c r="G21" s="114"/>
      <c r="H21" s="114"/>
      <c r="I21" s="114"/>
      <c r="J21" s="114"/>
      <c r="K21" s="114"/>
      <c r="L21" s="589" t="s">
        <v>113</v>
      </c>
      <c r="M21" s="184" t="n">
        <f>'Evaluation Set-up'!D11</f>
        <v>44562</v>
      </c>
      <c r="N21" s="186" t="n">
        <f>'Evaluation Set-up'!E11</f>
        <v>46234</v>
      </c>
      <c r="O21" s="191" t="n">
        <f>'Evaluation Set-up'!F11</f>
        <v>4</v>
      </c>
      <c r="P21" s="192" t="n">
        <f>'Evaluation Set-up'!G11</f>
        <v>7</v>
      </c>
      <c r="Q21" s="114"/>
      <c r="R21" s="115"/>
    </row>
    <row r="22" spans="2:18" ht="18.3">
      <c r="B22" s="167"/>
      <c r="C22" s="128" t="s">
        <v>309</v>
      </c>
      <c r="D22" s="129"/>
      <c r="E22" s="130"/>
      <c r="F22" s="117"/>
      <c r="G22" s="114"/>
      <c r="H22" s="114"/>
      <c r="I22" s="114"/>
      <c r="J22" s="114"/>
      <c r="K22" s="114"/>
      <c r="L22" s="114"/>
      <c r="M22" s="114"/>
      <c r="N22" s="114"/>
      <c r="O22" s="114"/>
      <c r="P22" s="114"/>
      <c r="Q22" s="114"/>
      <c r="R22" s="115"/>
    </row>
    <row r="23" spans="2:18">
      <c r="B23" s="168"/>
      <c r="C23" s="128" t="s">
        <v>325</v>
      </c>
      <c r="D23" s="165"/>
      <c r="E23" s="166"/>
      <c r="F23" s="117"/>
      <c r="G23" s="139"/>
      <c r="H23" s="114"/>
      <c r="I23" s="114"/>
      <c r="J23" s="114"/>
      <c r="K23" s="114"/>
      <c r="L23" s="114"/>
      <c r="M23" s="114"/>
      <c r="N23" s="114"/>
      <c r="O23" s="114"/>
      <c r="P23" s="114"/>
      <c r="Q23" s="114"/>
      <c r="R23" s="115"/>
    </row>
    <row r="24" spans="2:18" ht="14.7" thickBot="1">
      <c r="B24" s="116"/>
      <c r="C24" s="169" t="s">
        <v>333</v>
      </c>
      <c r="D24" s="170" t="s">
        <v>926</v>
      </c>
      <c r="E24" s="171"/>
      <c r="F24" s="117"/>
      <c r="G24" s="114"/>
      <c r="H24" s="114"/>
      <c r="I24" s="114"/>
      <c r="J24" s="114"/>
      <c r="K24" s="114"/>
      <c r="L24" s="114"/>
      <c r="M24" s="114"/>
      <c r="N24" s="114"/>
      <c r="O24" s="114"/>
      <c r="P24" s="114"/>
      <c r="Q24" s="114"/>
      <c r="R24" s="115"/>
    </row>
    <row r="25" spans="2:18" ht="14.7" thickBot="1">
      <c r="B25" s="172"/>
      <c r="C25" s="173"/>
      <c r="D25" s="173"/>
      <c r="E25" s="173"/>
      <c r="F25" s="173"/>
      <c r="G25" s="174"/>
      <c r="H25" s="173"/>
      <c r="I25" s="173"/>
      <c r="J25" s="173"/>
      <c r="K25" s="173"/>
      <c r="L25" s="173"/>
      <c r="M25" s="173"/>
      <c r="N25" s="173"/>
      <c r="O25" s="173"/>
      <c r="P25" s="173"/>
      <c r="Q25" s="173"/>
      <c r="R25" s="175"/>
    </row>
    <row r="26" spans="2:18">
      <c r="G26" s="176"/>
    </row>
    <row r="27" spans="2:18">
      <c r="G27" s="176"/>
    </row>
    <row r="28" spans="2:18">
      <c r="G28" s="176"/>
    </row>
    <row r="29" spans="2:18">
      <c r="G29" s="176"/>
    </row>
    <row r="30" spans="2:18">
      <c r="G30" s="176"/>
    </row>
    <row r="31" spans="2:18">
      <c r="G31" s="176"/>
    </row>
    <row r="32" spans="2:18">
      <c r="G32" s="176"/>
    </row>
    <row r="33" spans="7:7">
      <c r="G33" s="176"/>
    </row>
  </sheetData>
  <sheetProtection formatCells="0" formatColumns="0" formatRows="0"/>
  <mergeCells count="6">
    <mergeCell ref="B2:R3"/>
    <mergeCell ref="K9:L9"/>
    <mergeCell ref="K5:L5"/>
    <mergeCell ref="K6:L6"/>
    <mergeCell ref="K7:L7"/>
    <mergeCell ref="K8:L8"/>
  </mergeCells>
  <pageMargins left="0.7" right="0.7" top="0.75" bottom="0.75" header="0.3" footer="0.3"/>
  <pageSetup orientation="landscape" r:id="rId1"/>
  <ignoredErrors>
    <ignoredError sqref="I10:I15" evalError="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B8FA5F1-7190-4940-A196-BD4420D7EA03}">
          <x14:formula1>
            <xm:f>'For NCDOT staff - for Tracking'!$G$40:$G$139</xm:f>
          </x14:formula1>
          <xm:sqref>D11</xm:sqref>
        </x14:dataValidation>
        <x14:dataValidation type="list" allowBlank="1" showInputMessage="1" showErrorMessage="1" xr:uid="{592958DB-BFB9-4BF5-893C-698F5735C6FA}">
          <x14:formula1>
            <xm:f>'For NCDOT staff - for Tracking'!$D$44:$D$60</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3F836-9FCC-42D9-B7D4-F5AB57D0707A}">
  <sheetPr codeName="Sheet4"/>
  <dimension ref="B1:AH70"/>
  <sheetViews>
    <sheetView workbookViewId="0"/>
  </sheetViews>
  <sheetFormatPr defaultColWidth="9.15625" defaultRowHeight="14.4"/>
  <cols>
    <col min="1" max="1" width="2.7890625" style="98" customWidth="1"/>
    <col min="2" max="2" width="3.5234375" style="98" customWidth="1"/>
    <col min="3" max="3" width="29.15625" style="98" customWidth="1"/>
    <col min="4" max="5" width="14.47265625" style="207" customWidth="1"/>
    <col min="6" max="6" width="20.7890625" style="98" bestFit="1" customWidth="1"/>
    <col min="7" max="7" width="14.47265625" style="98" customWidth="1"/>
    <col min="8" max="10" width="2.7890625" style="98" customWidth="1"/>
    <col min="11" max="11" width="5" style="98" bestFit="1" customWidth="1"/>
    <col min="12" max="13" width="12.5234375" style="98" customWidth="1"/>
    <col min="14" max="14" width="13.734375" style="98" bestFit="1" customWidth="1"/>
    <col min="15" max="16" width="12.5234375" style="98" customWidth="1"/>
    <col min="17" max="17" width="13.734375" style="98" bestFit="1" customWidth="1"/>
    <col min="18" max="18" width="11.734375" style="98" bestFit="1" customWidth="1"/>
    <col min="19" max="19" width="2.7890625" style="98" customWidth="1"/>
    <col min="20" max="20" width="4.26171875" style="98" customWidth="1"/>
    <col min="21" max="21" width="56.5234375" style="98" customWidth="1"/>
    <col min="22" max="22" width="2.7890625" style="98" customWidth="1"/>
    <col min="23" max="24" width="9.15625" style="98"/>
    <col min="25" max="25" width="19.26171875" style="98" customWidth="1"/>
    <col min="26" max="26" width="11.15625" style="98" customWidth="1"/>
    <col min="27" max="27" width="42.15625" style="98" customWidth="1"/>
    <col min="28" max="31" width="9.15625" style="98"/>
    <col min="32" max="32" width="9.15625" style="98" hidden="1" customWidth="1"/>
    <col min="33" max="33" width="10.47265625" style="98" hidden="1" customWidth="1"/>
    <col min="34" max="34" width="29.47265625" style="98" hidden="1" customWidth="1"/>
    <col min="35" max="16384" width="9.15625" style="98"/>
  </cols>
  <sheetData>
    <row r="1" spans="2:34" ht="14.7" thickBot="1"/>
    <row r="2" spans="2:34" ht="30.9" thickBot="1">
      <c r="B2" s="690" t="s">
        <v>54</v>
      </c>
      <c r="C2" s="691"/>
      <c r="D2" s="691"/>
      <c r="E2" s="691"/>
      <c r="F2" s="691"/>
      <c r="G2" s="691"/>
      <c r="H2" s="692"/>
      <c r="J2" s="690" t="s">
        <v>55</v>
      </c>
      <c r="K2" s="691"/>
      <c r="L2" s="691"/>
      <c r="M2" s="691"/>
      <c r="N2" s="691"/>
      <c r="O2" s="691"/>
      <c r="P2" s="691"/>
      <c r="Q2" s="691"/>
      <c r="R2" s="691"/>
      <c r="S2" s="691"/>
      <c r="T2" s="691"/>
      <c r="U2" s="691"/>
      <c r="V2" s="692"/>
    </row>
    <row r="3" spans="2:34" ht="15" customHeight="1" thickBot="1">
      <c r="B3" s="208"/>
      <c r="C3" s="209"/>
      <c r="D3" s="210"/>
      <c r="E3" s="210"/>
      <c r="F3" s="209"/>
      <c r="G3" s="209"/>
      <c r="H3" s="211"/>
      <c r="J3" s="116"/>
      <c r="K3" s="114"/>
      <c r="L3" s="114"/>
      <c r="M3" s="114"/>
      <c r="N3" s="114"/>
      <c r="O3" s="114"/>
      <c r="P3" s="114"/>
      <c r="Q3" s="114"/>
      <c r="R3" s="114"/>
      <c r="S3" s="114"/>
      <c r="T3" s="114"/>
      <c r="U3" s="114"/>
      <c r="V3" s="115"/>
    </row>
    <row r="4" spans="2:34" ht="15" customHeight="1" thickBot="1">
      <c r="B4" s="116"/>
      <c r="C4" s="212" t="s">
        <v>46</v>
      </c>
      <c r="D4" s="213">
        <v>46234</v>
      </c>
      <c r="E4" s="114"/>
      <c r="F4" s="709" t="s">
        <v>42</v>
      </c>
      <c r="G4" s="710"/>
      <c r="H4" s="115"/>
      <c r="J4" s="116"/>
      <c r="K4" s="114"/>
      <c r="L4" s="672" t="s">
        <v>159</v>
      </c>
      <c r="M4" s="673"/>
      <c r="N4" s="674"/>
      <c r="O4" s="114"/>
      <c r="P4" s="706" t="s">
        <v>171</v>
      </c>
      <c r="Q4" s="707"/>
      <c r="R4" s="708"/>
      <c r="S4" s="114"/>
      <c r="T4" s="214" t="s">
        <v>123</v>
      </c>
      <c r="U4" s="114"/>
      <c r="V4" s="115"/>
    </row>
    <row r="5" spans="2:34" ht="15" customHeight="1" thickBot="1">
      <c r="B5" s="116"/>
      <c r="C5" s="675" t="s">
        <v>162</v>
      </c>
      <c r="D5" s="688">
        <v>3</v>
      </c>
      <c r="E5" s="114"/>
      <c r="F5" s="666" t="s">
        <v>164</v>
      </c>
      <c r="G5" s="667"/>
      <c r="H5" s="115"/>
      <c r="J5" s="116"/>
      <c r="K5" s="114"/>
      <c r="L5" s="215" t="s">
        <v>160</v>
      </c>
      <c r="M5" s="216"/>
      <c r="N5" s="217">
        <v>2019</v>
      </c>
      <c r="O5" s="114"/>
      <c r="P5" s="702" t="s">
        <v>172</v>
      </c>
      <c r="Q5" s="703"/>
      <c r="R5" s="180" t="n">
        <f>IFERROR(ROUND(VLOOKUP($N$5, $K$11:$R$35, 8, FALSE), -2), "Select Year")</f>
        <v>5100</v>
      </c>
      <c r="S5" s="114"/>
      <c r="T5" s="218" t="s">
        <v>45</v>
      </c>
      <c r="U5" s="677" t="s">
        <v>176</v>
      </c>
      <c r="V5" s="115"/>
      <c r="AF5" s="678" t="s">
        <v>43</v>
      </c>
      <c r="AG5" s="679"/>
      <c r="AH5" s="680"/>
    </row>
    <row r="6" spans="2:34" ht="15" customHeight="1" thickTop="1" thickBot="1">
      <c r="B6" s="116"/>
      <c r="C6" s="676"/>
      <c r="D6" s="689"/>
      <c r="E6" s="114"/>
      <c r="F6" s="686" t="s">
        <v>165</v>
      </c>
      <c r="G6" s="687"/>
      <c r="H6" s="115"/>
      <c r="J6" s="116"/>
      <c r="K6" s="114"/>
      <c r="L6" s="219" t="s">
        <v>161</v>
      </c>
      <c r="M6" s="220"/>
      <c r="N6" s="221">
        <v>2025</v>
      </c>
      <c r="O6" s="114"/>
      <c r="P6" s="704" t="s">
        <v>173</v>
      </c>
      <c r="Q6" s="705"/>
      <c r="R6" s="181" t="n">
        <f>IFERROR(ROUND(VLOOKUP($N$6, $K$11:$R$35, 8, FALSE), -2), "Select Year")</f>
        <v>4300</v>
      </c>
      <c r="S6" s="114"/>
      <c r="T6" s="114"/>
      <c r="U6" s="677"/>
      <c r="V6" s="115"/>
      <c r="AF6" s="253"/>
      <c r="AG6" s="254"/>
      <c r="AH6" s="255"/>
    </row>
    <row r="7" spans="2:34" s="97" customFormat="1" ht="15" customHeight="1" thickBot="1">
      <c r="B7" s="116"/>
      <c r="C7" s="114"/>
      <c r="D7" s="117"/>
      <c r="E7" s="117"/>
      <c r="F7" s="114"/>
      <c r="G7" s="114"/>
      <c r="H7" s="115"/>
      <c r="J7" s="116"/>
      <c r="K7" s="114"/>
      <c r="L7" s="114"/>
      <c r="M7" s="114"/>
      <c r="N7" s="114"/>
      <c r="O7" s="114"/>
      <c r="P7" s="114"/>
      <c r="Q7" s="114"/>
      <c r="R7" s="114"/>
      <c r="S7" s="114"/>
      <c r="T7" s="222"/>
      <c r="U7" s="677"/>
      <c r="V7" s="115"/>
      <c r="W7" s="98"/>
      <c r="X7" s="98"/>
      <c r="Y7" s="98"/>
      <c r="Z7" s="98"/>
      <c r="AA7" s="98"/>
      <c r="AF7" s="256"/>
      <c r="AG7" s="257"/>
      <c r="AH7" s="258" t="s">
        <v>44</v>
      </c>
    </row>
    <row r="8" spans="2:34" ht="15" customHeight="1" thickBot="1">
      <c r="B8" s="223"/>
      <c r="C8" s="224" t="s">
        <v>163</v>
      </c>
      <c r="D8" s="225" t="s">
        <v>142</v>
      </c>
      <c r="E8" s="226" t="s">
        <v>143</v>
      </c>
      <c r="F8" s="225" t="s">
        <v>166</v>
      </c>
      <c r="G8" s="226" t="s">
        <v>167</v>
      </c>
      <c r="H8" s="227"/>
      <c r="I8" s="228"/>
      <c r="J8" s="116"/>
      <c r="K8" s="693" t="s">
        <v>124</v>
      </c>
      <c r="L8" s="694"/>
      <c r="M8" s="694"/>
      <c r="N8" s="694"/>
      <c r="O8" s="694"/>
      <c r="P8" s="694"/>
      <c r="Q8" s="694"/>
      <c r="R8" s="695"/>
      <c r="S8" s="114"/>
      <c r="T8" s="218" t="s">
        <v>45</v>
      </c>
      <c r="U8" s="677" t="s">
        <v>126</v>
      </c>
      <c r="V8" s="115"/>
      <c r="AF8" s="259" t="n">
        <f>YEAR(E9)</f>
        <v>2021</v>
      </c>
      <c r="AG8" t="n">
        <f>MONTH(E9)</f>
        <v>9</v>
      </c>
      <c r="AH8" s="260" t="n">
        <f>(YEAR(D10)-YEAR(D9))*12+MONTH(D10)-MONTH(D9)</f>
        <v>55</v>
      </c>
    </row>
    <row r="9" spans="2:34" ht="15" customHeight="1">
      <c r="B9" s="116"/>
      <c r="C9" s="229" t="s">
        <v>112</v>
      </c>
      <c r="D9" s="182" t="n">
        <f>IF(B14,D14,DATE(AF8-F11,AG8-G11+1,1))</f>
        <v>42795</v>
      </c>
      <c r="E9" s="185" t="n">
        <f>D10-1</f>
        <v>44469</v>
      </c>
      <c r="F9" s="187" t="n">
        <f>ROUNDDOWN(AH8/12,0)</f>
        <v>4</v>
      </c>
      <c r="G9" s="188" t="n">
        <f>AH8-12*F9</f>
        <v>7</v>
      </c>
      <c r="H9" s="115"/>
      <c r="J9" s="116"/>
      <c r="K9" s="696" t="s">
        <v>31</v>
      </c>
      <c r="L9" s="698" t="s">
        <v>32</v>
      </c>
      <c r="M9" s="700" t="s">
        <v>33</v>
      </c>
      <c r="N9" s="681" t="s">
        <v>34</v>
      </c>
      <c r="O9" s="698" t="s">
        <v>36</v>
      </c>
      <c r="P9" s="700" t="s">
        <v>37</v>
      </c>
      <c r="Q9" s="681" t="s">
        <v>35</v>
      </c>
      <c r="R9" s="683" t="s">
        <v>41</v>
      </c>
      <c r="S9" s="114"/>
      <c r="T9" s="114"/>
      <c r="U9" s="677"/>
      <c r="V9" s="115"/>
      <c r="AF9" s="259" t="n">
        <f>YEAR(E10)</f>
        <v>2021</v>
      </c>
      <c r="AG9" t="n">
        <f>MONTH(E10)</f>
        <v>12</v>
      </c>
      <c r="AH9" s="261" t="n">
        <f>(YEAR(D11)-YEAR(D10))*12+MONTH(D11)-MONTH(D10)</f>
        <v>3</v>
      </c>
    </row>
    <row r="10" spans="2:34" ht="15" customHeight="1" thickBot="1">
      <c r="B10" s="116"/>
      <c r="C10" s="231" t="s">
        <v>144</v>
      </c>
      <c r="D10" s="183" t="n">
        <f>DATE(AF9,AG9-(D5-1),1)</f>
        <v>44470</v>
      </c>
      <c r="E10" s="232">
        <v>44561</v>
      </c>
      <c r="F10" s="189" t="n">
        <f>ROUNDDOWN(AH9/12,0)</f>
        <v>0</v>
      </c>
      <c r="G10" s="190" t="n">
        <f>AH9-12*F10</f>
        <v>3</v>
      </c>
      <c r="H10" s="115"/>
      <c r="J10" s="116"/>
      <c r="K10" s="697"/>
      <c r="L10" s="699"/>
      <c r="M10" s="701"/>
      <c r="N10" s="682"/>
      <c r="O10" s="699"/>
      <c r="P10" s="701"/>
      <c r="Q10" s="682"/>
      <c r="R10" s="684"/>
      <c r="S10" s="114"/>
      <c r="T10" s="218" t="s">
        <v>45</v>
      </c>
      <c r="U10" s="677" t="s">
        <v>127</v>
      </c>
      <c r="V10" s="115"/>
      <c r="AF10" s="262"/>
      <c r="AG10" s="263" t="n">
        <f>E11+1</f>
        <v>46235</v>
      </c>
      <c r="AH10" s="264" t="n">
        <f>(YEAR(AG10)-YEAR(D11))*12+MONTH(AG10)-MONTH(D11)</f>
        <v>55</v>
      </c>
    </row>
    <row r="11" spans="2:34" ht="15" customHeight="1" thickBot="1">
      <c r="B11" s="116"/>
      <c r="C11" s="233" t="s">
        <v>113</v>
      </c>
      <c r="D11" s="184" t="n">
        <f>E10+1</f>
        <v>44562</v>
      </c>
      <c r="E11" s="186" t="n">
        <f>D4</f>
        <v>46234</v>
      </c>
      <c r="F11" s="191" t="n">
        <f>ROUNDDOWN(AH10/12,0)</f>
        <v>4</v>
      </c>
      <c r="G11" s="192" t="n">
        <f>AH10-12*F11</f>
        <v>7</v>
      </c>
      <c r="H11" s="115"/>
      <c r="J11" s="116"/>
      <c r="K11" s="234">
        <v>2010</v>
      </c>
      <c r="L11" s="556"/>
      <c r="M11" s="557"/>
      <c r="N11" s="178" t="str">
        <f t="shared" ref="N11:N35" si="0">IF(COUNT(L11:M11) = 0, "",L11/2+M11/2)</f>
        <v/>
      </c>
      <c r="O11" s="565"/>
      <c r="P11" s="557"/>
      <c r="Q11" s="178" t="str">
        <f t="shared" ref="Q11:Q27" si="1">IF(COUNT(O11:P11) = 0, "",O11/2+P11/2)</f>
        <v/>
      </c>
      <c r="R11" s="250" t="str">
        <f t="shared" ref="R11" si="2">IF(COUNT(L11:M11) = 0, "",N11+Q11)</f>
        <v/>
      </c>
      <c r="S11" s="114"/>
      <c r="T11" s="114"/>
      <c r="U11" s="677"/>
      <c r="V11" s="227"/>
      <c r="AB11" s="235"/>
    </row>
    <row r="12" spans="2:34" ht="15" customHeight="1">
      <c r="B12" s="116"/>
      <c r="C12" s="114"/>
      <c r="D12" s="236"/>
      <c r="E12" s="236"/>
      <c r="F12" s="117"/>
      <c r="G12" s="117"/>
      <c r="H12" s="115"/>
      <c r="J12" s="116"/>
      <c r="K12" s="237">
        <v>2011</v>
      </c>
      <c r="L12" s="558"/>
      <c r="M12" s="559"/>
      <c r="N12" s="177" t="str">
        <f t="shared" si="0"/>
        <v/>
      </c>
      <c r="O12" s="558"/>
      <c r="P12" s="560"/>
      <c r="Q12" s="177" t="str">
        <f t="shared" si="1"/>
        <v/>
      </c>
      <c r="R12" s="251" t="str">
        <f>IF(COUNT(L12:M12) = 0, "",N12+Q12)</f>
        <v/>
      </c>
      <c r="S12" s="114"/>
      <c r="T12" s="218" t="s">
        <v>45</v>
      </c>
      <c r="U12" s="677" t="s">
        <v>125</v>
      </c>
      <c r="V12" s="227"/>
      <c r="W12" s="176"/>
    </row>
    <row r="13" spans="2:34" ht="15" customHeight="1" thickBot="1">
      <c r="B13" s="116"/>
      <c r="C13" s="114"/>
      <c r="D13" s="238"/>
      <c r="E13" s="238"/>
      <c r="F13" s="114"/>
      <c r="G13" s="114"/>
      <c r="H13" s="115"/>
      <c r="J13" s="116"/>
      <c r="K13" s="237">
        <v>2012</v>
      </c>
      <c r="L13" s="558"/>
      <c r="M13" s="559"/>
      <c r="N13" s="177" t="str">
        <f t="shared" si="0"/>
        <v/>
      </c>
      <c r="O13" s="558"/>
      <c r="P13" s="560"/>
      <c r="Q13" s="177" t="str">
        <f t="shared" si="1"/>
        <v/>
      </c>
      <c r="R13" s="251" t="str">
        <f t="shared" ref="R13:R22" si="3">IF(COUNT(L13:M13) = 0, "",N13+Q13)</f>
        <v/>
      </c>
      <c r="S13" s="114"/>
      <c r="T13" s="114"/>
      <c r="U13" s="677"/>
      <c r="V13" s="115"/>
      <c r="W13" s="176"/>
    </row>
    <row r="14" spans="2:34" ht="15" customHeight="1" thickBot="1">
      <c r="B14" s="239" t="b">
        <v>0</v>
      </c>
      <c r="C14" s="240" t="s">
        <v>445</v>
      </c>
      <c r="D14" s="241">
        <v>42552</v>
      </c>
      <c r="E14" s="238"/>
      <c r="F14" s="114"/>
      <c r="G14" s="114"/>
      <c r="H14" s="115"/>
      <c r="J14" s="116"/>
      <c r="K14" s="237">
        <v>2013</v>
      </c>
      <c r="L14" s="558"/>
      <c r="M14" s="559"/>
      <c r="N14" s="177" t="str">
        <f t="shared" si="0"/>
        <v/>
      </c>
      <c r="O14" s="558"/>
      <c r="P14" s="560"/>
      <c r="Q14" s="177" t="str">
        <f t="shared" si="1"/>
        <v/>
      </c>
      <c r="R14" s="251" t="str">
        <f t="shared" si="3"/>
        <v/>
      </c>
      <c r="S14" s="114"/>
      <c r="T14" s="114"/>
      <c r="U14" s="677"/>
      <c r="V14" s="115"/>
    </row>
    <row r="15" spans="2:34" ht="15" customHeight="1">
      <c r="B15" s="116"/>
      <c r="C15" s="114"/>
      <c r="D15" s="236"/>
      <c r="E15" s="236"/>
      <c r="F15" s="114"/>
      <c r="G15" s="114"/>
      <c r="H15" s="115"/>
      <c r="J15" s="116"/>
      <c r="K15" s="237">
        <v>2014</v>
      </c>
      <c r="L15" s="558"/>
      <c r="M15" s="559"/>
      <c r="N15" s="177" t="str">
        <f t="shared" si="0"/>
        <v/>
      </c>
      <c r="O15" s="558"/>
      <c r="P15" s="560"/>
      <c r="Q15" s="177" t="str">
        <f t="shared" si="1"/>
        <v/>
      </c>
      <c r="R15" s="251" t="str">
        <f t="shared" si="3"/>
        <v/>
      </c>
      <c r="S15" s="114"/>
      <c r="T15" s="218" t="s">
        <v>45</v>
      </c>
      <c r="U15" s="677" t="s">
        <v>128</v>
      </c>
      <c r="V15" s="115"/>
    </row>
    <row r="16" spans="2:34" ht="15" customHeight="1">
      <c r="B16" s="167" t="s">
        <v>106</v>
      </c>
      <c r="C16" s="114"/>
      <c r="D16" s="117"/>
      <c r="E16" s="117"/>
      <c r="F16" s="114"/>
      <c r="G16" s="114"/>
      <c r="H16" s="115"/>
      <c r="J16" s="116"/>
      <c r="K16" s="237">
        <v>2015</v>
      </c>
      <c r="L16" s="558"/>
      <c r="M16" s="559"/>
      <c r="N16" s="177" t="str">
        <f t="shared" si="0"/>
        <v/>
      </c>
      <c r="O16" s="558"/>
      <c r="P16" s="560"/>
      <c r="Q16" s="177" t="str">
        <f t="shared" si="1"/>
        <v/>
      </c>
      <c r="R16" s="251" t="str">
        <f t="shared" si="3"/>
        <v/>
      </c>
      <c r="S16" s="114"/>
      <c r="T16" s="114"/>
      <c r="U16" s="677"/>
      <c r="V16" s="115"/>
    </row>
    <row r="17" spans="2:22" ht="15" customHeight="1">
      <c r="B17" s="242" t="s">
        <v>45</v>
      </c>
      <c r="C17" s="685" t="s">
        <v>169</v>
      </c>
      <c r="D17" s="685"/>
      <c r="E17" s="685"/>
      <c r="F17" s="685"/>
      <c r="G17" s="685"/>
      <c r="H17" s="115"/>
      <c r="J17" s="116"/>
      <c r="K17" s="237">
        <v>2016</v>
      </c>
      <c r="L17" s="602"/>
      <c r="M17" s="601"/>
      <c r="N17" s="177" t="str">
        <f t="shared" si="0"/>
        <v/>
      </c>
      <c r="O17" s="600"/>
      <c r="P17" s="559"/>
      <c r="Q17" s="177" t="str">
        <f t="shared" si="1"/>
        <v/>
      </c>
      <c r="R17" s="251" t="str">
        <f t="shared" si="3"/>
        <v/>
      </c>
      <c r="S17" s="114"/>
      <c r="T17" s="114"/>
      <c r="U17" s="677"/>
      <c r="V17" s="243"/>
    </row>
    <row r="18" spans="2:22" ht="15" customHeight="1">
      <c r="B18" s="116"/>
      <c r="C18" s="685"/>
      <c r="D18" s="685"/>
      <c r="E18" s="685"/>
      <c r="F18" s="685"/>
      <c r="G18" s="685"/>
      <c r="H18" s="115"/>
      <c r="J18" s="116"/>
      <c r="K18" s="237">
        <v>2017</v>
      </c>
      <c r="L18" s="837" t="n">
        <f>L62</f>
        <v>3900</v>
      </c>
      <c r="M18" s="838" t="n">
        <f>M62</f>
        <v>2400</v>
      </c>
      <c r="N18" s="177" t="n">
        <f t="shared" si="0"/>
        <v>3150</v>
      </c>
      <c r="O18" s="839" t="n">
        <f>O62</f>
        <v>3400</v>
      </c>
      <c r="P18" s="601" t="n">
        <f>ROUND(AVERAGE(P61,P19),-2)</f>
        <v>1900</v>
      </c>
      <c r="Q18" s="177" t="n">
        <f t="shared" si="1"/>
        <v>2650</v>
      </c>
      <c r="R18" s="251" t="n">
        <f t="shared" si="3"/>
        <v>5800</v>
      </c>
      <c r="S18" s="114"/>
      <c r="T18" s="218" t="s">
        <v>45</v>
      </c>
      <c r="U18" s="114" t="s">
        <v>177</v>
      </c>
      <c r="V18" s="243"/>
    </row>
    <row r="19" spans="2:22" ht="15" customHeight="1">
      <c r="B19" s="242" t="s">
        <v>45</v>
      </c>
      <c r="C19" s="685" t="s">
        <v>170</v>
      </c>
      <c r="D19" s="685"/>
      <c r="E19" s="685"/>
      <c r="F19" s="685"/>
      <c r="G19" s="685"/>
      <c r="H19" s="115"/>
      <c r="J19" s="116">
        <v>5</v>
      </c>
      <c r="K19" s="237">
        <v>2018</v>
      </c>
      <c r="L19" s="602" t="n">
        <f>ROUND(AVERAGE(L18,L20),-2)</f>
        <v>3700</v>
      </c>
      <c r="M19" s="601" t="n">
        <f>ROUND($M$24+($M$18-$M$24)*J19/6,-2)</f>
        <v>2300</v>
      </c>
      <c r="N19" s="177" t="n">
        <f t="shared" si="0"/>
        <v>3000</v>
      </c>
      <c r="O19" s="602" t="n">
        <f>ROUND(AVERAGE(O18,O20),-2)</f>
        <v>3100</v>
      </c>
      <c r="P19" s="838" t="n">
        <f t="shared" ref="O19:P27" si="4">P63</f>
        <v>1800</v>
      </c>
      <c r="Q19" s="177" t="n">
        <f t="shared" si="1"/>
        <v>2450</v>
      </c>
      <c r="R19" s="251" t="n">
        <f t="shared" si="3"/>
        <v>5450</v>
      </c>
      <c r="S19" s="114"/>
      <c r="T19" s="218" t="s">
        <v>45</v>
      </c>
      <c r="U19" s="685" t="s">
        <v>178</v>
      </c>
      <c r="V19" s="115"/>
    </row>
    <row r="20" spans="2:22" ht="15" customHeight="1">
      <c r="B20" s="116"/>
      <c r="C20" s="685"/>
      <c r="D20" s="685"/>
      <c r="E20" s="685"/>
      <c r="F20" s="685"/>
      <c r="G20" s="685"/>
      <c r="H20" s="115"/>
      <c r="J20" s="116">
        <v>4</v>
      </c>
      <c r="K20" s="237">
        <v>2019</v>
      </c>
      <c r="L20" s="837" t="n">
        <f t="shared" ref="L19:L27" si="5">L64</f>
        <v>3500</v>
      </c>
      <c r="M20" s="601" t="n">
        <f t="shared" ref="M20:M23" si="6">ROUND($M$24+($M$18-$M$24)*J20/6,-2)</f>
        <v>2200</v>
      </c>
      <c r="N20" s="177" t="n">
        <f t="shared" si="0"/>
        <v>2850</v>
      </c>
      <c r="O20" s="839" t="n">
        <f t="shared" si="4"/>
        <v>2700</v>
      </c>
      <c r="P20" s="601" t="n">
        <f>ROUND($P$19-($P$19-$P$23)*1/4,-2)</f>
        <v>1700</v>
      </c>
      <c r="Q20" s="177" t="n">
        <f t="shared" si="1"/>
        <v>2200</v>
      </c>
      <c r="R20" s="251" t="n">
        <f t="shared" si="3"/>
        <v>5050</v>
      </c>
      <c r="S20" s="114"/>
      <c r="T20" s="114"/>
      <c r="U20" s="685"/>
      <c r="V20" s="115"/>
    </row>
    <row r="21" spans="2:22" ht="15" customHeight="1">
      <c r="B21" s="242" t="s">
        <v>45</v>
      </c>
      <c r="C21" s="685" t="s">
        <v>168</v>
      </c>
      <c r="D21" s="685"/>
      <c r="E21" s="685"/>
      <c r="F21" s="685"/>
      <c r="G21" s="685"/>
      <c r="H21" s="115"/>
      <c r="J21" s="116">
        <v>3</v>
      </c>
      <c r="K21" s="237">
        <v>2020</v>
      </c>
      <c r="L21" s="602" t="n">
        <f>ROUND(AVERAGE(L20,L22)*0.85,-2)</f>
        <v>2800</v>
      </c>
      <c r="M21" s="601" t="n">
        <f>ROUND(($M$24+($M$18-$M$24)*J21/6)*0.85,-2)</f>
        <v>1800</v>
      </c>
      <c r="N21" s="177" t="n">
        <f t="shared" si="0"/>
        <v>2300</v>
      </c>
      <c r="O21" s="602" t="n">
        <f>ROUND(AVERAGE(O20,O22)*0.85,-2)</f>
        <v>2200</v>
      </c>
      <c r="P21" s="601" t="n">
        <f>ROUND(($P$19-($P$19-$P$23)*2/4)*0.85,-2)</f>
        <v>1300</v>
      </c>
      <c r="Q21" s="177" t="n">
        <f t="shared" si="1"/>
        <v>1750</v>
      </c>
      <c r="R21" s="251" t="n">
        <f t="shared" si="3"/>
        <v>4050</v>
      </c>
      <c r="S21" s="114"/>
      <c r="T21" s="114"/>
      <c r="U21" s="685"/>
      <c r="V21" s="115"/>
    </row>
    <row r="22" spans="2:22" ht="15" customHeight="1">
      <c r="B22" s="242"/>
      <c r="C22" s="685"/>
      <c r="D22" s="685"/>
      <c r="E22" s="685"/>
      <c r="F22" s="685"/>
      <c r="G22" s="685"/>
      <c r="H22" s="115"/>
      <c r="J22" s="116">
        <v>2</v>
      </c>
      <c r="K22" s="237">
        <v>2021</v>
      </c>
      <c r="L22" s="602" t="n">
        <f>ROUND(AVERAGE(L20,L24),-2)</f>
        <v>3200</v>
      </c>
      <c r="M22" s="601" t="n">
        <f t="shared" si="6"/>
        <v>2100</v>
      </c>
      <c r="N22" s="177" t="n">
        <f t="shared" si="0"/>
        <v>2650</v>
      </c>
      <c r="O22" s="602" t="n">
        <f>ROUND(AVERAGE(O20,O24),-2)</f>
        <v>2500</v>
      </c>
      <c r="P22" s="601" t="n">
        <f>ROUND($P$19-($P$19-$P$23)*3/4,-2)</f>
        <v>1400</v>
      </c>
      <c r="Q22" s="177" t="n">
        <f t="shared" si="1"/>
        <v>1950</v>
      </c>
      <c r="R22" s="251" t="n">
        <f t="shared" si="3"/>
        <v>4600</v>
      </c>
      <c r="S22" s="114"/>
      <c r="T22" s="218" t="s">
        <v>45</v>
      </c>
      <c r="U22" s="677" t="s">
        <v>179</v>
      </c>
      <c r="V22" s="115"/>
    </row>
    <row r="23" spans="2:22" ht="15" customHeight="1">
      <c r="B23" s="242" t="s">
        <v>45</v>
      </c>
      <c r="C23" s="685" t="s">
        <v>701</v>
      </c>
      <c r="D23" s="685"/>
      <c r="E23" s="685"/>
      <c r="F23" s="685"/>
      <c r="G23" s="685"/>
      <c r="H23" s="115"/>
      <c r="J23" s="116">
        <v>1</v>
      </c>
      <c r="K23" s="237">
        <v>2022</v>
      </c>
      <c r="L23" s="602" t="n">
        <f>ROUND(AVERAGE(L22,L24),-2)</f>
        <v>3000</v>
      </c>
      <c r="M23" s="601" t="n">
        <f t="shared" si="6"/>
        <v>2000</v>
      </c>
      <c r="N23" s="177" t="n">
        <f t="shared" si="0"/>
        <v>2500</v>
      </c>
      <c r="O23" s="602" t="n">
        <f>ROUND(AVERAGE(O22,O24),-2)</f>
        <v>2400</v>
      </c>
      <c r="P23" s="838" t="n">
        <f t="shared" si="4"/>
        <v>1200</v>
      </c>
      <c r="Q23" s="177" t="n">
        <f t="shared" si="1"/>
        <v>1800</v>
      </c>
      <c r="R23" s="251" t="n">
        <f t="shared" ref="R23:R27" si="7">IF(COUNT(L23:M23) = 0, "",N23+Q23)</f>
        <v>4300</v>
      </c>
      <c r="S23" s="114"/>
      <c r="T23" s="114"/>
      <c r="U23" s="677"/>
      <c r="V23" s="115"/>
    </row>
    <row r="24" spans="2:22" ht="15" customHeight="1">
      <c r="B24" s="116"/>
      <c r="C24" s="685"/>
      <c r="D24" s="685"/>
      <c r="E24" s="685"/>
      <c r="F24" s="685"/>
      <c r="G24" s="685"/>
      <c r="H24" s="115"/>
      <c r="J24" s="116"/>
      <c r="K24" s="237">
        <v>2023</v>
      </c>
      <c r="L24" s="837" t="n">
        <f t="shared" si="5"/>
        <v>2800</v>
      </c>
      <c r="M24" s="838" t="n">
        <f t="shared" ref="M19:M27" si="8">M68</f>
        <v>1900</v>
      </c>
      <c r="N24" s="177" t="n">
        <f t="shared" si="0"/>
        <v>2350</v>
      </c>
      <c r="O24" s="839" t="n">
        <f t="shared" si="4"/>
        <v>2200</v>
      </c>
      <c r="P24" s="601" t="n">
        <f>ROUND(AVERAGE(P23,P25),-2)</f>
        <v>1300</v>
      </c>
      <c r="Q24" s="177" t="n">
        <f t="shared" si="1"/>
        <v>1750</v>
      </c>
      <c r="R24" s="251" t="n">
        <f t="shared" si="7"/>
        <v>4100</v>
      </c>
      <c r="S24" s="114"/>
      <c r="T24" s="114"/>
      <c r="U24" s="677"/>
      <c r="V24" s="115"/>
    </row>
    <row r="25" spans="2:22" ht="14.7" thickBot="1">
      <c r="B25" s="172"/>
      <c r="C25" s="173"/>
      <c r="D25" s="244"/>
      <c r="E25" s="244"/>
      <c r="F25" s="173"/>
      <c r="G25" s="173"/>
      <c r="H25" s="175"/>
      <c r="J25" s="116"/>
      <c r="K25" s="237">
        <v>2024</v>
      </c>
      <c r="L25" s="837" t="n">
        <f t="shared" si="5"/>
        <v>2900</v>
      </c>
      <c r="M25" s="838" t="n">
        <f t="shared" si="8"/>
        <v>2000</v>
      </c>
      <c r="N25" s="177" t="n">
        <f t="shared" si="0"/>
        <v>2450</v>
      </c>
      <c r="O25" s="839" t="n">
        <f t="shared" si="4"/>
        <v>2300</v>
      </c>
      <c r="P25" s="838" t="n">
        <f t="shared" si="4"/>
        <v>1300</v>
      </c>
      <c r="Q25" s="177" t="n">
        <f t="shared" si="1"/>
        <v>1800</v>
      </c>
      <c r="R25" s="251" t="n">
        <f t="shared" si="7"/>
        <v>4250</v>
      </c>
      <c r="S25" s="114"/>
      <c r="T25" s="114"/>
      <c r="U25" s="677"/>
      <c r="V25" s="115"/>
    </row>
    <row r="26" spans="2:22" ht="15" customHeight="1">
      <c r="J26" s="116"/>
      <c r="K26" s="237">
        <v>2025</v>
      </c>
      <c r="L26" s="837" t="n">
        <f t="shared" si="5"/>
        <v>2800</v>
      </c>
      <c r="M26" s="838" t="n">
        <f t="shared" si="8"/>
        <v>1900</v>
      </c>
      <c r="N26" s="177" t="n">
        <f t="shared" si="0"/>
        <v>2350</v>
      </c>
      <c r="O26" s="839" t="n">
        <f t="shared" si="4"/>
        <v>2500</v>
      </c>
      <c r="P26" s="838" t="n">
        <f t="shared" si="4"/>
        <v>1300</v>
      </c>
      <c r="Q26" s="177" t="n">
        <f t="shared" si="1"/>
        <v>1900</v>
      </c>
      <c r="R26" s="251" t="n">
        <f t="shared" si="7"/>
        <v>4250</v>
      </c>
      <c r="S26" s="114"/>
      <c r="T26" s="114"/>
      <c r="U26" s="677"/>
      <c r="V26" s="115"/>
    </row>
    <row r="27" spans="2:22" ht="15" customHeight="1">
      <c r="J27" s="116"/>
      <c r="K27" s="237">
        <v>2026</v>
      </c>
      <c r="L27" s="602" t="n">
        <f>L26</f>
        <v>2800</v>
      </c>
      <c r="M27" s="601" t="n">
        <f>M26</f>
        <v>1900</v>
      </c>
      <c r="N27" s="177" t="n">
        <f t="shared" si="0"/>
        <v>2350</v>
      </c>
      <c r="O27" s="600" t="n">
        <f>O26</f>
        <v>2500</v>
      </c>
      <c r="P27" s="601" t="n">
        <f>P26</f>
        <v>1300</v>
      </c>
      <c r="Q27" s="177" t="n">
        <f t="shared" si="1"/>
        <v>1900</v>
      </c>
      <c r="R27" s="251" t="n">
        <f t="shared" si="7"/>
        <v>4250</v>
      </c>
      <c r="S27" s="114"/>
      <c r="T27" s="114"/>
      <c r="U27" s="677"/>
      <c r="V27" s="115"/>
    </row>
    <row r="28" spans="2:22" ht="15" customHeight="1">
      <c r="F28" s="235"/>
      <c r="J28" s="116"/>
      <c r="K28" s="237">
        <v>2027</v>
      </c>
      <c r="L28" s="560"/>
      <c r="M28" s="559"/>
      <c r="N28" s="177" t="str">
        <f t="shared" si="0"/>
        <v/>
      </c>
      <c r="O28" s="839"/>
      <c r="P28" s="838"/>
      <c r="Q28" s="177" t="str">
        <f t="shared" ref="Q28:Q35" si="9">IF(COUNT(O28:P28) = 0, "",O28/2+P28/2)</f>
        <v/>
      </c>
      <c r="R28" s="251" t="str">
        <f t="shared" ref="R28:R35" si="10">IF(COUNT(L28:M28) = 0, "",N28+Q28)</f>
        <v/>
      </c>
      <c r="S28" s="114"/>
      <c r="T28" s="245" t="s">
        <v>45</v>
      </c>
      <c r="U28" s="246" t="s">
        <v>180</v>
      </c>
      <c r="V28" s="115"/>
    </row>
    <row r="29" spans="2:22" ht="15" customHeight="1">
      <c r="J29" s="116"/>
      <c r="K29" s="237">
        <v>2028</v>
      </c>
      <c r="L29" s="560"/>
      <c r="M29" s="559"/>
      <c r="N29" s="177" t="str">
        <f t="shared" si="0"/>
        <v/>
      </c>
      <c r="O29" s="558"/>
      <c r="P29" s="559"/>
      <c r="Q29" s="177" t="str">
        <f t="shared" si="9"/>
        <v/>
      </c>
      <c r="R29" s="251" t="str">
        <f t="shared" si="10"/>
        <v/>
      </c>
      <c r="S29" s="114"/>
      <c r="T29" s="247"/>
      <c r="U29" s="246"/>
      <c r="V29" s="115"/>
    </row>
    <row r="30" spans="2:22" ht="15" customHeight="1">
      <c r="J30" s="116"/>
      <c r="K30" s="237">
        <v>2029</v>
      </c>
      <c r="L30" s="560"/>
      <c r="M30" s="559"/>
      <c r="N30" s="177" t="str">
        <f t="shared" si="0"/>
        <v/>
      </c>
      <c r="O30" s="558"/>
      <c r="P30" s="559"/>
      <c r="Q30" s="177" t="str">
        <f t="shared" si="9"/>
        <v/>
      </c>
      <c r="R30" s="251" t="str">
        <f t="shared" si="10"/>
        <v/>
      </c>
      <c r="S30" s="114"/>
      <c r="T30" s="247"/>
      <c r="U30" s="246"/>
      <c r="V30" s="115"/>
    </row>
    <row r="31" spans="2:22" ht="15" customHeight="1">
      <c r="J31" s="116"/>
      <c r="K31" s="237">
        <v>2030</v>
      </c>
      <c r="L31" s="560"/>
      <c r="M31" s="559"/>
      <c r="N31" s="177" t="str">
        <f t="shared" si="0"/>
        <v/>
      </c>
      <c r="O31" s="559"/>
      <c r="P31" s="559"/>
      <c r="Q31" s="177" t="str">
        <f t="shared" si="9"/>
        <v/>
      </c>
      <c r="R31" s="251" t="str">
        <f t="shared" si="10"/>
        <v/>
      </c>
      <c r="S31" s="114"/>
      <c r="T31" s="247"/>
      <c r="U31" s="246"/>
      <c r="V31" s="115"/>
    </row>
    <row r="32" spans="2:22" ht="15" customHeight="1">
      <c r="J32" s="116"/>
      <c r="K32" s="237">
        <v>2031</v>
      </c>
      <c r="L32" s="561"/>
      <c r="M32" s="562"/>
      <c r="N32" s="177" t="str">
        <f t="shared" si="0"/>
        <v/>
      </c>
      <c r="O32" s="566"/>
      <c r="P32" s="562"/>
      <c r="Q32" s="177" t="str">
        <f t="shared" si="9"/>
        <v/>
      </c>
      <c r="R32" s="251" t="str">
        <f t="shared" si="10"/>
        <v/>
      </c>
      <c r="S32" s="114"/>
      <c r="T32" s="247"/>
      <c r="U32" s="246"/>
      <c r="V32" s="115"/>
    </row>
    <row r="33" spans="7:22" ht="15" customHeight="1">
      <c r="J33" s="116"/>
      <c r="K33" s="237">
        <v>2032</v>
      </c>
      <c r="L33" s="561"/>
      <c r="M33" s="562"/>
      <c r="N33" s="177" t="str">
        <f t="shared" si="0"/>
        <v/>
      </c>
      <c r="O33" s="566"/>
      <c r="P33" s="562"/>
      <c r="Q33" s="177" t="str">
        <f t="shared" si="9"/>
        <v/>
      </c>
      <c r="R33" s="251" t="str">
        <f t="shared" si="10"/>
        <v/>
      </c>
      <c r="S33" s="114"/>
      <c r="T33" s="247"/>
      <c r="U33" s="246"/>
      <c r="V33" s="115"/>
    </row>
    <row r="34" spans="7:22" ht="15" customHeight="1">
      <c r="J34" s="116"/>
      <c r="K34" s="237">
        <v>2033</v>
      </c>
      <c r="L34" s="561"/>
      <c r="M34" s="562"/>
      <c r="N34" s="177" t="str">
        <f t="shared" si="0"/>
        <v/>
      </c>
      <c r="O34" s="566"/>
      <c r="P34" s="562"/>
      <c r="Q34" s="177" t="str">
        <f t="shared" si="9"/>
        <v/>
      </c>
      <c r="R34" s="251" t="str">
        <f t="shared" si="10"/>
        <v/>
      </c>
      <c r="S34" s="114"/>
      <c r="T34" s="247"/>
      <c r="U34" s="246"/>
      <c r="V34" s="115"/>
    </row>
    <row r="35" spans="7:22" ht="15" customHeight="1" thickBot="1">
      <c r="J35" s="116"/>
      <c r="K35" s="248">
        <v>2034</v>
      </c>
      <c r="L35" s="563"/>
      <c r="M35" s="564"/>
      <c r="N35" s="179" t="str">
        <f t="shared" si="0"/>
        <v/>
      </c>
      <c r="O35" s="567"/>
      <c r="P35" s="564"/>
      <c r="Q35" s="179" t="str">
        <f t="shared" si="9"/>
        <v/>
      </c>
      <c r="R35" s="252" t="str">
        <f t="shared" si="10"/>
        <v/>
      </c>
      <c r="S35" s="114"/>
      <c r="T35" s="247"/>
      <c r="U35" s="246"/>
      <c r="V35" s="115"/>
    </row>
    <row r="36" spans="7:22" ht="15" customHeight="1" thickBot="1">
      <c r="J36" s="172"/>
      <c r="K36" s="249"/>
      <c r="L36" s="249"/>
      <c r="M36" s="249"/>
      <c r="N36" s="249"/>
      <c r="O36" s="249"/>
      <c r="P36" s="249"/>
      <c r="Q36" s="249"/>
      <c r="R36" s="249"/>
      <c r="S36" s="173"/>
      <c r="T36" s="173"/>
      <c r="U36" s="173"/>
      <c r="V36" s="175"/>
    </row>
    <row r="37" spans="7:22">
      <c r="G37" s="98" t="s">
        <v>930</v>
      </c>
      <c r="L37" s="843">
        <v>390000205</v>
      </c>
      <c r="M37" s="844">
        <v>390000366</v>
      </c>
      <c r="O37" s="846">
        <v>390000035</v>
      </c>
      <c r="P37" s="845">
        <v>390000201</v>
      </c>
    </row>
    <row r="38" spans="7:22">
      <c r="G38" s="98" t="s">
        <v>187</v>
      </c>
      <c r="L38" s="98" t="s">
        <v>483</v>
      </c>
      <c r="M38" s="98" t="s">
        <v>483</v>
      </c>
      <c r="O38" s="98" t="s">
        <v>483</v>
      </c>
      <c r="P38" s="98" t="s">
        <v>483</v>
      </c>
    </row>
    <row r="39" spans="7:22">
      <c r="G39" s="98" t="s">
        <v>387</v>
      </c>
      <c r="L39" s="98" t="s">
        <v>931</v>
      </c>
      <c r="M39" s="98" t="s">
        <v>931</v>
      </c>
      <c r="O39" s="98" t="s">
        <v>931</v>
      </c>
      <c r="P39" s="98" t="s">
        <v>931</v>
      </c>
    </row>
    <row r="40" spans="7:22">
      <c r="G40" s="98" t="s">
        <v>932</v>
      </c>
      <c r="L40" s="98" t="s">
        <v>933</v>
      </c>
      <c r="M40" s="98" t="s">
        <v>933</v>
      </c>
      <c r="O40" s="98" t="s">
        <v>933</v>
      </c>
      <c r="P40" s="98" t="s">
        <v>933</v>
      </c>
    </row>
    <row r="41" spans="7:22">
      <c r="G41" s="98" t="s">
        <v>934</v>
      </c>
      <c r="L41" s="98">
        <v>40001207039</v>
      </c>
      <c r="M41" s="98">
        <v>50099299039</v>
      </c>
      <c r="O41" s="98">
        <v>40001602039</v>
      </c>
      <c r="P41" s="98">
        <v>40001602039</v>
      </c>
    </row>
    <row r="42" spans="7:22">
      <c r="G42" s="98" t="s">
        <v>935</v>
      </c>
      <c r="L42" s="98" t="s">
        <v>936</v>
      </c>
      <c r="M42" s="98" t="s">
        <v>969</v>
      </c>
      <c r="O42" s="98" t="s">
        <v>940</v>
      </c>
      <c r="P42" s="98" t="s">
        <v>940</v>
      </c>
    </row>
    <row r="43" spans="7:22">
      <c r="G43" s="98" t="s">
        <v>937</v>
      </c>
      <c r="L43" s="98" t="s">
        <v>938</v>
      </c>
      <c r="M43" s="98" t="s">
        <v>970</v>
      </c>
      <c r="O43" s="98" t="s">
        <v>973</v>
      </c>
      <c r="P43" s="98" t="s">
        <v>973</v>
      </c>
    </row>
    <row r="44" spans="7:22" ht="15" customHeight="1">
      <c r="G44" s="98" t="s">
        <v>939</v>
      </c>
      <c r="L44" s="98" t="s">
        <v>940</v>
      </c>
      <c r="M44" s="98" t="s">
        <v>940</v>
      </c>
      <c r="O44" s="98" t="s">
        <v>974</v>
      </c>
      <c r="P44" s="98" t="s">
        <v>975</v>
      </c>
    </row>
    <row r="45" spans="7:22">
      <c r="G45" s="98" t="s">
        <v>941</v>
      </c>
      <c r="L45" s="98" t="s">
        <v>942</v>
      </c>
      <c r="M45" s="98" t="s">
        <v>971</v>
      </c>
      <c r="O45" s="98" t="s">
        <v>942</v>
      </c>
      <c r="P45" s="98" t="s">
        <v>942</v>
      </c>
    </row>
    <row r="46" spans="7:22">
      <c r="G46" s="98" t="s">
        <v>943</v>
      </c>
      <c r="L46" s="98" t="s">
        <v>944</v>
      </c>
      <c r="M46" s="98" t="s">
        <v>972</v>
      </c>
      <c r="O46" s="98" t="s">
        <v>944</v>
      </c>
      <c r="P46" s="98" t="s">
        <v>944</v>
      </c>
    </row>
    <row r="47" spans="7:22">
      <c r="G47" s="98" t="s">
        <v>945</v>
      </c>
      <c r="P47" s="836">
        <v>2800</v>
      </c>
    </row>
    <row r="48" spans="7:22">
      <c r="G48" s="98" t="s">
        <v>946</v>
      </c>
      <c r="O48" s="836">
        <v>4200</v>
      </c>
    </row>
    <row r="49" spans="7:16">
      <c r="G49" s="98" t="s">
        <v>947</v>
      </c>
      <c r="P49" s="836">
        <v>2200</v>
      </c>
    </row>
    <row r="50" spans="7:16">
      <c r="G50" s="98" t="s">
        <v>948</v>
      </c>
      <c r="L50" s="836">
        <v>5500</v>
      </c>
      <c r="O50" s="836">
        <v>4600</v>
      </c>
    </row>
    <row r="51" spans="7:16">
      <c r="G51" s="98" t="s">
        <v>949</v>
      </c>
      <c r="P51" s="836">
        <v>2500</v>
      </c>
    </row>
    <row r="52" spans="7:16">
      <c r="G52" s="98" t="s">
        <v>950</v>
      </c>
      <c r="L52" s="836">
        <v>5100</v>
      </c>
      <c r="O52" s="836">
        <v>4800</v>
      </c>
    </row>
    <row r="53" spans="7:16">
      <c r="G53" s="98" t="s">
        <v>951</v>
      </c>
      <c r="P53" s="836">
        <v>2900</v>
      </c>
    </row>
    <row r="54" spans="7:16">
      <c r="G54" s="98" t="s">
        <v>952</v>
      </c>
      <c r="L54" s="836">
        <v>5400</v>
      </c>
      <c r="M54" s="836">
        <v>3200</v>
      </c>
      <c r="O54" s="836">
        <v>4600</v>
      </c>
    </row>
    <row r="55" spans="7:16">
      <c r="G55" s="98" t="s">
        <v>953</v>
      </c>
      <c r="P55" s="836">
        <v>2400</v>
      </c>
    </row>
    <row r="56" spans="7:16">
      <c r="G56" s="98" t="s">
        <v>954</v>
      </c>
      <c r="L56" s="836">
        <v>5300</v>
      </c>
      <c r="O56" s="836">
        <v>4000</v>
      </c>
    </row>
    <row r="57" spans="7:16">
      <c r="G57" s="98" t="s">
        <v>955</v>
      </c>
      <c r="P57" s="836">
        <v>2400</v>
      </c>
    </row>
    <row r="58" spans="7:16">
      <c r="G58" s="98" t="s">
        <v>956</v>
      </c>
      <c r="L58" s="836">
        <v>4000</v>
      </c>
      <c r="O58" s="836">
        <v>3100</v>
      </c>
    </row>
    <row r="59" spans="7:16">
      <c r="G59" s="98" t="s">
        <v>957</v>
      </c>
      <c r="M59" s="836">
        <v>2300</v>
      </c>
      <c r="P59" s="836">
        <v>2100</v>
      </c>
    </row>
    <row r="60" spans="7:16">
      <c r="G60" s="98" t="s">
        <v>958</v>
      </c>
      <c r="L60" s="836">
        <v>4800</v>
      </c>
      <c r="M60" s="836">
        <v>2700</v>
      </c>
      <c r="O60" s="836">
        <v>3700</v>
      </c>
    </row>
    <row r="61" spans="7:16">
      <c r="G61" s="98" t="s">
        <v>959</v>
      </c>
      <c r="P61" s="836">
        <v>2000</v>
      </c>
    </row>
    <row r="62" spans="7:16">
      <c r="G62" s="98" t="s">
        <v>960</v>
      </c>
      <c r="L62" s="836">
        <v>3900</v>
      </c>
      <c r="M62" s="836">
        <v>2400</v>
      </c>
      <c r="O62" s="836">
        <v>3400</v>
      </c>
    </row>
    <row r="63" spans="7:16">
      <c r="G63" s="98" t="s">
        <v>961</v>
      </c>
      <c r="P63" s="836">
        <v>1800</v>
      </c>
    </row>
    <row r="64" spans="7:16">
      <c r="G64" s="98" t="s">
        <v>962</v>
      </c>
      <c r="L64" s="836">
        <v>3500</v>
      </c>
      <c r="O64" s="836">
        <v>2700</v>
      </c>
    </row>
    <row r="65" spans="7:16">
      <c r="G65" s="98" t="s">
        <v>963</v>
      </c>
    </row>
    <row r="66" spans="7:16">
      <c r="G66" s="98" t="s">
        <v>964</v>
      </c>
    </row>
    <row r="67" spans="7:16">
      <c r="G67" s="98" t="s">
        <v>965</v>
      </c>
      <c r="P67" s="836">
        <v>1200</v>
      </c>
    </row>
    <row r="68" spans="7:16">
      <c r="G68" s="98" t="s">
        <v>966</v>
      </c>
      <c r="L68" s="836">
        <v>2800</v>
      </c>
      <c r="M68" s="836">
        <v>1900</v>
      </c>
      <c r="O68" s="836">
        <v>2200</v>
      </c>
    </row>
    <row r="69" spans="7:16">
      <c r="G69" s="98" t="s">
        <v>967</v>
      </c>
      <c r="L69" s="836">
        <v>2900</v>
      </c>
      <c r="M69" s="836">
        <v>2000</v>
      </c>
      <c r="O69" s="836">
        <v>2300</v>
      </c>
      <c r="P69" s="836">
        <v>1300</v>
      </c>
    </row>
    <row r="70" spans="7:16">
      <c r="G70" s="98" t="s">
        <v>968</v>
      </c>
      <c r="L70" s="836">
        <v>2800</v>
      </c>
      <c r="M70" s="836">
        <v>1900</v>
      </c>
      <c r="O70" s="836">
        <v>2500</v>
      </c>
      <c r="P70" s="836">
        <v>1300</v>
      </c>
    </row>
  </sheetData>
  <sheetProtection formatCells="0"/>
  <mergeCells count="32">
    <mergeCell ref="D5:D6"/>
    <mergeCell ref="B2:H2"/>
    <mergeCell ref="C17:G18"/>
    <mergeCell ref="C19:G20"/>
    <mergeCell ref="K8:R8"/>
    <mergeCell ref="K9:K10"/>
    <mergeCell ref="L9:L10"/>
    <mergeCell ref="M9:M10"/>
    <mergeCell ref="N9:N10"/>
    <mergeCell ref="O9:O10"/>
    <mergeCell ref="P9:P10"/>
    <mergeCell ref="J2:V2"/>
    <mergeCell ref="P5:Q5"/>
    <mergeCell ref="P6:Q6"/>
    <mergeCell ref="P4:R4"/>
    <mergeCell ref="F4:G4"/>
    <mergeCell ref="L4:N4"/>
    <mergeCell ref="C5:C6"/>
    <mergeCell ref="U22:U27"/>
    <mergeCell ref="AF5:AH5"/>
    <mergeCell ref="Q9:Q10"/>
    <mergeCell ref="R9:R10"/>
    <mergeCell ref="C21:G22"/>
    <mergeCell ref="U5:U7"/>
    <mergeCell ref="U8:U9"/>
    <mergeCell ref="U10:U11"/>
    <mergeCell ref="U12:U14"/>
    <mergeCell ref="U15:U17"/>
    <mergeCell ref="U19:U21"/>
    <mergeCell ref="F6:G6"/>
    <mergeCell ref="F5:G5"/>
    <mergeCell ref="C23:G24"/>
  </mergeCells>
  <dataValidations disablePrompts="1" count="1">
    <dataValidation type="list" allowBlank="1" showInputMessage="1" showErrorMessage="1" sqref="N5:N6" xr:uid="{E61247EA-D892-4000-810B-FCCCE87A386C}">
      <formula1>$K$9:$K$35</formula1>
    </dataValidation>
  </dataValidations>
  <pageMargins left="0.7" right="0.7" top="0.75" bottom="0.75" header="0.3" footer="0.3"/>
  <pageSetup orientation="portrait" r:id="rId1"/>
  <ignoredErrors>
    <ignoredError sqref="N14 N11:N13 N15:N35" formulaRange="1"/>
    <ignoredError sqref="R23:R35 R11:R12 R13:R22" formulaRange="1"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A1BDC-FADB-42CC-803D-56620A6D7EB6}">
  <sheetPr codeName="Sheet5"/>
  <dimension ref="A1:Q401"/>
  <sheetViews>
    <sheetView workbookViewId="0"/>
  </sheetViews>
  <sheetFormatPr defaultColWidth="9.15625" defaultRowHeight="14.4"/>
  <cols>
    <col min="1" max="1" width="4.7890625" style="98" customWidth="1"/>
    <col min="2" max="2" width="15.5234375" style="98" customWidth="1"/>
    <col min="3" max="3" width="16.47265625" style="98" customWidth="1"/>
    <col min="4" max="17" width="15.5234375" style="98" customWidth="1"/>
    <col min="18" max="16384" width="9.15625" style="98"/>
  </cols>
  <sheetData>
    <row r="1" spans="1:11" customFormat="1" ht="23.1">
      <c r="A1" s="91" t="s">
        <v>244</v>
      </c>
    </row>
    <row r="2" spans="1:11" customFormat="1">
      <c r="A2" s="92" t="s">
        <v>245</v>
      </c>
    </row>
    <row r="3" spans="1:11" customFormat="1" ht="15.6">
      <c r="A3" s="93" t="s">
        <v>301</v>
      </c>
    </row>
    <row r="4" spans="1:11" customFormat="1" ht="5.25" customHeight="1"/>
    <row r="5" spans="1:11" customFormat="1" ht="60.75" customHeight="1">
      <c r="B5" s="94" t="s">
        <v>246</v>
      </c>
      <c r="C5" s="712" t="s">
        <v>247</v>
      </c>
      <c r="D5" s="712"/>
      <c r="E5" s="712"/>
      <c r="F5" s="712"/>
      <c r="G5" s="712"/>
      <c r="H5" s="712"/>
      <c r="I5" s="712"/>
      <c r="J5" s="712"/>
      <c r="K5" s="713"/>
    </row>
    <row r="6" spans="1:11" customFormat="1" ht="4.5" customHeight="1">
      <c r="B6" s="95"/>
      <c r="C6" s="47"/>
      <c r="D6" s="47"/>
      <c r="E6" s="47"/>
      <c r="F6" s="47"/>
      <c r="G6" s="47"/>
      <c r="H6" s="47"/>
      <c r="I6" s="47"/>
      <c r="J6" s="47"/>
      <c r="K6" s="47"/>
    </row>
    <row r="7" spans="1:11" customFormat="1" ht="35.25" customHeight="1">
      <c r="B7" s="94" t="s">
        <v>248</v>
      </c>
      <c r="C7" s="712" t="s">
        <v>249</v>
      </c>
      <c r="D7" s="712"/>
      <c r="E7" s="712"/>
      <c r="F7" s="712"/>
      <c r="G7" s="712"/>
      <c r="H7" s="712"/>
      <c r="I7" s="712"/>
      <c r="J7" s="712"/>
      <c r="K7" s="713"/>
    </row>
    <row r="8" spans="1:11" customFormat="1" ht="5.25" customHeight="1">
      <c r="B8" s="95"/>
      <c r="C8" s="47"/>
      <c r="D8" s="47"/>
      <c r="E8" s="47"/>
      <c r="F8" s="47"/>
      <c r="G8" s="47"/>
      <c r="H8" s="47"/>
      <c r="I8" s="47"/>
      <c r="J8" s="47"/>
      <c r="K8" s="47"/>
    </row>
    <row r="9" spans="1:11" customFormat="1" ht="33" customHeight="1">
      <c r="B9" s="714" t="s">
        <v>250</v>
      </c>
      <c r="C9" s="717" t="s">
        <v>303</v>
      </c>
      <c r="D9" s="717"/>
      <c r="E9" s="717"/>
      <c r="F9" s="717"/>
      <c r="G9" s="717"/>
      <c r="H9" s="717"/>
      <c r="I9" s="717"/>
      <c r="J9" s="717"/>
      <c r="K9" s="718"/>
    </row>
    <row r="10" spans="1:11" customFormat="1" ht="19.5" customHeight="1">
      <c r="B10" s="715"/>
      <c r="C10" s="719" t="s">
        <v>251</v>
      </c>
      <c r="D10" s="719"/>
      <c r="E10" s="719"/>
      <c r="F10" s="719"/>
      <c r="G10" s="719"/>
      <c r="H10" s="719"/>
      <c r="I10" s="719"/>
      <c r="J10" s="719"/>
      <c r="K10" s="720"/>
    </row>
    <row r="11" spans="1:11" customFormat="1" ht="19.5" customHeight="1">
      <c r="B11" s="715"/>
      <c r="C11" s="719" t="s">
        <v>307</v>
      </c>
      <c r="D11" s="719"/>
      <c r="E11" s="719"/>
      <c r="F11" s="719"/>
      <c r="G11" s="719"/>
      <c r="H11" s="719"/>
      <c r="I11" s="719"/>
      <c r="J11" s="719"/>
      <c r="K11" s="720"/>
    </row>
    <row r="12" spans="1:11" customFormat="1" ht="69" customHeight="1">
      <c r="B12" s="716"/>
      <c r="C12" s="721" t="s">
        <v>713</v>
      </c>
      <c r="D12" s="721"/>
      <c r="E12" s="721"/>
      <c r="F12" s="721"/>
      <c r="G12" s="721"/>
      <c r="H12" s="721"/>
      <c r="I12" s="721"/>
      <c r="J12" s="721"/>
      <c r="K12" s="722"/>
    </row>
    <row r="13" spans="1:11" customFormat="1" ht="12.75" customHeight="1">
      <c r="B13" s="95"/>
    </row>
    <row r="14" spans="1:11" customFormat="1" ht="12.75" customHeight="1">
      <c r="B14" s="95"/>
    </row>
    <row r="15" spans="1:11" customFormat="1" ht="12.75" customHeight="1">
      <c r="B15" s="95"/>
    </row>
    <row r="16" spans="1:11" customFormat="1" ht="12.75" customHeight="1">
      <c r="B16" s="95"/>
    </row>
    <row r="17" spans="2:17" customFormat="1" ht="18.3">
      <c r="B17" s="96" t="s">
        <v>252</v>
      </c>
    </row>
    <row r="18" spans="2:17" customFormat="1" ht="60.75" customHeight="1">
      <c r="B18" s="711" t="s">
        <v>308</v>
      </c>
      <c r="C18" s="711"/>
      <c r="D18" s="711"/>
      <c r="E18" s="711"/>
      <c r="F18" s="711"/>
      <c r="G18" s="711"/>
      <c r="H18" s="711"/>
      <c r="I18" s="711"/>
      <c r="J18" s="711"/>
      <c r="K18" s="711"/>
    </row>
    <row r="19" spans="2:17" customFormat="1" ht="6" customHeight="1">
      <c r="B19" s="96"/>
    </row>
    <row r="20" spans="2:17" customFormat="1">
      <c r="B20" s="5" t="s">
        <v>253</v>
      </c>
      <c r="C20" s="5" t="s">
        <v>254</v>
      </c>
      <c r="D20" s="5" t="s">
        <v>255</v>
      </c>
      <c r="E20" s="5" t="s">
        <v>256</v>
      </c>
      <c r="F20" s="5" t="s">
        <v>257</v>
      </c>
      <c r="G20" s="5" t="s">
        <v>258</v>
      </c>
      <c r="H20" s="5" t="s">
        <v>259</v>
      </c>
      <c r="I20" s="5" t="s">
        <v>260</v>
      </c>
      <c r="J20" s="5" t="s">
        <v>261</v>
      </c>
      <c r="K20" s="5" t="s">
        <v>262</v>
      </c>
      <c r="L20" s="5" t="s">
        <v>263</v>
      </c>
      <c r="M20" s="5" t="s">
        <v>264</v>
      </c>
      <c r="N20" s="5" t="s">
        <v>265</v>
      </c>
      <c r="O20" s="5" t="s">
        <v>266</v>
      </c>
      <c r="P20" s="5" t="s">
        <v>267</v>
      </c>
      <c r="Q20" s="5" t="s">
        <v>268</v>
      </c>
    </row>
    <row r="21" spans="2:17" ht="57.6">
      <c r="B21" s="97" t="s">
        <v>297</v>
      </c>
      <c r="C21" s="97" t="s">
        <v>298</v>
      </c>
      <c r="D21" s="97" t="s">
        <v>299</v>
      </c>
      <c r="E21" s="97" t="s">
        <v>300</v>
      </c>
      <c r="F21" s="97" t="s">
        <v>269</v>
      </c>
      <c r="G21" s="97" t="s">
        <v>270</v>
      </c>
      <c r="H21" s="97" t="s">
        <v>271</v>
      </c>
      <c r="I21" s="97" t="s">
        <v>272</v>
      </c>
      <c r="J21" s="97" t="s">
        <v>273</v>
      </c>
      <c r="K21" s="97" t="s">
        <v>274</v>
      </c>
      <c r="L21" s="97" t="s">
        <v>275</v>
      </c>
      <c r="M21" s="97" t="s">
        <v>276</v>
      </c>
      <c r="N21" s="97" t="s">
        <v>277</v>
      </c>
      <c r="O21" s="97" t="s">
        <v>278</v>
      </c>
      <c r="P21" s="97" t="s">
        <v>279</v>
      </c>
      <c r="Q21" s="97" t="s">
        <v>280</v>
      </c>
    </row>
    <row r="22" spans="2:17" s="92" customFormat="1" ht="65.25" customHeight="1" thickBot="1">
      <c r="B22" s="99" t="s">
        <v>281</v>
      </c>
      <c r="C22" s="99" t="s">
        <v>282</v>
      </c>
      <c r="D22" s="99" t="s">
        <v>283</v>
      </c>
      <c r="E22" s="99" t="s">
        <v>284</v>
      </c>
      <c r="F22" s="99" t="s">
        <v>285</v>
      </c>
      <c r="G22" s="99" t="s">
        <v>286</v>
      </c>
      <c r="H22" s="99" t="s">
        <v>287</v>
      </c>
      <c r="I22" s="99" t="s">
        <v>288</v>
      </c>
      <c r="J22" s="99" t="s">
        <v>289</v>
      </c>
      <c r="K22" s="99" t="s">
        <v>290</v>
      </c>
      <c r="L22" s="99" t="s">
        <v>291</v>
      </c>
      <c r="M22" s="99" t="s">
        <v>292</v>
      </c>
      <c r="N22" s="99" t="s">
        <v>293</v>
      </c>
      <c r="O22" s="99" t="s">
        <v>294</v>
      </c>
      <c r="P22" s="99" t="s">
        <v>295</v>
      </c>
      <c r="Q22" s="99" t="s">
        <v>296</v>
      </c>
    </row>
    <row r="23" spans="2:17" customFormat="1"/>
    <row r="24" spans="2:17" customFormat="1"/>
    <row r="25" spans="2:17" customFormat="1"/>
    <row r="26" spans="2:17" customFormat="1"/>
    <row r="27" spans="2:17" customFormat="1"/>
    <row r="28" spans="2:17" customFormat="1"/>
    <row r="29" spans="2:17" customFormat="1"/>
    <row r="30" spans="2:17" customFormat="1"/>
    <row r="31" spans="2:17" customFormat="1"/>
    <row r="32" spans="2:17"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sheetData>
  <mergeCells count="8">
    <mergeCell ref="B18:K18"/>
    <mergeCell ref="C5:K5"/>
    <mergeCell ref="C7:K7"/>
    <mergeCell ref="B9:B12"/>
    <mergeCell ref="C9:K9"/>
    <mergeCell ref="C10:K10"/>
    <mergeCell ref="C11:K11"/>
    <mergeCell ref="C12:K12"/>
  </mergeCells>
  <phoneticPr fontId="44"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1_Fiche_Prep.S1_Fiche_Prep">
                <anchor moveWithCells="1" sizeWithCells="1">
                  <from>
                    <xdr:col>1</xdr:col>
                    <xdr:colOff>11430</xdr:colOff>
                    <xdr:row>12</xdr:row>
                    <xdr:rowOff>114300</xdr:rowOff>
                  </from>
                  <to>
                    <xdr:col>2</xdr:col>
                    <xdr:colOff>525780</xdr:colOff>
                    <xdr:row>15</xdr:row>
                    <xdr:rowOff>87630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1D723-0DD9-4760-81CD-ECA58182ECE1}">
  <sheetPr codeName="Sheet6"/>
  <dimension ref="B1:Q40"/>
  <sheetViews>
    <sheetView workbookViewId="0">
      <selection activeCell="B3" sqref="B3"/>
    </sheetView>
  </sheetViews>
  <sheetFormatPr defaultColWidth="9.15625" defaultRowHeight="14.4"/>
  <cols>
    <col min="1" max="6" width="9.15625" style="98"/>
    <col min="7" max="7" width="2.734375" style="98" customWidth="1"/>
    <col min="8" max="8" width="9.15625" style="98"/>
    <col min="9" max="9" width="3.5234375" style="98" customWidth="1"/>
    <col min="10" max="16384" width="9.15625" style="98"/>
  </cols>
  <sheetData>
    <row r="1" spans="2:17" ht="14.7" thickBot="1"/>
    <row r="2" spans="2:17" ht="30.9" thickBot="1">
      <c r="B2" s="723" t="s">
        <v>304</v>
      </c>
      <c r="C2" s="724"/>
      <c r="D2" s="724"/>
      <c r="E2" s="724"/>
      <c r="F2" s="725"/>
      <c r="I2" s="726" t="s">
        <v>302</v>
      </c>
      <c r="J2" s="727"/>
      <c r="K2" s="727"/>
      <c r="L2" s="727"/>
      <c r="M2" s="727"/>
      <c r="N2" s="727"/>
      <c r="O2" s="727"/>
      <c r="P2" s="727"/>
      <c r="Q2" s="728"/>
    </row>
    <row r="3" spans="2:17">
      <c r="B3" s="98">
        <v>105172416</v>
      </c>
      <c r="D3" s="595"/>
      <c r="I3" s="6" t="s">
        <v>45</v>
      </c>
      <c r="J3" s="729" t="s">
        <v>305</v>
      </c>
      <c r="K3" s="729"/>
      <c r="L3" s="729"/>
      <c r="M3" s="729"/>
      <c r="N3" s="729"/>
      <c r="O3" s="729"/>
      <c r="P3" s="729"/>
      <c r="Q3" s="730"/>
    </row>
    <row r="4" spans="2:17" ht="14.7" thickBot="1">
      <c r="B4" s="98">
        <v>105273794</v>
      </c>
      <c r="D4" s="595"/>
      <c r="E4" s="595"/>
      <c r="I4" s="596" t="s">
        <v>45</v>
      </c>
      <c r="J4" s="731" t="s">
        <v>306</v>
      </c>
      <c r="K4" s="731"/>
      <c r="L4" s="731"/>
      <c r="M4" s="731"/>
      <c r="N4" s="731"/>
      <c r="O4" s="731"/>
      <c r="P4" s="731"/>
      <c r="Q4" s="732"/>
    </row>
    <row r="5" spans="2:17">
      <c r="B5" s="98">
        <v>105329673</v>
      </c>
      <c r="D5" s="595"/>
      <c r="E5" s="595"/>
    </row>
    <row r="6" spans="2:17">
      <c r="B6" s="98">
        <v>105478298</v>
      </c>
      <c r="E6" s="595"/>
    </row>
    <row r="7" spans="2:17">
      <c r="B7" s="98">
        <v>105532814</v>
      </c>
      <c r="E7" s="595"/>
    </row>
    <row r="8" spans="2:17">
      <c r="B8" s="98">
        <v>105774815</v>
      </c>
      <c r="E8" s="595"/>
    </row>
    <row r="9" spans="2:17">
      <c r="B9" s="98">
        <v>106097127</v>
      </c>
      <c r="E9" s="595"/>
    </row>
    <row r="10" spans="2:17">
      <c r="B10" s="98">
        <v>106412908</v>
      </c>
      <c r="E10" s="595"/>
    </row>
    <row r="11" spans="2:17">
      <c r="B11" s="98">
        <v>106594525</v>
      </c>
      <c r="E11" s="595"/>
    </row>
    <row r="12" spans="2:17">
      <c r="B12" s="98">
        <v>106899135</v>
      </c>
      <c r="E12" s="595"/>
    </row>
    <row r="13" spans="2:17">
      <c r="B13" s="98">
        <v>107479858</v>
      </c>
      <c r="E13" s="595"/>
    </row>
    <row r="14" spans="2:17">
      <c r="B14" s="98">
        <v>107674222</v>
      </c>
      <c r="E14" s="595"/>
    </row>
    <row r="15" spans="2:17">
      <c r="B15" s="98">
        <v>107817083</v>
      </c>
      <c r="E15" s="595"/>
    </row>
    <row r="16" spans="2:17">
      <c r="B16" s="98">
        <v>107863132</v>
      </c>
      <c r="E16" s="595"/>
    </row>
    <row r="17" spans="2:5">
      <c r="B17" s="98">
        <v>107982237</v>
      </c>
      <c r="E17" s="595"/>
    </row>
    <row r="18" spans="2:5">
      <c r="B18" s="98">
        <v>108004793</v>
      </c>
      <c r="E18" s="595"/>
    </row>
    <row r="19" spans="2:5">
      <c r="B19" s="98">
        <v>108089406</v>
      </c>
      <c r="E19" s="595"/>
    </row>
    <row r="20" spans="2:5">
      <c r="B20" s="98"/>
      <c r="E20" s="595"/>
    </row>
    <row r="21" spans="2:5">
      <c r="E21" s="595"/>
    </row>
    <row r="22" spans="2:5">
      <c r="E22" s="595"/>
    </row>
    <row r="23" spans="2:5">
      <c r="E23" s="595"/>
    </row>
    <row r="24" spans="2:5">
      <c r="E24" s="595"/>
    </row>
    <row r="25" spans="2:5">
      <c r="E25" s="595"/>
    </row>
    <row r="26" spans="2:5">
      <c r="E26" s="595"/>
    </row>
    <row r="27" spans="2:5">
      <c r="E27" s="595"/>
    </row>
    <row r="28" spans="2:5">
      <c r="E28" s="595"/>
    </row>
    <row r="29" spans="2:5">
      <c r="E29" s="595"/>
    </row>
    <row r="30" spans="2:5">
      <c r="E30" s="595"/>
    </row>
    <row r="31" spans="2:5">
      <c r="E31" s="595"/>
    </row>
    <row r="32" spans="2:5">
      <c r="E32" s="595"/>
    </row>
    <row r="33" spans="5:5">
      <c r="E33" s="595"/>
    </row>
    <row r="34" spans="5:5">
      <c r="E34" s="595"/>
    </row>
    <row r="35" spans="5:5">
      <c r="E35" s="595"/>
    </row>
    <row r="36" spans="5:5">
      <c r="E36" s="595"/>
    </row>
    <row r="37" spans="5:5">
      <c r="E37" s="595"/>
    </row>
    <row r="38" spans="5:5">
      <c r="E38" s="595"/>
    </row>
    <row r="39" spans="5:5">
      <c r="E39" s="595"/>
    </row>
    <row r="40" spans="5:5">
      <c r="E40" s="595"/>
    </row>
  </sheetData>
  <sheetProtection formatCells="0" formatColumns="0" formatRows="0"/>
  <mergeCells count="4">
    <mergeCell ref="B2:F2"/>
    <mergeCell ref="I2:Q2"/>
    <mergeCell ref="J3:Q3"/>
    <mergeCell ref="J4:Q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8AF3-05DE-4F83-BFBF-F58C5C46C343}">
  <sheetPr codeName="Sheet7"/>
  <dimension ref="A1"/>
  <sheetViews>
    <sheetView workbookViewId="0"/>
  </sheetViews>
  <sheetFormatPr defaultRowHeight="14.4"/>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6F8E-A9DF-42AF-97FF-CD1E21E3E817}">
  <sheetPr codeName="Sheet8"/>
  <sheetViews>
    <sheetView workbookViewId="0"/>
  </sheetViews>
  <sheetFormatPr defaultRowHeight="14.4"/>
  <sheetData>
    <row r="1" spans="1:19">
      <c r="A1" t="s">
        <v>743</v>
      </c>
      <c r="B1" t="s">
        <v>744</v>
      </c>
      <c r="C1" t="s">
        <v>745</v>
      </c>
      <c r="D1" t="s">
        <v>746</v>
      </c>
      <c r="E1" t="s">
        <v>747</v>
      </c>
      <c r="F1" t="s">
        <v>748</v>
      </c>
      <c r="G1" t="s">
        <v>749</v>
      </c>
      <c r="H1" t="s">
        <v>750</v>
      </c>
      <c r="I1" t="s">
        <v>751</v>
      </c>
      <c r="J1" t="s">
        <v>0</v>
      </c>
      <c r="K1" t="s">
        <v>1</v>
      </c>
      <c r="L1" t="s">
        <v>2</v>
      </c>
      <c r="M1" t="s">
        <v>3</v>
      </c>
      <c r="N1" t="s">
        <v>4</v>
      </c>
      <c r="O1" t="s">
        <v>5</v>
      </c>
      <c r="P1" t="s">
        <v>6</v>
      </c>
      <c r="Q1" t="s">
        <v>752</v>
      </c>
      <c r="R1" t="s">
        <v>753</v>
      </c>
      <c r="S1" t="s">
        <v>754</v>
      </c>
    </row>
    <row r="2">
      <c r="A2" t="inlineStr">
        <is>
          <t>CREEDMOOR</t>
        </is>
      </c>
      <c r="B2" t="inlineStr">
        <is>
          <t>*LCL W WILTON AVE</t>
        </is>
      </c>
      <c r="C2">
        <v>0.0</v>
      </c>
      <c r="E2" t="inlineStr">
        <is>
          <t>MAIN</t>
        </is>
      </c>
      <c r="F2" t="inlineStr">
        <is>
          <t>MAIN</t>
        </is>
      </c>
      <c r="H2">
        <v>999.999</v>
      </c>
      <c r="J2">
        <v>108062655</v>
      </c>
      <c r="K2" s="2">
        <v>45745</v>
      </c>
      <c r="L2">
        <v>28</v>
      </c>
      <c r="M2">
        <v>1</v>
      </c>
      <c r="N2">
        <v>0</v>
      </c>
      <c r="O2">
        <v>1</v>
      </c>
      <c r="P2" t="inlineStr">
        <is>
          <t>O</t>
        </is>
      </c>
    </row>
    <row r="3">
      <c r="A3" t="inlineStr">
        <is>
          <t>CREEDMOOR</t>
        </is>
      </c>
      <c r="B3" t="inlineStr">
        <is>
          <t>MAIN</t>
        </is>
      </c>
      <c r="C3">
        <v>0.0</v>
      </c>
      <c r="E3" t="inlineStr">
        <is>
          <t>*LCL 205 N MAIN ST</t>
        </is>
      </c>
      <c r="F3" t="inlineStr">
        <is>
          <t>SANDERFORD</t>
        </is>
      </c>
      <c r="H3">
        <v>999.999</v>
      </c>
      <c r="J3">
        <v>106415662</v>
      </c>
      <c r="K3" s="2">
        <v>44159</v>
      </c>
      <c r="L3">
        <v>28</v>
      </c>
      <c r="M3">
        <v>1</v>
      </c>
      <c r="N3">
        <v>0</v>
      </c>
      <c r="O3">
        <v>1</v>
      </c>
      <c r="P3" t="inlineStr">
        <is>
          <t>O</t>
        </is>
      </c>
    </row>
    <row r="4">
      <c r="A4" t="inlineStr">
        <is>
          <t>CREEDMOOR</t>
        </is>
      </c>
      <c r="B4" t="inlineStr">
        <is>
          <t>MAIN</t>
        </is>
      </c>
      <c r="C4">
        <v>0.0</v>
      </c>
      <c r="E4" t="inlineStr">
        <is>
          <t>*LCL W SANDERFORD ST</t>
        </is>
      </c>
      <c r="F4" t="inlineStr">
        <is>
          <t>MAIN</t>
        </is>
      </c>
      <c r="H4">
        <v>999.999</v>
      </c>
      <c r="J4">
        <v>108551459</v>
      </c>
      <c r="K4" s="2">
        <v>46148</v>
      </c>
      <c r="L4">
        <v>28</v>
      </c>
      <c r="M4">
        <v>1</v>
      </c>
      <c r="N4">
        <v>0</v>
      </c>
      <c r="O4">
        <v>1</v>
      </c>
      <c r="P4" t="inlineStr">
        <is>
          <t>O</t>
        </is>
      </c>
    </row>
    <row r="5">
      <c r="A5" t="inlineStr">
        <is>
          <t>CREEDMOOR</t>
        </is>
      </c>
      <c r="B5" t="inlineStr">
        <is>
          <t>MAIN</t>
        </is>
      </c>
      <c r="C5">
        <v>0.038</v>
      </c>
      <c r="D5" t="inlineStr">
        <is>
          <t>N</t>
        </is>
      </c>
      <c r="E5" t="inlineStr">
        <is>
          <t>*LCL W SANDERFORD ST</t>
        </is>
      </c>
      <c r="F5" t="inlineStr">
        <is>
          <t>MASONIC</t>
        </is>
      </c>
      <c r="H5">
        <v>999.999</v>
      </c>
      <c r="J5">
        <v>108393847</v>
      </c>
      <c r="K5" s="2">
        <v>46027</v>
      </c>
      <c r="L5">
        <v>13</v>
      </c>
      <c r="M5">
        <v>1</v>
      </c>
      <c r="N5">
        <v>0</v>
      </c>
      <c r="O5">
        <v>4</v>
      </c>
      <c r="P5" t="inlineStr">
        <is>
          <t>O</t>
        </is>
      </c>
    </row>
    <row r="6">
      <c r="A6" t="inlineStr">
        <is>
          <t>CREEDMOOR</t>
        </is>
      </c>
      <c r="B6" t="inlineStr">
        <is>
          <t>MAIN</t>
        </is>
      </c>
      <c r="C6">
        <v>0.0</v>
      </c>
      <c r="E6" t="inlineStr">
        <is>
          <t>*PP 414 S MAIN ST</t>
        </is>
      </c>
      <c r="F6" t="inlineStr">
        <is>
          <t>*LCL PERRY FARM RD</t>
        </is>
      </c>
      <c r="H6">
        <v>999.999</v>
      </c>
      <c r="J6">
        <v>105908438</v>
      </c>
      <c r="K6" s="2">
        <v>43642</v>
      </c>
      <c r="L6">
        <v>22</v>
      </c>
      <c r="M6">
        <v>1</v>
      </c>
      <c r="N6">
        <v>0</v>
      </c>
      <c r="O6">
        <v>1</v>
      </c>
      <c r="P6" t="inlineStr">
        <is>
          <t>C</t>
        </is>
      </c>
      <c r="Q6">
        <v>36.111494</v>
      </c>
      <c r="R6">
        <v>-78.687768</v>
      </c>
      <c r="S6" t="inlineStr">
        <is>
          <t>ITRE_CMV</t>
        </is>
      </c>
    </row>
    <row r="7">
      <c r="A7" t="inlineStr">
        <is>
          <t>CREEDMOOR</t>
        </is>
      </c>
      <c r="B7" t="inlineStr">
        <is>
          <t>MASONIC</t>
        </is>
      </c>
      <c r="C7">
        <v>0.019</v>
      </c>
      <c r="D7" t="inlineStr">
        <is>
          <t>W</t>
        </is>
      </c>
      <c r="E7" t="inlineStr">
        <is>
          <t>MAIN</t>
        </is>
      </c>
      <c r="F7" t="inlineStr">
        <is>
          <t>ELM</t>
        </is>
      </c>
      <c r="H7">
        <v>999.999</v>
      </c>
      <c r="J7">
        <v>105601553</v>
      </c>
      <c r="K7" s="2">
        <v>43353</v>
      </c>
      <c r="L7">
        <v>31</v>
      </c>
      <c r="M7">
        <v>1</v>
      </c>
      <c r="N7">
        <v>0</v>
      </c>
      <c r="O7">
        <v>1</v>
      </c>
      <c r="P7" t="inlineStr">
        <is>
          <t>O</t>
        </is>
      </c>
    </row>
    <row r="8">
      <c r="A8" t="inlineStr">
        <is>
          <t>CREEDMOOR</t>
        </is>
      </c>
      <c r="B8" t="inlineStr">
        <is>
          <t>PVA CITY TAVERN PVA</t>
        </is>
      </c>
      <c r="C8">
        <v>0.028</v>
      </c>
      <c r="D8" t="inlineStr">
        <is>
          <t>E</t>
        </is>
      </c>
      <c r="E8" t="inlineStr">
        <is>
          <t>MAIN</t>
        </is>
      </c>
      <c r="F8" t="inlineStr">
        <is>
          <t>MILL</t>
        </is>
      </c>
      <c r="H8">
        <v>999.999</v>
      </c>
      <c r="J8">
        <v>106415098</v>
      </c>
      <c r="K8" s="2">
        <v>44158</v>
      </c>
      <c r="L8">
        <v>21</v>
      </c>
      <c r="M8">
        <v>1</v>
      </c>
      <c r="N8">
        <v>0</v>
      </c>
      <c r="O8">
        <v>1</v>
      </c>
      <c r="P8" t="inlineStr">
        <is>
          <t>O</t>
        </is>
      </c>
    </row>
    <row r="9">
      <c r="A9" t="inlineStr">
        <is>
          <t>CREEDMOOR</t>
        </is>
      </c>
      <c r="B9" t="inlineStr">
        <is>
          <t>PVA DOLLAR GENERAL PVA</t>
        </is>
      </c>
      <c r="C9">
        <v>0.006</v>
      </c>
      <c r="D9" t="inlineStr">
        <is>
          <t>W</t>
        </is>
      </c>
      <c r="E9" t="inlineStr">
        <is>
          <t>MAIN</t>
        </is>
      </c>
      <c r="F9" t="inlineStr">
        <is>
          <t>CHURCH</t>
        </is>
      </c>
      <c r="H9">
        <v>999.999</v>
      </c>
      <c r="J9">
        <v>105984303</v>
      </c>
      <c r="K9" s="2">
        <v>43018</v>
      </c>
      <c r="L9">
        <v>31</v>
      </c>
      <c r="M9">
        <v>1</v>
      </c>
      <c r="N9">
        <v>0</v>
      </c>
      <c r="O9">
        <v>1</v>
      </c>
      <c r="P9" t="inlineStr">
        <is>
          <t>O</t>
        </is>
      </c>
    </row>
    <row r="10">
      <c r="A10" t="inlineStr">
        <is>
          <t>CREEDMOOR</t>
        </is>
      </c>
      <c r="B10" t="inlineStr">
        <is>
          <t>PVA DOLLAR TREE</t>
        </is>
      </c>
      <c r="C10">
        <v>0.019</v>
      </c>
      <c r="D10" t="inlineStr">
        <is>
          <t>W</t>
        </is>
      </c>
      <c r="E10" t="inlineStr">
        <is>
          <t>MAIN</t>
        </is>
      </c>
      <c r="H10">
        <v>999.999</v>
      </c>
      <c r="J10">
        <v>106802910</v>
      </c>
      <c r="K10" s="2">
        <v>44523</v>
      </c>
      <c r="L10">
        <v>31</v>
      </c>
      <c r="M10">
        <v>1</v>
      </c>
      <c r="N10">
        <v>4</v>
      </c>
      <c r="O10">
        <v>1</v>
      </c>
      <c r="P10" t="inlineStr">
        <is>
          <t>O</t>
        </is>
      </c>
    </row>
    <row r="11">
      <c r="A11" t="inlineStr">
        <is>
          <t>CREEDMOOR</t>
        </is>
      </c>
      <c r="B11" t="inlineStr">
        <is>
          <t>PVA FAMILY FARE</t>
        </is>
      </c>
      <c r="C11">
        <v>0.0</v>
      </c>
      <c r="E11" t="inlineStr">
        <is>
          <t>MAIN</t>
        </is>
      </c>
      <c r="F11" t="inlineStr">
        <is>
          <t>LION</t>
        </is>
      </c>
      <c r="H11">
        <v>999.999</v>
      </c>
      <c r="J11">
        <v>105053293</v>
      </c>
      <c r="K11" s="2">
        <v>42812</v>
      </c>
      <c r="L11">
        <v>30</v>
      </c>
      <c r="M11">
        <v>1</v>
      </c>
      <c r="N11">
        <v>0</v>
      </c>
      <c r="O11">
        <v>4</v>
      </c>
      <c r="P11" t="inlineStr">
        <is>
          <t>O</t>
        </is>
      </c>
    </row>
    <row r="12">
      <c r="A12" t="inlineStr">
        <is>
          <t>CREEDMOOR</t>
        </is>
      </c>
      <c r="B12" t="inlineStr">
        <is>
          <t>PVA FAMILY FARE</t>
        </is>
      </c>
      <c r="C12">
        <v>0.0</v>
      </c>
      <c r="E12" t="inlineStr">
        <is>
          <t>MAIN</t>
        </is>
      </c>
      <c r="F12" t="inlineStr">
        <is>
          <t>LION</t>
        </is>
      </c>
      <c r="H12">
        <v>999.999</v>
      </c>
      <c r="J12">
        <v>105250200</v>
      </c>
      <c r="K12" s="2">
        <v>43014</v>
      </c>
      <c r="L12">
        <v>31</v>
      </c>
      <c r="M12">
        <v>1</v>
      </c>
      <c r="N12">
        <v>0</v>
      </c>
      <c r="O12">
        <v>1</v>
      </c>
      <c r="P12" t="inlineStr">
        <is>
          <t>O</t>
        </is>
      </c>
    </row>
    <row r="13">
      <c r="A13" t="inlineStr">
        <is>
          <t>CREEDMOOR</t>
        </is>
      </c>
      <c r="B13" t="inlineStr">
        <is>
          <t>PVA FAMILY FARE STORE</t>
        </is>
      </c>
      <c r="C13">
        <v>0.0</v>
      </c>
      <c r="E13" t="inlineStr">
        <is>
          <t>MAIN</t>
        </is>
      </c>
      <c r="F13" t="inlineStr">
        <is>
          <t>MAIN</t>
        </is>
      </c>
      <c r="H13">
        <v>999.999</v>
      </c>
      <c r="J13">
        <v>108457950</v>
      </c>
      <c r="K13" s="2">
        <v>46087</v>
      </c>
      <c r="L13">
        <v>31</v>
      </c>
      <c r="M13">
        <v>1</v>
      </c>
      <c r="N13">
        <v>0</v>
      </c>
      <c r="O13">
        <v>1</v>
      </c>
      <c r="P13" t="inlineStr">
        <is>
          <t>O</t>
        </is>
      </c>
    </row>
    <row r="14">
      <c r="A14" t="inlineStr">
        <is>
          <t>OXFORD</t>
        </is>
      </c>
      <c r="B14" t="inlineStr">
        <is>
          <t>PVA HICKS GYM</t>
        </is>
      </c>
      <c r="C14">
        <v>0.0</v>
      </c>
      <c r="E14" t="inlineStr">
        <is>
          <t>SPRING</t>
        </is>
      </c>
      <c r="F14" t="inlineStr">
        <is>
          <t>COOPER</t>
        </is>
      </c>
      <c r="H14">
        <v>999.999</v>
      </c>
      <c r="J14">
        <v>107268202</v>
      </c>
      <c r="K14" s="2">
        <v>44997</v>
      </c>
      <c r="L14">
        <v>32</v>
      </c>
      <c r="M14">
        <v>1</v>
      </c>
      <c r="N14">
        <v>0</v>
      </c>
      <c r="O14">
        <v>1</v>
      </c>
      <c r="P14" t="inlineStr">
        <is>
          <t>O</t>
        </is>
      </c>
    </row>
    <row r="15">
      <c r="A15" t="inlineStr">
        <is>
          <t>OXFORD</t>
        </is>
      </c>
      <c r="B15" t="inlineStr">
        <is>
          <t>PVA LIBRARY PVA</t>
        </is>
      </c>
      <c r="C15">
        <v>0.0</v>
      </c>
      <c r="E15" t="inlineStr">
        <is>
          <t>SPRING</t>
        </is>
      </c>
      <c r="F15" t="inlineStr">
        <is>
          <t>SPRING</t>
        </is>
      </c>
      <c r="H15">
        <v>999.999</v>
      </c>
      <c r="J15">
        <v>105310344</v>
      </c>
      <c r="K15" s="2">
        <v>43068</v>
      </c>
      <c r="L15">
        <v>18</v>
      </c>
      <c r="M15">
        <v>1</v>
      </c>
      <c r="N15">
        <v>0</v>
      </c>
      <c r="O15">
        <v>1</v>
      </c>
      <c r="P15" t="inlineStr">
        <is>
          <t>O</t>
        </is>
      </c>
    </row>
    <row r="16">
      <c r="A16" t="inlineStr">
        <is>
          <t>CREEDMOOR</t>
        </is>
      </c>
      <c r="B16" t="inlineStr">
        <is>
          <t>PVA MAIN ST</t>
        </is>
      </c>
      <c r="C16">
        <v>0.0</v>
      </c>
      <c r="E16" t="inlineStr">
        <is>
          <t>PVA 404 N MAIN ST</t>
        </is>
      </c>
      <c r="F16" t="inlineStr">
        <is>
          <t>MILL</t>
        </is>
      </c>
      <c r="H16">
        <v>999.999</v>
      </c>
      <c r="J16">
        <v>107090844</v>
      </c>
      <c r="K16" s="2">
        <v>44820</v>
      </c>
      <c r="L16">
        <v>31</v>
      </c>
      <c r="M16">
        <v>1</v>
      </c>
      <c r="N16">
        <v>0</v>
      </c>
      <c r="O16">
        <v>4</v>
      </c>
      <c r="P16" t="inlineStr">
        <is>
          <t>O</t>
        </is>
      </c>
    </row>
    <row r="17">
      <c r="A17" t="inlineStr">
        <is>
          <t>CREEDMOOR</t>
        </is>
      </c>
      <c r="B17" t="inlineStr">
        <is>
          <t>PVA MAIN ST</t>
        </is>
      </c>
      <c r="C17">
        <v>0.0</v>
      </c>
      <c r="E17" t="inlineStr">
        <is>
          <t>PVA FBC ACADEMY</t>
        </is>
      </c>
      <c r="H17">
        <v>999.999</v>
      </c>
      <c r="J17">
        <v>105230066</v>
      </c>
      <c r="K17" s="2">
        <v>42998</v>
      </c>
      <c r="L17">
        <v>20</v>
      </c>
      <c r="M17">
        <v>1</v>
      </c>
      <c r="N17">
        <v>0</v>
      </c>
      <c r="O17">
        <v>1</v>
      </c>
      <c r="P17" t="inlineStr">
        <is>
          <t>O</t>
        </is>
      </c>
    </row>
    <row r="18">
      <c r="A18" t="inlineStr">
        <is>
          <t>OXFORD</t>
        </is>
      </c>
      <c r="B18" t="inlineStr">
        <is>
          <t>PVA POST OFFICE PVA</t>
        </is>
      </c>
      <c r="C18">
        <v>0.0</v>
      </c>
      <c r="E18" t="inlineStr">
        <is>
          <t>SPRING</t>
        </is>
      </c>
      <c r="F18" t="inlineStr">
        <is>
          <t>SPRING</t>
        </is>
      </c>
      <c r="H18">
        <v>999.999</v>
      </c>
      <c r="J18">
        <v>105402812</v>
      </c>
      <c r="K18" s="2">
        <v>43166</v>
      </c>
      <c r="L18">
        <v>21</v>
      </c>
      <c r="M18">
        <v>1</v>
      </c>
      <c r="N18">
        <v>0</v>
      </c>
      <c r="O18">
        <v>1</v>
      </c>
      <c r="P18" t="inlineStr">
        <is>
          <t>O</t>
        </is>
      </c>
    </row>
    <row r="19">
      <c r="A19" t="inlineStr">
        <is>
          <t>CREEDMOOR</t>
        </is>
      </c>
      <c r="B19" t="inlineStr">
        <is>
          <t>PVA PVA CITY TAVERN</t>
        </is>
      </c>
      <c r="C19">
        <v>0.009</v>
      </c>
      <c r="D19" t="inlineStr">
        <is>
          <t>E</t>
        </is>
      </c>
      <c r="E19" t="inlineStr">
        <is>
          <t>MAIN</t>
        </is>
      </c>
      <c r="F19" t="inlineStr">
        <is>
          <t>GRAY</t>
        </is>
      </c>
      <c r="H19">
        <v>999.999</v>
      </c>
      <c r="J19">
        <v>105984302</v>
      </c>
      <c r="K19" s="2">
        <v>43175</v>
      </c>
      <c r="L19">
        <v>31</v>
      </c>
      <c r="M19">
        <v>1</v>
      </c>
      <c r="N19">
        <v>0</v>
      </c>
      <c r="O19">
        <v>4</v>
      </c>
      <c r="P19" t="inlineStr">
        <is>
          <t>O</t>
        </is>
      </c>
    </row>
    <row r="20">
      <c r="A20" t="inlineStr">
        <is>
          <t>OXFORD</t>
        </is>
      </c>
      <c r="B20" t="inlineStr">
        <is>
          <t>PVA PVA OF HIX GYM</t>
        </is>
      </c>
      <c r="C20">
        <v>0.0</v>
      </c>
      <c r="E20" t="inlineStr">
        <is>
          <t>SPRING</t>
        </is>
      </c>
      <c r="F20" t="inlineStr">
        <is>
          <t>PVA COOPER ST</t>
        </is>
      </c>
      <c r="H20">
        <v>999.999</v>
      </c>
      <c r="J20">
        <v>105808057</v>
      </c>
      <c r="K20" s="2">
        <v>43526</v>
      </c>
      <c r="L20">
        <v>5</v>
      </c>
      <c r="M20">
        <v>1</v>
      </c>
      <c r="N20">
        <v>0</v>
      </c>
      <c r="O20">
        <v>1</v>
      </c>
    </row>
    <row r="21">
      <c r="A21" t="inlineStr">
        <is>
          <t>OXFORD</t>
        </is>
      </c>
      <c r="B21" t="inlineStr">
        <is>
          <t>PVA SOCIAL SERVICES LOT</t>
        </is>
      </c>
      <c r="C21">
        <v>0.0</v>
      </c>
      <c r="E21" t="inlineStr">
        <is>
          <t>SPRING</t>
        </is>
      </c>
      <c r="F21" t="inlineStr">
        <is>
          <t>HILLSBORO</t>
        </is>
      </c>
      <c r="H21">
        <v>999.999</v>
      </c>
      <c r="J21">
        <v>105465888</v>
      </c>
      <c r="K21" s="2">
        <v>43222</v>
      </c>
      <c r="L21">
        <v>20</v>
      </c>
      <c r="M21">
        <v>1</v>
      </c>
      <c r="N21">
        <v>0</v>
      </c>
      <c r="O21">
        <v>1</v>
      </c>
      <c r="P21" t="inlineStr">
        <is>
          <t>O</t>
        </is>
      </c>
    </row>
    <row r="22">
      <c r="A22" t="inlineStr">
        <is>
          <t>CREEDMOOR</t>
        </is>
      </c>
      <c r="B22" t="inlineStr">
        <is>
          <t>PVA SOSSOMANS PVA</t>
        </is>
      </c>
      <c r="C22">
        <v>0.0</v>
      </c>
      <c r="E22" t="inlineStr">
        <is>
          <t>MAIN</t>
        </is>
      </c>
      <c r="F22" t="inlineStr">
        <is>
          <t>US 15</t>
        </is>
      </c>
      <c r="H22">
        <v>999.999</v>
      </c>
      <c r="J22">
        <v>107993196</v>
      </c>
      <c r="K22" s="2">
        <v>45661</v>
      </c>
      <c r="L22">
        <v>20</v>
      </c>
      <c r="M22">
        <v>1</v>
      </c>
      <c r="N22">
        <v>0</v>
      </c>
      <c r="O22">
        <v>1</v>
      </c>
      <c r="P22" t="inlineStr">
        <is>
          <t>O</t>
        </is>
      </c>
    </row>
    <row r="23">
      <c r="A23" t="inlineStr">
        <is>
          <t>OXFORD</t>
        </is>
      </c>
      <c r="B23" t="inlineStr">
        <is>
          <t>PVA SUNTRUST BANK PVA</t>
        </is>
      </c>
      <c r="C23">
        <v>0.0</v>
      </c>
      <c r="E23" t="inlineStr">
        <is>
          <t>MAIN</t>
        </is>
      </c>
      <c r="F23" t="inlineStr">
        <is>
          <t>SPRING</t>
        </is>
      </c>
      <c r="H23">
        <v>999.999</v>
      </c>
      <c r="J23">
        <v>106017912</v>
      </c>
      <c r="K23" s="2">
        <v>43739</v>
      </c>
      <c r="L23">
        <v>31</v>
      </c>
      <c r="M23">
        <v>1</v>
      </c>
      <c r="N23">
        <v>0</v>
      </c>
      <c r="O23">
        <v>1</v>
      </c>
      <c r="P23" t="inlineStr">
        <is>
          <t>O</t>
        </is>
      </c>
    </row>
    <row r="24">
      <c r="A24" t="inlineStr">
        <is>
          <t>OXFORD</t>
        </is>
      </c>
      <c r="B24" t="inlineStr">
        <is>
          <t>PVA SUNTRUST PVA</t>
        </is>
      </c>
      <c r="C24">
        <v>0.004</v>
      </c>
      <c r="D24" t="inlineStr">
        <is>
          <t>E</t>
        </is>
      </c>
      <c r="E24" t="inlineStr">
        <is>
          <t>MAIN</t>
        </is>
      </c>
      <c r="F24" t="inlineStr">
        <is>
          <t>MAIN</t>
        </is>
      </c>
      <c r="H24">
        <v>999.999</v>
      </c>
      <c r="J24">
        <v>106711659</v>
      </c>
      <c r="K24" s="2">
        <v>44450</v>
      </c>
      <c r="L24">
        <v>31</v>
      </c>
      <c r="M24">
        <v>1</v>
      </c>
      <c r="N24">
        <v>0</v>
      </c>
      <c r="O24">
        <v>1</v>
      </c>
      <c r="P24" t="inlineStr">
        <is>
          <t>O</t>
        </is>
      </c>
    </row>
    <row r="25">
      <c r="A25" t="inlineStr">
        <is>
          <t>OXFORD</t>
        </is>
      </c>
      <c r="B25" t="inlineStr">
        <is>
          <t>PVA USPS PVA</t>
        </is>
      </c>
      <c r="C25">
        <v>0.0</v>
      </c>
      <c r="E25" t="inlineStr">
        <is>
          <t>SPRING</t>
        </is>
      </c>
      <c r="F25" t="inlineStr">
        <is>
          <t>SPRING</t>
        </is>
      </c>
      <c r="H25">
        <v>999.999</v>
      </c>
      <c r="J25">
        <v>108090408</v>
      </c>
      <c r="K25" s="2">
        <v>45772</v>
      </c>
      <c r="L25">
        <v>31</v>
      </c>
      <c r="M25">
        <v>1</v>
      </c>
      <c r="N25">
        <v>0</v>
      </c>
      <c r="O25">
        <v>2</v>
      </c>
      <c r="P25" t="inlineStr">
        <is>
          <t>O</t>
        </is>
      </c>
    </row>
    <row r="26">
      <c r="A26" t="inlineStr">
        <is>
          <t>OXFORD</t>
        </is>
      </c>
      <c r="B26" t="inlineStr">
        <is>
          <t>PVA USPS PVA</t>
        </is>
      </c>
      <c r="C26">
        <v>0.006</v>
      </c>
      <c r="D26" t="inlineStr">
        <is>
          <t>N</t>
        </is>
      </c>
      <c r="E26" t="inlineStr">
        <is>
          <t>SPRING</t>
        </is>
      </c>
      <c r="F26" t="inlineStr">
        <is>
          <t>WALL</t>
        </is>
      </c>
      <c r="H26">
        <v>999.999</v>
      </c>
      <c r="J26">
        <v>105975736</v>
      </c>
      <c r="K26" s="2">
        <v>43701</v>
      </c>
      <c r="L26">
        <v>31</v>
      </c>
      <c r="M26">
        <v>1</v>
      </c>
      <c r="N26">
        <v>0</v>
      </c>
      <c r="O26">
        <v>1</v>
      </c>
      <c r="P26" t="inlineStr">
        <is>
          <t>O</t>
        </is>
      </c>
    </row>
    <row r="27">
      <c r="A27" t="inlineStr">
        <is>
          <t>OXFORD</t>
        </is>
      </c>
      <c r="B27" t="inlineStr">
        <is>
          <t>SALEM</t>
        </is>
      </c>
      <c r="C27">
        <v>0.0</v>
      </c>
      <c r="E27" t="inlineStr">
        <is>
          <t>*PP 112 SALEM RD</t>
        </is>
      </c>
      <c r="F27" t="inlineStr">
        <is>
          <t>SALEM</t>
        </is>
      </c>
      <c r="H27">
        <v>999.999</v>
      </c>
      <c r="J27">
        <v>108246336</v>
      </c>
      <c r="K27" s="2">
        <v>45929</v>
      </c>
      <c r="L27">
        <v>31</v>
      </c>
      <c r="M27">
        <v>2</v>
      </c>
      <c r="N27">
        <v>0</v>
      </c>
      <c r="O27">
        <v>1</v>
      </c>
    </row>
    <row r="28">
      <c r="A28" t="inlineStr">
        <is>
          <t>OXFORD</t>
        </is>
      </c>
      <c r="B28" t="inlineStr">
        <is>
          <t>SALEM</t>
        </is>
      </c>
      <c r="C28">
        <v>0.25</v>
      </c>
      <c r="D28" t="inlineStr">
        <is>
          <t>S</t>
        </is>
      </c>
      <c r="E28" t="inlineStr">
        <is>
          <t>EDGEWOOD</t>
        </is>
      </c>
      <c r="F28" t="inlineStr">
        <is>
          <t>WILLIAMSBORO</t>
        </is>
      </c>
      <c r="H28">
        <v>999.999</v>
      </c>
      <c r="J28">
        <v>106802901</v>
      </c>
      <c r="K28" s="2">
        <v>44525</v>
      </c>
      <c r="L28">
        <v>17</v>
      </c>
      <c r="M28">
        <v>1</v>
      </c>
      <c r="N28">
        <v>0</v>
      </c>
      <c r="O28">
        <v>5</v>
      </c>
      <c r="P28" t="inlineStr">
        <is>
          <t>O</t>
        </is>
      </c>
    </row>
    <row r="29">
      <c r="A29" t="inlineStr">
        <is>
          <t>RURAL</t>
        </is>
      </c>
      <c r="B29" t="inlineStr">
        <is>
          <t>SALEM</t>
        </is>
      </c>
      <c r="C29">
        <v>0.0</v>
      </c>
      <c r="D29" t="inlineStr">
        <is>
          <t>S</t>
        </is>
      </c>
      <c r="E29" t="inlineStr">
        <is>
          <t>LANDIS</t>
        </is>
      </c>
      <c r="F29" t="inlineStr">
        <is>
          <t>*LCL HORNER SIDING RD</t>
        </is>
      </c>
      <c r="H29">
        <v>999.999</v>
      </c>
      <c r="J29">
        <v>107818720</v>
      </c>
      <c r="K29" s="2">
        <v>45511</v>
      </c>
      <c r="L29">
        <v>24</v>
      </c>
      <c r="M29">
        <v>1</v>
      </c>
      <c r="N29">
        <v>0</v>
      </c>
      <c r="O29">
        <v>1</v>
      </c>
      <c r="P29" t="inlineStr">
        <is>
          <t>O</t>
        </is>
      </c>
    </row>
    <row r="30">
      <c r="A30" t="inlineStr">
        <is>
          <t>OXFORD</t>
        </is>
      </c>
      <c r="B30" t="inlineStr">
        <is>
          <t>SALEM</t>
        </is>
      </c>
      <c r="C30">
        <v>0.2</v>
      </c>
      <c r="D30" t="inlineStr">
        <is>
          <t>NE</t>
        </is>
      </c>
      <c r="E30" t="inlineStr">
        <is>
          <t>WILLIAMSBORO</t>
        </is>
      </c>
      <c r="F30" t="inlineStr">
        <is>
          <t>OXFORD</t>
        </is>
      </c>
      <c r="H30">
        <v>999.999</v>
      </c>
      <c r="J30">
        <v>107762881</v>
      </c>
      <c r="K30" s="2">
        <v>45459</v>
      </c>
      <c r="L30">
        <v>1</v>
      </c>
      <c r="M30">
        <v>1</v>
      </c>
      <c r="N30">
        <v>0</v>
      </c>
      <c r="O30">
        <v>1</v>
      </c>
      <c r="P30" t="inlineStr">
        <is>
          <t>O</t>
        </is>
      </c>
    </row>
    <row r="31">
      <c r="A31" t="inlineStr">
        <is>
          <t>CREEDMOOR</t>
        </is>
      </c>
      <c r="B31" t="inlineStr">
        <is>
          <t>SANDERFORD</t>
        </is>
      </c>
      <c r="C31">
        <v>0.005</v>
      </c>
      <c r="D31" t="inlineStr">
        <is>
          <t>E</t>
        </is>
      </c>
      <c r="E31" t="inlineStr">
        <is>
          <t>MAIN</t>
        </is>
      </c>
      <c r="F31" t="inlineStr">
        <is>
          <t>MAIN</t>
        </is>
      </c>
      <c r="H31">
        <v>999.999</v>
      </c>
      <c r="J31">
        <v>106206844</v>
      </c>
      <c r="K31" s="2">
        <v>43937</v>
      </c>
      <c r="L31">
        <v>21</v>
      </c>
      <c r="M31">
        <v>1</v>
      </c>
      <c r="N31">
        <v>0</v>
      </c>
      <c r="O31">
        <v>1</v>
      </c>
      <c r="P31" t="inlineStr">
        <is>
          <t>O</t>
        </is>
      </c>
    </row>
    <row r="32">
      <c r="A32" t="inlineStr">
        <is>
          <t>OXFORD</t>
        </is>
      </c>
      <c r="B32" t="inlineStr">
        <is>
          <t>SPRING</t>
        </is>
      </c>
      <c r="C32">
        <v>0.0</v>
      </c>
      <c r="E32" t="inlineStr">
        <is>
          <t>*LCL SPING ST</t>
        </is>
      </c>
      <c r="F32" t="inlineStr">
        <is>
          <t>WALL</t>
        </is>
      </c>
      <c r="H32">
        <v>999.999</v>
      </c>
      <c r="J32">
        <v>108167054</v>
      </c>
      <c r="K32" s="2">
        <v>45848</v>
      </c>
      <c r="L32">
        <v>14</v>
      </c>
      <c r="M32">
        <v>1</v>
      </c>
      <c r="N32">
        <v>0</v>
      </c>
      <c r="O32">
        <v>1</v>
      </c>
      <c r="P32" t="inlineStr">
        <is>
          <t>C</t>
        </is>
      </c>
      <c r="Q32">
        <v>36.309283</v>
      </c>
      <c r="R32">
        <v>-78.589852</v>
      </c>
      <c r="S32" t="inlineStr">
        <is>
          <t>VHB_PEDBIKE</t>
        </is>
      </c>
    </row>
    <row r="33">
      <c r="A33" t="inlineStr">
        <is>
          <t>OXFORD</t>
        </is>
      </c>
      <c r="B33" t="inlineStr">
        <is>
          <t>SPRING</t>
        </is>
      </c>
      <c r="C33">
        <v>0.0</v>
      </c>
      <c r="E33" t="inlineStr">
        <is>
          <t>*LCL T&amp;M PVA</t>
        </is>
      </c>
      <c r="F33" t="inlineStr">
        <is>
          <t>SPRING</t>
        </is>
      </c>
      <c r="H33">
        <v>999.999</v>
      </c>
      <c r="J33">
        <v>108256216</v>
      </c>
      <c r="K33" s="2">
        <v>45929</v>
      </c>
      <c r="L33">
        <v>32</v>
      </c>
      <c r="M33">
        <v>2</v>
      </c>
      <c r="N33">
        <v>0</v>
      </c>
      <c r="O33">
        <v>1</v>
      </c>
      <c r="P33" t="inlineStr">
        <is>
          <t>O</t>
        </is>
      </c>
    </row>
    <row r="34">
      <c r="A34" t="inlineStr">
        <is>
          <t>RURAL</t>
        </is>
      </c>
      <c r="B34" t="inlineStr">
        <is>
          <t>SR 1522</t>
        </is>
      </c>
      <c r="C34">
        <v>0.0</v>
      </c>
      <c r="E34" t="inlineStr">
        <is>
          <t>PVA OXFORD PREP SCHOOL</t>
        </is>
      </c>
      <c r="F34" t="inlineStr">
        <is>
          <t>SR 1523</t>
        </is>
      </c>
      <c r="H34">
        <v>999.999</v>
      </c>
      <c r="J34">
        <v>106696985</v>
      </c>
      <c r="K34" s="2">
        <v>44454</v>
      </c>
      <c r="L34">
        <v>24</v>
      </c>
      <c r="M34">
        <v>1</v>
      </c>
      <c r="N34">
        <v>4</v>
      </c>
      <c r="O34">
        <v>1</v>
      </c>
      <c r="P34" t="inlineStr">
        <is>
          <t>O</t>
        </is>
      </c>
    </row>
    <row r="35">
      <c r="A35" t="inlineStr">
        <is>
          <t>RURAL</t>
        </is>
      </c>
      <c r="B35" t="inlineStr">
        <is>
          <t>SR 1522</t>
        </is>
      </c>
      <c r="C35">
        <v>0.0</v>
      </c>
      <c r="E35" t="inlineStr">
        <is>
          <t>PVA WRIGHT FUNERAL HOME</t>
        </is>
      </c>
      <c r="F35" t="inlineStr">
        <is>
          <t>SR 1515</t>
        </is>
      </c>
      <c r="H35">
        <v>999.999</v>
      </c>
      <c r="J35">
        <v>108556564</v>
      </c>
      <c r="K35" s="2">
        <v>46210</v>
      </c>
      <c r="L35">
        <v>19</v>
      </c>
      <c r="M35">
        <v>2</v>
      </c>
      <c r="N35">
        <v>4</v>
      </c>
      <c r="O35">
        <v>5</v>
      </c>
      <c r="P35" t="inlineStr">
        <is>
          <t>C</t>
        </is>
      </c>
    </row>
    <row r="36">
      <c r="A36" t="inlineStr">
        <is>
          <t>OXFORD</t>
        </is>
      </c>
      <c r="B36" t="inlineStr">
        <is>
          <t>GILLIAM</t>
        </is>
      </c>
      <c r="C36">
        <v>0.0</v>
      </c>
      <c r="E36" t="inlineStr">
        <is>
          <t>SPRING</t>
        </is>
      </c>
      <c r="F36" t="inlineStr">
        <is>
          <t>WILLIAMSBORO</t>
        </is>
      </c>
      <c r="G36" t="inlineStr">
        <is>
          <t>GILLIAM</t>
        </is>
      </c>
      <c r="H36">
        <v>0.21</v>
      </c>
      <c r="J36">
        <v>108202264</v>
      </c>
      <c r="K36" s="2">
        <v>45884</v>
      </c>
      <c r="L36">
        <v>30</v>
      </c>
      <c r="M36">
        <v>1</v>
      </c>
      <c r="N36">
        <v>7</v>
      </c>
      <c r="O36">
        <v>1</v>
      </c>
      <c r="P36" t="inlineStr">
        <is>
          <t>O</t>
        </is>
      </c>
    </row>
    <row r="37">
      <c r="A37" t="inlineStr">
        <is>
          <t>OXFORD</t>
        </is>
      </c>
      <c r="B37" t="inlineStr">
        <is>
          <t>MAIN</t>
        </is>
      </c>
      <c r="C37">
        <v>0.0</v>
      </c>
      <c r="E37" t="inlineStr">
        <is>
          <t>HILLSBORO</t>
        </is>
      </c>
      <c r="F37" t="inlineStr">
        <is>
          <t>SPRING</t>
        </is>
      </c>
      <c r="G37" t="inlineStr">
        <is>
          <t>MAIN</t>
        </is>
      </c>
      <c r="H37">
        <v>999.999</v>
      </c>
      <c r="J37">
        <v>108099425</v>
      </c>
      <c r="K37" s="2">
        <v>45782</v>
      </c>
      <c r="L37">
        <v>31</v>
      </c>
      <c r="M37">
        <v>1</v>
      </c>
      <c r="N37">
        <v>0</v>
      </c>
      <c r="O37">
        <v>1</v>
      </c>
      <c r="P37" t="inlineStr">
        <is>
          <t>O</t>
        </is>
      </c>
    </row>
    <row r="38">
      <c r="A38" t="inlineStr">
        <is>
          <t>OXFORD</t>
        </is>
      </c>
      <c r="B38" t="inlineStr">
        <is>
          <t>MAIN</t>
        </is>
      </c>
      <c r="C38">
        <v>0.0</v>
      </c>
      <c r="D38" t="inlineStr">
        <is>
          <t>S</t>
        </is>
      </c>
      <c r="E38" t="inlineStr">
        <is>
          <t>HILLSBORO</t>
        </is>
      </c>
      <c r="F38" t="inlineStr">
        <is>
          <t>FRONT</t>
        </is>
      </c>
      <c r="G38" t="inlineStr">
        <is>
          <t>MAIN</t>
        </is>
      </c>
      <c r="H38">
        <v>999.999</v>
      </c>
      <c r="J38">
        <v>106558296</v>
      </c>
      <c r="K38" s="2">
        <v>44309</v>
      </c>
      <c r="L38">
        <v>30</v>
      </c>
      <c r="M38">
        <v>1</v>
      </c>
      <c r="N38">
        <v>0</v>
      </c>
      <c r="O38">
        <v>1</v>
      </c>
      <c r="P38" t="inlineStr">
        <is>
          <t>O</t>
        </is>
      </c>
    </row>
    <row r="39">
      <c r="A39" t="inlineStr">
        <is>
          <t>OXFORD</t>
        </is>
      </c>
      <c r="B39" t="inlineStr">
        <is>
          <t>MAIN</t>
        </is>
      </c>
      <c r="C39">
        <v>0.011</v>
      </c>
      <c r="D39" t="inlineStr">
        <is>
          <t>N</t>
        </is>
      </c>
      <c r="E39" t="inlineStr">
        <is>
          <t>MCCLANAHAN</t>
        </is>
      </c>
      <c r="F39" t="inlineStr">
        <is>
          <t>HILLSBORO</t>
        </is>
      </c>
      <c r="G39" t="inlineStr">
        <is>
          <t>MAIN</t>
        </is>
      </c>
      <c r="H39">
        <v>999.999</v>
      </c>
      <c r="J39">
        <v>105928354</v>
      </c>
      <c r="K39" s="2">
        <v>43663</v>
      </c>
      <c r="L39">
        <v>20</v>
      </c>
      <c r="M39">
        <v>1</v>
      </c>
      <c r="N39">
        <v>0</v>
      </c>
      <c r="O39">
        <v>1</v>
      </c>
      <c r="P39" t="inlineStr">
        <is>
          <t>O</t>
        </is>
      </c>
    </row>
    <row r="40">
      <c r="A40" t="inlineStr">
        <is>
          <t>OXFORD</t>
        </is>
      </c>
      <c r="B40" t="inlineStr">
        <is>
          <t>PVA BANK ST</t>
        </is>
      </c>
      <c r="C40">
        <v>0.0</v>
      </c>
      <c r="E40" t="inlineStr">
        <is>
          <t>PVA MAIN ST</t>
        </is>
      </c>
      <c r="F40" t="inlineStr">
        <is>
          <t>PVA WALL ST</t>
        </is>
      </c>
      <c r="G40" t="inlineStr">
        <is>
          <t>MAIN</t>
        </is>
      </c>
      <c r="H40">
        <v>999.999</v>
      </c>
      <c r="J40">
        <v>106818280</v>
      </c>
      <c r="K40" s="2">
        <v>44456</v>
      </c>
      <c r="L40">
        <v>30</v>
      </c>
      <c r="M40">
        <v>1</v>
      </c>
      <c r="N40">
        <v>0</v>
      </c>
      <c r="O40">
        <v>1</v>
      </c>
    </row>
    <row r="41">
      <c r="A41" t="inlineStr">
        <is>
          <t>CREEDMOOR</t>
        </is>
      </c>
      <c r="B41" t="inlineStr">
        <is>
          <t>MAIN</t>
        </is>
      </c>
      <c r="C41">
        <v>0.0</v>
      </c>
      <c r="D41" t="inlineStr">
        <is>
          <t>W</t>
        </is>
      </c>
      <c r="E41" t="inlineStr">
        <is>
          <t>DOGWOOD</t>
        </is>
      </c>
      <c r="F41" t="inlineStr">
        <is>
          <t>*LCL E LYON STREET</t>
        </is>
      </c>
      <c r="G41" t="inlineStr">
        <is>
          <t>NC 50</t>
        </is>
      </c>
      <c r="H41">
        <v>2.6</v>
      </c>
      <c r="J41">
        <v>105251331</v>
      </c>
      <c r="K41" s="2">
        <v>43020</v>
      </c>
      <c r="L41">
        <v>21</v>
      </c>
      <c r="M41">
        <v>1</v>
      </c>
      <c r="N41">
        <v>0</v>
      </c>
      <c r="O41">
        <v>4</v>
      </c>
      <c r="P41" t="inlineStr">
        <is>
          <t>O</t>
        </is>
      </c>
    </row>
    <row r="42">
      <c r="A42" t="inlineStr">
        <is>
          <t>CREEDMOOR</t>
        </is>
      </c>
      <c r="B42" t="inlineStr">
        <is>
          <t>PVA MAIN ST</t>
        </is>
      </c>
      <c r="C42">
        <v>0.25</v>
      </c>
      <c r="D42" t="inlineStr">
        <is>
          <t>S</t>
        </is>
      </c>
      <c r="E42" t="inlineStr">
        <is>
          <t>CHURCH</t>
        </is>
      </c>
      <c r="F42" t="inlineStr">
        <is>
          <t>*LCL NC-50</t>
        </is>
      </c>
      <c r="G42" t="inlineStr">
        <is>
          <t>NC 50</t>
        </is>
      </c>
      <c r="H42">
        <v>2.618</v>
      </c>
      <c r="J42">
        <v>107769572</v>
      </c>
      <c r="K42" s="2">
        <v>45444</v>
      </c>
      <c r="L42">
        <v>21</v>
      </c>
      <c r="M42">
        <v>1</v>
      </c>
      <c r="N42">
        <v>25</v>
      </c>
      <c r="O42">
        <v>1</v>
      </c>
      <c r="P42" t="inlineStr">
        <is>
          <t>O</t>
        </is>
      </c>
    </row>
    <row r="43">
      <c r="A43" t="inlineStr">
        <is>
          <t>CREEDMOOR</t>
        </is>
      </c>
      <c r="B43" t="inlineStr">
        <is>
          <t>MAIN</t>
        </is>
      </c>
      <c r="C43">
        <v>0.038</v>
      </c>
      <c r="D43" t="inlineStr">
        <is>
          <t>S</t>
        </is>
      </c>
      <c r="E43" t="inlineStr">
        <is>
          <t>ROGER</t>
        </is>
      </c>
      <c r="F43" t="inlineStr">
        <is>
          <t>DOGWOOD</t>
        </is>
      </c>
      <c r="G43" t="inlineStr">
        <is>
          <t>NC 50</t>
        </is>
      </c>
      <c r="H43">
        <v>2.701</v>
      </c>
      <c r="J43">
        <v>105898070</v>
      </c>
      <c r="K43" s="2">
        <v>43633</v>
      </c>
      <c r="L43">
        <v>29</v>
      </c>
      <c r="M43">
        <v>1</v>
      </c>
      <c r="N43">
        <v>0</v>
      </c>
      <c r="O43">
        <v>1</v>
      </c>
      <c r="P43" t="inlineStr">
        <is>
          <t>O</t>
        </is>
      </c>
    </row>
    <row r="44">
      <c r="A44" t="inlineStr">
        <is>
          <t>CREEDMOOR</t>
        </is>
      </c>
      <c r="B44" t="inlineStr">
        <is>
          <t>MAIN</t>
        </is>
      </c>
      <c r="C44">
        <v>0.0</v>
      </c>
      <c r="E44" t="inlineStr">
        <is>
          <t>ROGER</t>
        </is>
      </c>
      <c r="F44" t="inlineStr">
        <is>
          <t>CHURCH</t>
        </is>
      </c>
      <c r="G44" t="inlineStr">
        <is>
          <t>NC 50</t>
        </is>
      </c>
      <c r="H44">
        <v>2.739</v>
      </c>
      <c r="J44">
        <v>106312212</v>
      </c>
      <c r="K44" s="2">
        <v>44056</v>
      </c>
      <c r="L44">
        <v>25</v>
      </c>
      <c r="M44">
        <v>1</v>
      </c>
      <c r="N44">
        <v>0</v>
      </c>
      <c r="O44">
        <v>1</v>
      </c>
      <c r="P44" t="inlineStr">
        <is>
          <t>O</t>
        </is>
      </c>
    </row>
    <row r="45">
      <c r="A45" t="inlineStr">
        <is>
          <t>CREEDMOOR</t>
        </is>
      </c>
      <c r="B45" t="inlineStr">
        <is>
          <t>MAIN</t>
        </is>
      </c>
      <c r="C45">
        <v>0.025</v>
      </c>
      <c r="D45" t="inlineStr">
        <is>
          <t>S</t>
        </is>
      </c>
      <c r="E45" t="inlineStr">
        <is>
          <t>CHURCH</t>
        </is>
      </c>
      <c r="F45" t="inlineStr">
        <is>
          <t>ROGER</t>
        </is>
      </c>
      <c r="G45" t="inlineStr">
        <is>
          <t>NC 50</t>
        </is>
      </c>
      <c r="H45">
        <v>2.843</v>
      </c>
      <c r="J45">
        <v>108143298</v>
      </c>
      <c r="K45" s="2">
        <v>45799</v>
      </c>
      <c r="L45">
        <v>14</v>
      </c>
      <c r="M45">
        <v>1</v>
      </c>
      <c r="N45">
        <v>0</v>
      </c>
      <c r="O45">
        <v>1</v>
      </c>
      <c r="P45" t="inlineStr">
        <is>
          <t>C</t>
        </is>
      </c>
      <c r="Q45">
        <v>36.116217</v>
      </c>
      <c r="R45">
        <v>-78.687032</v>
      </c>
      <c r="S45" t="inlineStr">
        <is>
          <t>VHB_PEDBIKE</t>
        </is>
      </c>
    </row>
    <row r="46">
      <c r="A46" t="inlineStr">
        <is>
          <t>CREEDMOOR</t>
        </is>
      </c>
      <c r="B46" t="inlineStr">
        <is>
          <t>PVA MAIN ST</t>
        </is>
      </c>
      <c r="C46">
        <v>0.009</v>
      </c>
      <c r="D46" t="inlineStr">
        <is>
          <t>S</t>
        </is>
      </c>
      <c r="E46" t="inlineStr">
        <is>
          <t>CHURCH</t>
        </is>
      </c>
      <c r="F46" t="inlineStr">
        <is>
          <t>ROGER</t>
        </is>
      </c>
      <c r="G46" t="inlineStr">
        <is>
          <t>NC 50</t>
        </is>
      </c>
      <c r="H46">
        <v>2.859</v>
      </c>
      <c r="J46">
        <v>105433975</v>
      </c>
      <c r="K46" s="2">
        <v>43192</v>
      </c>
      <c r="L46">
        <v>20</v>
      </c>
      <c r="M46">
        <v>1</v>
      </c>
      <c r="O46">
        <v>1</v>
      </c>
      <c r="P46" t="inlineStr">
        <is>
          <t>O</t>
        </is>
      </c>
    </row>
    <row r="47">
      <c r="A47" t="inlineStr">
        <is>
          <t>CREEDMOOR</t>
        </is>
      </c>
      <c r="B47" t="inlineStr">
        <is>
          <t>MAIN</t>
        </is>
      </c>
      <c r="C47">
        <v>0.004</v>
      </c>
      <c r="D47" t="inlineStr">
        <is>
          <t>S</t>
        </is>
      </c>
      <c r="E47" t="inlineStr">
        <is>
          <t>CHURCH</t>
        </is>
      </c>
      <c r="F47" t="inlineStr">
        <is>
          <t>DOGWOOD</t>
        </is>
      </c>
      <c r="G47" t="inlineStr">
        <is>
          <t>NC 50</t>
        </is>
      </c>
      <c r="H47">
        <v>2.864</v>
      </c>
      <c r="J47">
        <v>105943302</v>
      </c>
      <c r="K47" s="2">
        <v>43676</v>
      </c>
      <c r="L47">
        <v>30</v>
      </c>
      <c r="M47">
        <v>1</v>
      </c>
      <c r="N47">
        <v>4</v>
      </c>
      <c r="O47">
        <v>1</v>
      </c>
      <c r="P47" t="inlineStr">
        <is>
          <t>C</t>
        </is>
      </c>
    </row>
    <row r="48">
      <c r="A48" t="inlineStr">
        <is>
          <t>CREEDMOOR</t>
        </is>
      </c>
      <c r="B48" t="inlineStr">
        <is>
          <t>MAIN</t>
        </is>
      </c>
      <c r="C48">
        <v>0.0</v>
      </c>
      <c r="E48" t="inlineStr">
        <is>
          <t>CHURCH</t>
        </is>
      </c>
      <c r="F48" t="inlineStr">
        <is>
          <t>ROGER</t>
        </is>
      </c>
      <c r="G48" t="inlineStr">
        <is>
          <t>NC 50</t>
        </is>
      </c>
      <c r="H48">
        <v>2.868</v>
      </c>
      <c r="J48">
        <v>108458258</v>
      </c>
      <c r="K48" s="2">
        <v>46113</v>
      </c>
      <c r="L48">
        <v>30</v>
      </c>
      <c r="M48">
        <v>1</v>
      </c>
      <c r="N48">
        <v>7</v>
      </c>
      <c r="O48">
        <v>1</v>
      </c>
      <c r="P48" t="inlineStr">
        <is>
          <t>O</t>
        </is>
      </c>
    </row>
    <row r="49">
      <c r="A49" t="inlineStr">
        <is>
          <t>CREEDMOOR</t>
        </is>
      </c>
      <c r="B49" t="inlineStr">
        <is>
          <t>MAIN</t>
        </is>
      </c>
      <c r="C49">
        <v>0.0</v>
      </c>
      <c r="E49" t="inlineStr">
        <is>
          <t>CHURCH</t>
        </is>
      </c>
      <c r="G49" t="inlineStr">
        <is>
          <t>NC 50</t>
        </is>
      </c>
      <c r="H49">
        <v>2.868</v>
      </c>
      <c r="J49">
        <v>108048415</v>
      </c>
      <c r="K49" s="2">
        <v>45727</v>
      </c>
      <c r="L49">
        <v>30</v>
      </c>
      <c r="M49">
        <v>1</v>
      </c>
      <c r="N49">
        <v>0</v>
      </c>
      <c r="O49">
        <v>1</v>
      </c>
      <c r="P49" t="inlineStr">
        <is>
          <t>O</t>
        </is>
      </c>
    </row>
    <row r="50">
      <c r="A50" t="inlineStr">
        <is>
          <t>CREEDMOOR</t>
        </is>
      </c>
      <c r="B50" t="inlineStr">
        <is>
          <t>MAIN</t>
        </is>
      </c>
      <c r="C50">
        <v>0.0</v>
      </c>
      <c r="E50" t="inlineStr">
        <is>
          <t>CHURCH</t>
        </is>
      </c>
      <c r="F50" t="inlineStr">
        <is>
          <t>ROGER</t>
        </is>
      </c>
      <c r="G50" t="inlineStr">
        <is>
          <t>NC 50</t>
        </is>
      </c>
      <c r="H50">
        <v>2.868</v>
      </c>
      <c r="J50">
        <v>106125842</v>
      </c>
      <c r="K50" s="2">
        <v>43845</v>
      </c>
      <c r="L50">
        <v>30</v>
      </c>
      <c r="M50">
        <v>1</v>
      </c>
      <c r="N50">
        <v>7</v>
      </c>
      <c r="O50">
        <v>1</v>
      </c>
      <c r="P50" t="inlineStr">
        <is>
          <t>C</t>
        </is>
      </c>
    </row>
    <row r="51">
      <c r="A51" t="inlineStr">
        <is>
          <t>CREEDMOOR</t>
        </is>
      </c>
      <c r="B51" t="inlineStr">
        <is>
          <t>MAIN</t>
        </is>
      </c>
      <c r="C51">
        <v>0.0</v>
      </c>
      <c r="E51" t="inlineStr">
        <is>
          <t>CHURCH</t>
        </is>
      </c>
      <c r="F51" t="inlineStr">
        <is>
          <t>ROGER</t>
        </is>
      </c>
      <c r="G51" t="inlineStr">
        <is>
          <t>NC 50</t>
        </is>
      </c>
      <c r="H51">
        <v>2.868</v>
      </c>
      <c r="J51">
        <v>105801665</v>
      </c>
      <c r="K51" s="2">
        <v>43536</v>
      </c>
      <c r="L51">
        <v>21</v>
      </c>
      <c r="M51">
        <v>1</v>
      </c>
      <c r="N51">
        <v>7</v>
      </c>
      <c r="O51">
        <v>1</v>
      </c>
      <c r="P51" t="inlineStr">
        <is>
          <t>O</t>
        </is>
      </c>
    </row>
    <row r="52">
      <c r="A52" t="inlineStr">
        <is>
          <t>CREEDMOOR</t>
        </is>
      </c>
      <c r="B52" t="inlineStr">
        <is>
          <t>MAIN</t>
        </is>
      </c>
      <c r="C52">
        <v>0.0</v>
      </c>
      <c r="E52" t="inlineStr">
        <is>
          <t>CHURCH</t>
        </is>
      </c>
      <c r="G52" t="inlineStr">
        <is>
          <t>NC 50</t>
        </is>
      </c>
      <c r="H52">
        <v>2.868</v>
      </c>
      <c r="J52">
        <v>105449819</v>
      </c>
      <c r="K52" s="2">
        <v>43203</v>
      </c>
      <c r="L52">
        <v>30</v>
      </c>
      <c r="M52">
        <v>1</v>
      </c>
      <c r="N52">
        <v>7</v>
      </c>
      <c r="O52">
        <v>1</v>
      </c>
      <c r="P52" t="inlineStr">
        <is>
          <t>C</t>
        </is>
      </c>
    </row>
    <row r="53">
      <c r="A53" t="inlineStr">
        <is>
          <t>CREEDMOOR</t>
        </is>
      </c>
      <c r="B53" t="inlineStr">
        <is>
          <t>MAIN</t>
        </is>
      </c>
      <c r="C53">
        <v>0.0</v>
      </c>
      <c r="E53" t="inlineStr">
        <is>
          <t>CHURCH</t>
        </is>
      </c>
      <c r="F53" t="inlineStr">
        <is>
          <t>ROGER</t>
        </is>
      </c>
      <c r="G53" t="inlineStr">
        <is>
          <t>NC 50</t>
        </is>
      </c>
      <c r="H53">
        <v>2.868</v>
      </c>
      <c r="J53">
        <v>105507729</v>
      </c>
      <c r="K53" s="2">
        <v>42965</v>
      </c>
      <c r="L53">
        <v>30</v>
      </c>
      <c r="M53">
        <v>1</v>
      </c>
      <c r="N53">
        <v>7</v>
      </c>
      <c r="O53">
        <v>1</v>
      </c>
      <c r="P53" t="inlineStr">
        <is>
          <t>O</t>
        </is>
      </c>
    </row>
    <row r="54">
      <c r="A54" t="inlineStr">
        <is>
          <t>CREEDMOOR</t>
        </is>
      </c>
      <c r="B54" t="inlineStr">
        <is>
          <t>PVA MAIN ST</t>
        </is>
      </c>
      <c r="C54">
        <v>0.0</v>
      </c>
      <c r="D54" t="inlineStr">
        <is>
          <t>S</t>
        </is>
      </c>
      <c r="E54" t="inlineStr">
        <is>
          <t>CHURCH</t>
        </is>
      </c>
      <c r="F54" t="inlineStr">
        <is>
          <t>LION</t>
        </is>
      </c>
      <c r="G54" t="inlineStr">
        <is>
          <t>NC 50</t>
        </is>
      </c>
      <c r="H54">
        <v>2.868</v>
      </c>
      <c r="J54">
        <v>105071495</v>
      </c>
      <c r="K54" s="2">
        <v>42843</v>
      </c>
      <c r="L54">
        <v>31</v>
      </c>
      <c r="M54">
        <v>1</v>
      </c>
      <c r="N54">
        <v>4</v>
      </c>
      <c r="O54">
        <v>1</v>
      </c>
      <c r="P54" t="inlineStr">
        <is>
          <t>O</t>
        </is>
      </c>
    </row>
    <row r="55">
      <c r="A55" t="inlineStr">
        <is>
          <t>CREEDMOOR</t>
        </is>
      </c>
      <c r="B55" t="inlineStr">
        <is>
          <t>MAIN</t>
        </is>
      </c>
      <c r="C55">
        <v>0.021</v>
      </c>
      <c r="D55" t="inlineStr">
        <is>
          <t>N</t>
        </is>
      </c>
      <c r="E55" t="inlineStr">
        <is>
          <t>CHURCH</t>
        </is>
      </c>
      <c r="F55" t="inlineStr">
        <is>
          <t>ROGER</t>
        </is>
      </c>
      <c r="G55" t="inlineStr">
        <is>
          <t>NC 50</t>
        </is>
      </c>
      <c r="H55">
        <v>2.889</v>
      </c>
      <c r="J55">
        <v>106205408</v>
      </c>
      <c r="K55" s="2">
        <v>43930</v>
      </c>
      <c r="L55">
        <v>21</v>
      </c>
      <c r="M55">
        <v>2</v>
      </c>
      <c r="N55">
        <v>0</v>
      </c>
      <c r="O55">
        <v>1</v>
      </c>
      <c r="P55" t="inlineStr">
        <is>
          <t>O</t>
        </is>
      </c>
    </row>
    <row r="56">
      <c r="A56" t="inlineStr">
        <is>
          <t>CREEDMOOR</t>
        </is>
      </c>
      <c r="B56" t="inlineStr">
        <is>
          <t>MAIN</t>
        </is>
      </c>
      <c r="C56">
        <v>0.031</v>
      </c>
      <c r="D56" t="inlineStr">
        <is>
          <t>S</t>
        </is>
      </c>
      <c r="E56" t="inlineStr">
        <is>
          <t>LION</t>
        </is>
      </c>
      <c r="F56" t="inlineStr">
        <is>
          <t>CHURCH</t>
        </is>
      </c>
      <c r="G56" t="inlineStr">
        <is>
          <t>NC 50</t>
        </is>
      </c>
      <c r="H56">
        <v>2.906</v>
      </c>
      <c r="J56">
        <v>105551538</v>
      </c>
      <c r="K56" s="2">
        <v>43307</v>
      </c>
      <c r="L56">
        <v>30</v>
      </c>
      <c r="M56">
        <v>1</v>
      </c>
      <c r="N56">
        <v>4</v>
      </c>
      <c r="O56">
        <v>1</v>
      </c>
      <c r="P56" t="inlineStr">
        <is>
          <t>O</t>
        </is>
      </c>
    </row>
    <row r="57">
      <c r="A57" t="inlineStr">
        <is>
          <t>CREEDMOOR</t>
        </is>
      </c>
      <c r="B57" t="inlineStr">
        <is>
          <t>MAIN</t>
        </is>
      </c>
      <c r="C57">
        <v>0.032</v>
      </c>
      <c r="D57" t="inlineStr">
        <is>
          <t>W</t>
        </is>
      </c>
      <c r="E57" t="inlineStr">
        <is>
          <t>SANDERFORD</t>
        </is>
      </c>
      <c r="F57" t="inlineStr">
        <is>
          <t>*LCL W LYON STREET</t>
        </is>
      </c>
      <c r="G57" t="inlineStr">
        <is>
          <t>NC 50</t>
        </is>
      </c>
      <c r="H57">
        <v>2.934</v>
      </c>
      <c r="J57">
        <v>106032449</v>
      </c>
      <c r="K57" s="2">
        <v>43635</v>
      </c>
      <c r="L57">
        <v>30</v>
      </c>
      <c r="M57">
        <v>1</v>
      </c>
      <c r="N57">
        <v>0</v>
      </c>
      <c r="O57">
        <v>1</v>
      </c>
      <c r="P57" t="inlineStr">
        <is>
          <t>O</t>
        </is>
      </c>
    </row>
    <row r="58">
      <c r="A58" t="inlineStr">
        <is>
          <t>CREEDMOOR</t>
        </is>
      </c>
      <c r="B58" t="inlineStr">
        <is>
          <t>MAIN</t>
        </is>
      </c>
      <c r="C58">
        <v>0.0</v>
      </c>
      <c r="E58" t="inlineStr">
        <is>
          <t>LION</t>
        </is>
      </c>
      <c r="F58" t="inlineStr">
        <is>
          <t>LION</t>
        </is>
      </c>
      <c r="G58" t="inlineStr">
        <is>
          <t>NC 50</t>
        </is>
      </c>
      <c r="H58">
        <v>2.937</v>
      </c>
      <c r="J58">
        <v>108506608</v>
      </c>
      <c r="K58" s="2">
        <v>46164</v>
      </c>
      <c r="L58">
        <v>24</v>
      </c>
      <c r="M58">
        <v>2</v>
      </c>
      <c r="N58">
        <v>7</v>
      </c>
      <c r="O58">
        <v>1</v>
      </c>
      <c r="P58" t="inlineStr">
        <is>
          <t>O</t>
        </is>
      </c>
    </row>
    <row r="59">
      <c r="A59" t="inlineStr">
        <is>
          <t>CREEDMOOR</t>
        </is>
      </c>
      <c r="B59" t="inlineStr">
        <is>
          <t>MAIN</t>
        </is>
      </c>
      <c r="C59">
        <v>0.0</v>
      </c>
      <c r="E59" t="inlineStr">
        <is>
          <t>LION</t>
        </is>
      </c>
      <c r="F59" t="inlineStr">
        <is>
          <t>NC 56</t>
        </is>
      </c>
      <c r="G59" t="inlineStr">
        <is>
          <t>NC 50</t>
        </is>
      </c>
      <c r="H59">
        <v>2.937</v>
      </c>
      <c r="J59">
        <v>108402133</v>
      </c>
      <c r="K59" s="2">
        <v>46063</v>
      </c>
      <c r="L59">
        <v>28</v>
      </c>
      <c r="M59">
        <v>1</v>
      </c>
      <c r="N59">
        <v>0</v>
      </c>
      <c r="O59">
        <v>1</v>
      </c>
      <c r="P59" t="inlineStr">
        <is>
          <t>O</t>
        </is>
      </c>
    </row>
    <row r="60">
      <c r="A60" t="inlineStr">
        <is>
          <t>CREEDMOOR</t>
        </is>
      </c>
      <c r="B60" t="inlineStr">
        <is>
          <t>MAIN</t>
        </is>
      </c>
      <c r="C60">
        <v>0.0</v>
      </c>
      <c r="E60" t="inlineStr">
        <is>
          <t>LION</t>
        </is>
      </c>
      <c r="F60" t="inlineStr">
        <is>
          <t>MAIN</t>
        </is>
      </c>
      <c r="G60" t="inlineStr">
        <is>
          <t>NC 50</t>
        </is>
      </c>
      <c r="H60">
        <v>2.937</v>
      </c>
      <c r="J60">
        <v>107170707</v>
      </c>
      <c r="K60" s="2">
        <v>44876</v>
      </c>
      <c r="L60">
        <v>30</v>
      </c>
      <c r="M60">
        <v>1</v>
      </c>
      <c r="N60">
        <v>0</v>
      </c>
      <c r="O60">
        <v>1</v>
      </c>
      <c r="P60" t="inlineStr">
        <is>
          <t>C</t>
        </is>
      </c>
    </row>
    <row r="61">
      <c r="A61" t="inlineStr">
        <is>
          <t>CREEDMOOR</t>
        </is>
      </c>
      <c r="B61" t="inlineStr">
        <is>
          <t>MAIN</t>
        </is>
      </c>
      <c r="C61">
        <v>0.0</v>
      </c>
      <c r="E61" t="inlineStr">
        <is>
          <t>LION</t>
        </is>
      </c>
      <c r="F61" t="inlineStr">
        <is>
          <t>CHURCH</t>
        </is>
      </c>
      <c r="G61" t="inlineStr">
        <is>
          <t>NC 50</t>
        </is>
      </c>
      <c r="H61">
        <v>2.937</v>
      </c>
      <c r="J61">
        <v>105449820</v>
      </c>
      <c r="K61" s="2">
        <v>43206</v>
      </c>
      <c r="L61">
        <v>24</v>
      </c>
      <c r="M61">
        <v>1</v>
      </c>
      <c r="N61">
        <v>12</v>
      </c>
      <c r="O61">
        <v>1</v>
      </c>
      <c r="P61" t="inlineStr">
        <is>
          <t>O</t>
        </is>
      </c>
    </row>
    <row r="62">
      <c r="A62" t="inlineStr">
        <is>
          <t>CREEDMOOR</t>
        </is>
      </c>
      <c r="B62" t="inlineStr">
        <is>
          <t>MAIN</t>
        </is>
      </c>
      <c r="C62">
        <v>0.009</v>
      </c>
      <c r="D62" t="inlineStr">
        <is>
          <t>N</t>
        </is>
      </c>
      <c r="E62" t="inlineStr">
        <is>
          <t>LION</t>
        </is>
      </c>
      <c r="F62" t="inlineStr">
        <is>
          <t>SANDERFORD</t>
        </is>
      </c>
      <c r="G62" t="inlineStr">
        <is>
          <t>NC 50</t>
        </is>
      </c>
      <c r="H62">
        <v>2.946</v>
      </c>
      <c r="J62">
        <v>105860727</v>
      </c>
      <c r="K62" s="2">
        <v>43595</v>
      </c>
      <c r="L62">
        <v>28</v>
      </c>
      <c r="M62">
        <v>1</v>
      </c>
      <c r="O62">
        <v>1</v>
      </c>
      <c r="P62" t="inlineStr">
        <is>
          <t>O</t>
        </is>
      </c>
    </row>
    <row r="63">
      <c r="A63" t="inlineStr">
        <is>
          <t>CREEDMOOR</t>
        </is>
      </c>
      <c r="B63" t="inlineStr">
        <is>
          <t>MAIN</t>
        </is>
      </c>
      <c r="C63">
        <v>0.014</v>
      </c>
      <c r="D63" t="inlineStr">
        <is>
          <t>N</t>
        </is>
      </c>
      <c r="E63" t="inlineStr">
        <is>
          <t>LION</t>
        </is>
      </c>
      <c r="F63" t="inlineStr">
        <is>
          <t>MASONIC</t>
        </is>
      </c>
      <c r="G63" t="inlineStr">
        <is>
          <t>NC 50</t>
        </is>
      </c>
      <c r="H63">
        <v>2.951</v>
      </c>
      <c r="J63">
        <v>105822297</v>
      </c>
      <c r="K63" s="2">
        <v>43551</v>
      </c>
      <c r="L63">
        <v>28</v>
      </c>
      <c r="M63">
        <v>1</v>
      </c>
      <c r="N63">
        <v>0</v>
      </c>
      <c r="O63">
        <v>1</v>
      </c>
    </row>
    <row r="64">
      <c r="A64" t="inlineStr">
        <is>
          <t>CREEDMOOR</t>
        </is>
      </c>
      <c r="B64" t="inlineStr">
        <is>
          <t>MAIN</t>
        </is>
      </c>
      <c r="C64">
        <v>0.023</v>
      </c>
      <c r="D64" t="inlineStr">
        <is>
          <t>N</t>
        </is>
      </c>
      <c r="E64" t="inlineStr">
        <is>
          <t>LION</t>
        </is>
      </c>
      <c r="F64" t="inlineStr">
        <is>
          <t>*LCL W SANDERFORD ST</t>
        </is>
      </c>
      <c r="G64" t="inlineStr">
        <is>
          <t>NC 50</t>
        </is>
      </c>
      <c r="H64">
        <v>2.96</v>
      </c>
      <c r="J64">
        <v>105317302</v>
      </c>
      <c r="K64" s="2">
        <v>43074</v>
      </c>
      <c r="L64">
        <v>28</v>
      </c>
      <c r="M64">
        <v>1</v>
      </c>
      <c r="N64">
        <v>0</v>
      </c>
      <c r="O64">
        <v>1</v>
      </c>
    </row>
    <row r="65">
      <c r="A65" t="inlineStr">
        <is>
          <t>CREEDMOOR</t>
        </is>
      </c>
      <c r="B65" t="inlineStr">
        <is>
          <t>MAIN</t>
        </is>
      </c>
      <c r="C65">
        <v>0.009</v>
      </c>
      <c r="D65" t="inlineStr">
        <is>
          <t>N</t>
        </is>
      </c>
      <c r="E65" t="inlineStr">
        <is>
          <t>SANDERFORD</t>
        </is>
      </c>
      <c r="F65" t="inlineStr">
        <is>
          <t>LION</t>
        </is>
      </c>
      <c r="G65" t="inlineStr">
        <is>
          <t>NC 50</t>
        </is>
      </c>
      <c r="H65">
        <v>2.975</v>
      </c>
      <c r="J65">
        <v>106258584</v>
      </c>
      <c r="K65" s="2">
        <v>44004</v>
      </c>
      <c r="L65">
        <v>28</v>
      </c>
      <c r="M65">
        <v>1</v>
      </c>
      <c r="N65">
        <v>0</v>
      </c>
      <c r="O65">
        <v>1</v>
      </c>
      <c r="P65" t="inlineStr">
        <is>
          <t>O</t>
        </is>
      </c>
    </row>
    <row r="66">
      <c r="A66" t="inlineStr">
        <is>
          <t>CREEDMOOR</t>
        </is>
      </c>
      <c r="B66" t="inlineStr">
        <is>
          <t>MAIN</t>
        </is>
      </c>
      <c r="C66">
        <v>0.01</v>
      </c>
      <c r="D66" t="inlineStr">
        <is>
          <t>S</t>
        </is>
      </c>
      <c r="E66" t="inlineStr">
        <is>
          <t>MASONIC</t>
        </is>
      </c>
      <c r="F66" t="inlineStr">
        <is>
          <t>SANDERFORD</t>
        </is>
      </c>
      <c r="G66" t="inlineStr">
        <is>
          <t>NC 50</t>
        </is>
      </c>
      <c r="H66">
        <v>2.986</v>
      </c>
      <c r="J66">
        <v>105601554</v>
      </c>
      <c r="K66" s="2">
        <v>43350</v>
      </c>
      <c r="L66">
        <v>28</v>
      </c>
      <c r="M66">
        <v>1</v>
      </c>
      <c r="N66">
        <v>0</v>
      </c>
      <c r="O66">
        <v>1</v>
      </c>
      <c r="P66" t="inlineStr">
        <is>
          <t>O</t>
        </is>
      </c>
    </row>
    <row r="67">
      <c r="A67" t="inlineStr">
        <is>
          <t>CREEDMOOR</t>
        </is>
      </c>
      <c r="B67" t="inlineStr">
        <is>
          <t>MAIN</t>
        </is>
      </c>
      <c r="C67">
        <v>0.009</v>
      </c>
      <c r="D67" t="inlineStr">
        <is>
          <t>S</t>
        </is>
      </c>
      <c r="E67" t="inlineStr">
        <is>
          <t>MASONIC</t>
        </is>
      </c>
      <c r="F67" t="inlineStr">
        <is>
          <t>SANDERFORD</t>
        </is>
      </c>
      <c r="G67" t="inlineStr">
        <is>
          <t>NC 50</t>
        </is>
      </c>
      <c r="H67">
        <v>2.987</v>
      </c>
      <c r="J67">
        <v>108398245</v>
      </c>
      <c r="K67" s="2">
        <v>46064</v>
      </c>
      <c r="L67">
        <v>29</v>
      </c>
      <c r="M67">
        <v>1</v>
      </c>
      <c r="N67">
        <v>0</v>
      </c>
      <c r="O67">
        <v>1</v>
      </c>
      <c r="P67" t="inlineStr">
        <is>
          <t>O</t>
        </is>
      </c>
    </row>
    <row r="68">
      <c r="A68" t="inlineStr">
        <is>
          <t>CREEDMOOR</t>
        </is>
      </c>
      <c r="B68" t="inlineStr">
        <is>
          <t>MAIN</t>
        </is>
      </c>
      <c r="C68">
        <v>0.009</v>
      </c>
      <c r="D68" t="inlineStr">
        <is>
          <t>S</t>
        </is>
      </c>
      <c r="E68" t="inlineStr">
        <is>
          <t>MASONIC</t>
        </is>
      </c>
      <c r="F68" t="inlineStr">
        <is>
          <t>*LCL W SANDERFORD ST</t>
        </is>
      </c>
      <c r="G68" t="inlineStr">
        <is>
          <t>NC 50</t>
        </is>
      </c>
      <c r="H68">
        <v>2.987</v>
      </c>
      <c r="J68">
        <v>108192337</v>
      </c>
      <c r="K68" s="2">
        <v>45874</v>
      </c>
      <c r="L68">
        <v>1</v>
      </c>
      <c r="M68">
        <v>1</v>
      </c>
      <c r="N68">
        <v>0</v>
      </c>
      <c r="O68">
        <v>4</v>
      </c>
      <c r="P68" t="inlineStr">
        <is>
          <t>O</t>
        </is>
      </c>
    </row>
    <row r="69">
      <c r="A69" t="inlineStr">
        <is>
          <t>CREEDMOOR</t>
        </is>
      </c>
      <c r="B69" t="inlineStr">
        <is>
          <t>MAIN</t>
        </is>
      </c>
      <c r="C69">
        <v>0.021</v>
      </c>
      <c r="D69" t="inlineStr">
        <is>
          <t>N</t>
        </is>
      </c>
      <c r="E69" t="inlineStr">
        <is>
          <t>SANDERFORD</t>
        </is>
      </c>
      <c r="F69" t="inlineStr">
        <is>
          <t>MASONIC</t>
        </is>
      </c>
      <c r="G69" t="inlineStr">
        <is>
          <t>NC 50</t>
        </is>
      </c>
      <c r="H69">
        <v>2.987</v>
      </c>
      <c r="J69">
        <v>108516973</v>
      </c>
      <c r="K69" s="2">
        <v>46168</v>
      </c>
      <c r="L69">
        <v>28</v>
      </c>
      <c r="M69">
        <v>2</v>
      </c>
      <c r="N69">
        <v>0</v>
      </c>
      <c r="O69">
        <v>1</v>
      </c>
    </row>
    <row r="70">
      <c r="A70" t="inlineStr">
        <is>
          <t>CREEDMOOR</t>
        </is>
      </c>
      <c r="B70" t="inlineStr">
        <is>
          <t>MAIN</t>
        </is>
      </c>
      <c r="C70">
        <v>0.0</v>
      </c>
      <c r="E70" t="inlineStr">
        <is>
          <t>MASONIC</t>
        </is>
      </c>
      <c r="F70" t="inlineStr">
        <is>
          <t>SANDERFORD</t>
        </is>
      </c>
      <c r="G70" t="inlineStr">
        <is>
          <t>NC 50</t>
        </is>
      </c>
      <c r="H70">
        <v>2.996</v>
      </c>
      <c r="J70">
        <v>108553169</v>
      </c>
      <c r="K70" s="2">
        <v>46211</v>
      </c>
      <c r="L70">
        <v>28</v>
      </c>
      <c r="M70">
        <v>1</v>
      </c>
      <c r="N70">
        <v>0</v>
      </c>
      <c r="O70">
        <v>1</v>
      </c>
      <c r="P70" t="inlineStr">
        <is>
          <t>O</t>
        </is>
      </c>
    </row>
    <row r="71">
      <c r="A71" t="inlineStr">
        <is>
          <t>CREEDMOOR</t>
        </is>
      </c>
      <c r="B71" t="inlineStr">
        <is>
          <t>MAIN</t>
        </is>
      </c>
      <c r="C71">
        <v>0.0</v>
      </c>
      <c r="D71" t="inlineStr">
        <is>
          <t>S</t>
        </is>
      </c>
      <c r="E71" t="inlineStr">
        <is>
          <t>MASONIC</t>
        </is>
      </c>
      <c r="F71" t="inlineStr">
        <is>
          <t>ROGER</t>
        </is>
      </c>
      <c r="G71" t="inlineStr">
        <is>
          <t>NC 50</t>
        </is>
      </c>
      <c r="H71">
        <v>2.996</v>
      </c>
      <c r="J71">
        <v>105156577</v>
      </c>
      <c r="K71" s="2">
        <v>42926</v>
      </c>
      <c r="L71">
        <v>30</v>
      </c>
      <c r="M71">
        <v>1</v>
      </c>
      <c r="N71">
        <v>0</v>
      </c>
      <c r="O71">
        <v>1</v>
      </c>
      <c r="P71" t="inlineStr">
        <is>
          <t>C</t>
        </is>
      </c>
    </row>
    <row r="72">
      <c r="A72" t="inlineStr">
        <is>
          <t>CREEDMOOR</t>
        </is>
      </c>
      <c r="B72" t="inlineStr">
        <is>
          <t>MAIN</t>
        </is>
      </c>
      <c r="C72">
        <v>0.019</v>
      </c>
      <c r="D72" t="inlineStr">
        <is>
          <t>S</t>
        </is>
      </c>
      <c r="E72" t="inlineStr">
        <is>
          <t>MILL</t>
        </is>
      </c>
      <c r="F72" t="inlineStr">
        <is>
          <t>PARK</t>
        </is>
      </c>
      <c r="G72" t="inlineStr">
        <is>
          <t>NC 50</t>
        </is>
      </c>
      <c r="H72">
        <v>2.997</v>
      </c>
      <c r="J72">
        <v>105185581</v>
      </c>
      <c r="K72" s="2">
        <v>42953</v>
      </c>
      <c r="L72">
        <v>28</v>
      </c>
      <c r="M72">
        <v>1</v>
      </c>
      <c r="N72">
        <v>0</v>
      </c>
      <c r="O72">
        <v>4</v>
      </c>
      <c r="P72" t="inlineStr">
        <is>
          <t>O</t>
        </is>
      </c>
    </row>
    <row r="73">
      <c r="A73" t="inlineStr">
        <is>
          <t>CREEDMOOR</t>
        </is>
      </c>
      <c r="B73" t="inlineStr">
        <is>
          <t>MAIN</t>
        </is>
      </c>
      <c r="C73">
        <v>0.0</v>
      </c>
      <c r="E73" t="inlineStr">
        <is>
          <t>MILL</t>
        </is>
      </c>
      <c r="F73" t="inlineStr">
        <is>
          <t>FLEMING</t>
        </is>
      </c>
      <c r="G73" t="inlineStr">
        <is>
          <t>NC 50</t>
        </is>
      </c>
      <c r="H73">
        <v>3.016</v>
      </c>
      <c r="J73">
        <v>106157107</v>
      </c>
      <c r="K73" s="2">
        <v>43875</v>
      </c>
      <c r="L73">
        <v>30</v>
      </c>
      <c r="M73">
        <v>1</v>
      </c>
      <c r="N73">
        <v>8</v>
      </c>
      <c r="O73">
        <v>1</v>
      </c>
      <c r="P73" t="inlineStr">
        <is>
          <t>O</t>
        </is>
      </c>
    </row>
    <row r="74">
      <c r="A74" t="inlineStr">
        <is>
          <t>CREEDMOOR</t>
        </is>
      </c>
      <c r="B74" t="inlineStr">
        <is>
          <t>MAIN</t>
        </is>
      </c>
      <c r="C74">
        <v>0.0</v>
      </c>
      <c r="E74" t="inlineStr">
        <is>
          <t>MILL</t>
        </is>
      </c>
      <c r="F74" t="inlineStr">
        <is>
          <t>FLEMING</t>
        </is>
      </c>
      <c r="G74" t="inlineStr">
        <is>
          <t>NC 50</t>
        </is>
      </c>
      <c r="H74">
        <v>3.016</v>
      </c>
      <c r="J74">
        <v>105399346</v>
      </c>
      <c r="K74" s="2">
        <v>43142</v>
      </c>
      <c r="L74">
        <v>27</v>
      </c>
      <c r="M74">
        <v>2</v>
      </c>
      <c r="N74">
        <v>0</v>
      </c>
      <c r="O74">
        <v>3</v>
      </c>
      <c r="P74" t="inlineStr">
        <is>
          <t>C</t>
        </is>
      </c>
    </row>
    <row r="75">
      <c r="A75" t="inlineStr">
        <is>
          <t>CREEDMOOR</t>
        </is>
      </c>
      <c r="B75" t="inlineStr">
        <is>
          <t>MAIN</t>
        </is>
      </c>
      <c r="C75">
        <v>0.0</v>
      </c>
      <c r="E75" t="inlineStr">
        <is>
          <t>MILL</t>
        </is>
      </c>
      <c r="G75" t="inlineStr">
        <is>
          <t>NC 50</t>
        </is>
      </c>
      <c r="H75">
        <v>3.016</v>
      </c>
      <c r="J75">
        <v>105285187</v>
      </c>
      <c r="K75" s="2">
        <v>43049</v>
      </c>
      <c r="L75">
        <v>28</v>
      </c>
      <c r="M75">
        <v>1</v>
      </c>
      <c r="N75">
        <v>0</v>
      </c>
      <c r="O75">
        <v>2</v>
      </c>
      <c r="P75" t="inlineStr">
        <is>
          <t>O</t>
        </is>
      </c>
    </row>
    <row r="76">
      <c r="A76" t="inlineStr">
        <is>
          <t>CREEDMOOR</t>
        </is>
      </c>
      <c r="B76" t="inlineStr">
        <is>
          <t>MAIN</t>
        </is>
      </c>
      <c r="C76">
        <v>0.007</v>
      </c>
      <c r="D76" t="inlineStr">
        <is>
          <t>N</t>
        </is>
      </c>
      <c r="E76" t="inlineStr">
        <is>
          <t>MILL</t>
        </is>
      </c>
      <c r="F76" t="inlineStr">
        <is>
          <t>MASONIC</t>
        </is>
      </c>
      <c r="G76" t="inlineStr">
        <is>
          <t>NC 50</t>
        </is>
      </c>
      <c r="H76">
        <v>3.023</v>
      </c>
      <c r="J76">
        <v>105199106</v>
      </c>
      <c r="K76" s="2">
        <v>42969</v>
      </c>
      <c r="L76">
        <v>32</v>
      </c>
      <c r="M76">
        <v>1</v>
      </c>
      <c r="N76">
        <v>0</v>
      </c>
      <c r="O76">
        <v>1</v>
      </c>
      <c r="P76" t="inlineStr">
        <is>
          <t>O</t>
        </is>
      </c>
    </row>
    <row r="77">
      <c r="A77" t="inlineStr">
        <is>
          <t>CREEDMOOR</t>
        </is>
      </c>
      <c r="B77" t="inlineStr">
        <is>
          <t>MAIN</t>
        </is>
      </c>
      <c r="C77">
        <v>0.018</v>
      </c>
      <c r="D77" t="inlineStr">
        <is>
          <t>N</t>
        </is>
      </c>
      <c r="E77" t="inlineStr">
        <is>
          <t>MILL</t>
        </is>
      </c>
      <c r="F77" t="inlineStr">
        <is>
          <t>FLEMING</t>
        </is>
      </c>
      <c r="G77" t="inlineStr">
        <is>
          <t>NC 50</t>
        </is>
      </c>
      <c r="H77">
        <v>3.034</v>
      </c>
      <c r="J77">
        <v>106398136</v>
      </c>
      <c r="K77" s="2">
        <v>44069</v>
      </c>
      <c r="L77">
        <v>0</v>
      </c>
      <c r="M77">
        <v>1</v>
      </c>
      <c r="N77">
        <v>0</v>
      </c>
      <c r="O77">
        <v>1</v>
      </c>
      <c r="P77" t="inlineStr">
        <is>
          <t>O</t>
        </is>
      </c>
    </row>
    <row r="78">
      <c r="A78" t="inlineStr">
        <is>
          <t>CREEDMOOR</t>
        </is>
      </c>
      <c r="B78" t="inlineStr">
        <is>
          <t>MAIN</t>
        </is>
      </c>
      <c r="C78">
        <v>0.024</v>
      </c>
      <c r="D78" t="inlineStr">
        <is>
          <t>N</t>
        </is>
      </c>
      <c r="E78" t="inlineStr">
        <is>
          <t>MILL</t>
        </is>
      </c>
      <c r="F78" t="inlineStr">
        <is>
          <t>FLEMING</t>
        </is>
      </c>
      <c r="G78" t="inlineStr">
        <is>
          <t>NC 50</t>
        </is>
      </c>
      <c r="H78">
        <v>3.04</v>
      </c>
      <c r="J78">
        <v>106398133</v>
      </c>
      <c r="K78" s="2">
        <v>44071</v>
      </c>
      <c r="L78">
        <v>20</v>
      </c>
      <c r="M78">
        <v>1</v>
      </c>
      <c r="N78">
        <v>0</v>
      </c>
      <c r="O78">
        <v>4</v>
      </c>
      <c r="P78" t="inlineStr">
        <is>
          <t>O</t>
        </is>
      </c>
    </row>
    <row r="79">
      <c r="A79" t="inlineStr">
        <is>
          <t>CREEDMOOR</t>
        </is>
      </c>
      <c r="B79" t="inlineStr">
        <is>
          <t>MAIN</t>
        </is>
      </c>
      <c r="C79">
        <v>0.15</v>
      </c>
      <c r="D79" t="inlineStr">
        <is>
          <t>N</t>
        </is>
      </c>
      <c r="E79" t="inlineStr">
        <is>
          <t>LION</t>
        </is>
      </c>
      <c r="F79" t="inlineStr">
        <is>
          <t>MILL</t>
        </is>
      </c>
      <c r="G79" t="inlineStr">
        <is>
          <t>NC 50</t>
        </is>
      </c>
      <c r="H79">
        <v>3.087</v>
      </c>
      <c r="J79">
        <v>105680090</v>
      </c>
      <c r="K79" s="2">
        <v>43412</v>
      </c>
      <c r="L79">
        <v>23</v>
      </c>
      <c r="M79">
        <v>1</v>
      </c>
      <c r="N79">
        <v>0</v>
      </c>
      <c r="O79">
        <v>1</v>
      </c>
      <c r="P79" t="inlineStr">
        <is>
          <t>O</t>
        </is>
      </c>
    </row>
    <row r="80">
      <c r="A80" t="inlineStr">
        <is>
          <t>CREEDMOOR</t>
        </is>
      </c>
      <c r="B80" t="inlineStr">
        <is>
          <t>MAIN</t>
        </is>
      </c>
      <c r="C80">
        <v>0.038</v>
      </c>
      <c r="D80" t="inlineStr">
        <is>
          <t>S</t>
        </is>
      </c>
      <c r="E80" t="inlineStr">
        <is>
          <t>FLEMING</t>
        </is>
      </c>
      <c r="F80" t="inlineStr">
        <is>
          <t>MILL</t>
        </is>
      </c>
      <c r="G80" t="inlineStr">
        <is>
          <t>NC 50</t>
        </is>
      </c>
      <c r="H80">
        <v>3.088</v>
      </c>
      <c r="J80">
        <v>105334610</v>
      </c>
      <c r="K80" s="2">
        <v>43090</v>
      </c>
      <c r="L80">
        <v>28</v>
      </c>
      <c r="M80">
        <v>1</v>
      </c>
      <c r="N80">
        <v>0</v>
      </c>
      <c r="O80">
        <v>1</v>
      </c>
      <c r="P80" t="inlineStr">
        <is>
          <t>O</t>
        </is>
      </c>
    </row>
    <row r="81">
      <c r="A81" t="inlineStr">
        <is>
          <t>CREEDMOOR</t>
        </is>
      </c>
      <c r="B81" t="inlineStr">
        <is>
          <t>MAIN</t>
        </is>
      </c>
      <c r="C81">
        <v>0.019</v>
      </c>
      <c r="D81" t="inlineStr">
        <is>
          <t>S</t>
        </is>
      </c>
      <c r="E81" t="inlineStr">
        <is>
          <t>FLEMING</t>
        </is>
      </c>
      <c r="F81" t="inlineStr">
        <is>
          <t>MILL</t>
        </is>
      </c>
      <c r="G81" t="inlineStr">
        <is>
          <t>NC 50</t>
        </is>
      </c>
      <c r="H81">
        <v>3.107</v>
      </c>
      <c r="J81">
        <v>105924215</v>
      </c>
      <c r="K81" s="2">
        <v>43660</v>
      </c>
      <c r="L81">
        <v>19</v>
      </c>
      <c r="M81">
        <v>1</v>
      </c>
      <c r="N81">
        <v>0</v>
      </c>
      <c r="O81">
        <v>4</v>
      </c>
      <c r="P81" t="inlineStr">
        <is>
          <t>O</t>
        </is>
      </c>
    </row>
    <row r="82">
      <c r="A82" t="inlineStr">
        <is>
          <t>CREEDMOOR</t>
        </is>
      </c>
      <c r="B82" t="inlineStr">
        <is>
          <t>MAIN</t>
        </is>
      </c>
      <c r="C82">
        <v>0.015</v>
      </c>
      <c r="D82" t="inlineStr">
        <is>
          <t>S</t>
        </is>
      </c>
      <c r="E82" t="inlineStr">
        <is>
          <t>FLEMING</t>
        </is>
      </c>
      <c r="G82" t="inlineStr">
        <is>
          <t>NC 50</t>
        </is>
      </c>
      <c r="H82">
        <v>3.111</v>
      </c>
      <c r="J82">
        <v>108287261</v>
      </c>
      <c r="K82" s="2">
        <v>45953</v>
      </c>
      <c r="L82">
        <v>21</v>
      </c>
      <c r="M82">
        <v>1</v>
      </c>
      <c r="N82">
        <v>0</v>
      </c>
      <c r="O82">
        <v>1</v>
      </c>
      <c r="P82" t="inlineStr">
        <is>
          <t>C</t>
        </is>
      </c>
    </row>
    <row r="83">
      <c r="A83" t="inlineStr">
        <is>
          <t>CREEDMOOR</t>
        </is>
      </c>
      <c r="B83" t="inlineStr">
        <is>
          <t>MAIN</t>
        </is>
      </c>
      <c r="C83">
        <v>0.015</v>
      </c>
      <c r="D83" t="inlineStr">
        <is>
          <t>S</t>
        </is>
      </c>
      <c r="E83" t="inlineStr">
        <is>
          <t>FLEMING</t>
        </is>
      </c>
      <c r="F83" t="inlineStr">
        <is>
          <t>PARK</t>
        </is>
      </c>
      <c r="G83" t="inlineStr">
        <is>
          <t>NC 50</t>
        </is>
      </c>
      <c r="H83">
        <v>3.111</v>
      </c>
      <c r="J83">
        <v>105433973</v>
      </c>
      <c r="K83" s="2">
        <v>43187</v>
      </c>
      <c r="L83">
        <v>21</v>
      </c>
      <c r="M83">
        <v>1</v>
      </c>
      <c r="N83">
        <v>0</v>
      </c>
      <c r="O83">
        <v>1</v>
      </c>
      <c r="P83" t="inlineStr">
        <is>
          <t>O</t>
        </is>
      </c>
    </row>
    <row r="84">
      <c r="A84" t="inlineStr">
        <is>
          <t>CREEDMOOR</t>
        </is>
      </c>
      <c r="B84" t="inlineStr">
        <is>
          <t>MAIN</t>
        </is>
      </c>
      <c r="C84">
        <v>0.009</v>
      </c>
      <c r="D84" t="inlineStr">
        <is>
          <t>S</t>
        </is>
      </c>
      <c r="E84" t="inlineStr">
        <is>
          <t>PARK</t>
        </is>
      </c>
      <c r="F84" t="inlineStr">
        <is>
          <t>LAKE</t>
        </is>
      </c>
      <c r="G84" t="inlineStr">
        <is>
          <t>NC 50</t>
        </is>
      </c>
      <c r="H84">
        <v>3.147</v>
      </c>
      <c r="J84">
        <v>105417620</v>
      </c>
      <c r="K84" s="2">
        <v>43174</v>
      </c>
      <c r="L84">
        <v>1</v>
      </c>
      <c r="M84">
        <v>1</v>
      </c>
      <c r="N84">
        <v>0</v>
      </c>
      <c r="O84">
        <v>1</v>
      </c>
      <c r="P84" t="inlineStr">
        <is>
          <t>O</t>
        </is>
      </c>
    </row>
    <row r="85">
      <c r="A85" t="inlineStr">
        <is>
          <t>CREEDMOOR</t>
        </is>
      </c>
      <c r="B85" t="inlineStr">
        <is>
          <t>MAIN</t>
        </is>
      </c>
      <c r="C85">
        <v>0.0</v>
      </c>
      <c r="E85" t="inlineStr">
        <is>
          <t>LAKE</t>
        </is>
      </c>
      <c r="F85" t="inlineStr">
        <is>
          <t>MAIN</t>
        </is>
      </c>
      <c r="G85" t="inlineStr">
        <is>
          <t>NC 50</t>
        </is>
      </c>
      <c r="H85">
        <v>3.206</v>
      </c>
      <c r="J85">
        <v>107938369</v>
      </c>
      <c r="K85" s="2">
        <v>45611</v>
      </c>
      <c r="L85">
        <v>1</v>
      </c>
      <c r="M85">
        <v>2</v>
      </c>
      <c r="N85">
        <v>25</v>
      </c>
      <c r="O85">
        <v>4</v>
      </c>
      <c r="P85" t="inlineStr">
        <is>
          <t>O</t>
        </is>
      </c>
    </row>
    <row r="86">
      <c r="A86" t="inlineStr">
        <is>
          <t>CREEDMOOR</t>
        </is>
      </c>
      <c r="B86" t="inlineStr">
        <is>
          <t>MAIN</t>
        </is>
      </c>
      <c r="C86">
        <v>0.0</v>
      </c>
      <c r="E86" t="inlineStr">
        <is>
          <t>LAKE</t>
        </is>
      </c>
      <c r="G86" t="inlineStr">
        <is>
          <t>NC 50</t>
        </is>
      </c>
      <c r="H86">
        <v>3.206</v>
      </c>
      <c r="J86">
        <v>105526147</v>
      </c>
      <c r="K86" s="2">
        <v>43280</v>
      </c>
      <c r="L86">
        <v>30</v>
      </c>
      <c r="M86">
        <v>1</v>
      </c>
      <c r="N86">
        <v>8</v>
      </c>
      <c r="O86">
        <v>1</v>
      </c>
      <c r="P86" t="inlineStr">
        <is>
          <t>O</t>
        </is>
      </c>
    </row>
    <row r="87">
      <c r="A87" t="inlineStr">
        <is>
          <t>CREEDMOOR</t>
        </is>
      </c>
      <c r="B87" t="inlineStr">
        <is>
          <t>PVA MAIN STREET</t>
        </is>
      </c>
      <c r="C87">
        <v>0.0</v>
      </c>
      <c r="D87" t="inlineStr">
        <is>
          <t>W</t>
        </is>
      </c>
      <c r="E87" t="inlineStr">
        <is>
          <t>LAKE</t>
        </is>
      </c>
      <c r="F87" t="inlineStr">
        <is>
          <t>FLEMING</t>
        </is>
      </c>
      <c r="G87" t="inlineStr">
        <is>
          <t>NC 50</t>
        </is>
      </c>
      <c r="H87">
        <v>3.206</v>
      </c>
      <c r="J87">
        <v>105251330</v>
      </c>
      <c r="K87" s="2">
        <v>43020</v>
      </c>
      <c r="L87">
        <v>31</v>
      </c>
      <c r="M87">
        <v>1</v>
      </c>
      <c r="N87">
        <v>4</v>
      </c>
      <c r="O87">
        <v>1</v>
      </c>
      <c r="P87" t="inlineStr">
        <is>
          <t>O</t>
        </is>
      </c>
    </row>
    <row r="88">
      <c r="A88" t="inlineStr">
        <is>
          <t>CREEDMOOR</t>
        </is>
      </c>
      <c r="B88" t="inlineStr">
        <is>
          <t>MAIN</t>
        </is>
      </c>
      <c r="C88">
        <v>0.006</v>
      </c>
      <c r="D88" t="inlineStr">
        <is>
          <t>W</t>
        </is>
      </c>
      <c r="E88" t="inlineStr">
        <is>
          <t>DOUGLAS</t>
        </is>
      </c>
      <c r="F88" t="inlineStr">
        <is>
          <t>LAKE</t>
        </is>
      </c>
      <c r="G88" t="inlineStr">
        <is>
          <t>NC 50</t>
        </is>
      </c>
      <c r="H88">
        <v>3.22</v>
      </c>
      <c r="J88">
        <v>107809377</v>
      </c>
      <c r="K88" s="2">
        <v>45496</v>
      </c>
      <c r="L88">
        <v>21</v>
      </c>
      <c r="M88">
        <v>1</v>
      </c>
      <c r="N88">
        <v>0</v>
      </c>
      <c r="O88">
        <v>1</v>
      </c>
      <c r="P88" t="inlineStr">
        <is>
          <t>C</t>
        </is>
      </c>
    </row>
    <row r="89">
      <c r="A89" t="inlineStr">
        <is>
          <t>CREEDMOOR</t>
        </is>
      </c>
      <c r="B89" t="inlineStr">
        <is>
          <t>DOUGLAS</t>
        </is>
      </c>
      <c r="C89">
        <v>0.0</v>
      </c>
      <c r="E89" t="inlineStr">
        <is>
          <t>MAIN</t>
        </is>
      </c>
      <c r="F89" t="inlineStr">
        <is>
          <t>MAIN</t>
        </is>
      </c>
      <c r="G89" t="inlineStr">
        <is>
          <t>NC 50</t>
        </is>
      </c>
      <c r="H89">
        <v>3.226</v>
      </c>
      <c r="J89">
        <v>108332317</v>
      </c>
      <c r="K89" s="2">
        <v>45961</v>
      </c>
      <c r="L89">
        <v>24</v>
      </c>
      <c r="M89">
        <v>1</v>
      </c>
      <c r="N89">
        <v>0</v>
      </c>
      <c r="O89">
        <v>1</v>
      </c>
      <c r="P89" t="inlineStr">
        <is>
          <t>O</t>
        </is>
      </c>
    </row>
    <row r="90">
      <c r="A90" t="inlineStr">
        <is>
          <t>CREEDMOOR</t>
        </is>
      </c>
      <c r="B90" t="inlineStr">
        <is>
          <t>MAIN</t>
        </is>
      </c>
      <c r="C90">
        <v>0.0</v>
      </c>
      <c r="E90" t="inlineStr">
        <is>
          <t>DOUGLAS</t>
        </is>
      </c>
      <c r="F90" t="inlineStr">
        <is>
          <t>NC 56</t>
        </is>
      </c>
      <c r="G90" t="inlineStr">
        <is>
          <t>NC 50</t>
        </is>
      </c>
      <c r="H90">
        <v>3.226</v>
      </c>
      <c r="J90">
        <v>108532983</v>
      </c>
      <c r="K90" s="2">
        <v>46178</v>
      </c>
      <c r="L90">
        <v>30</v>
      </c>
      <c r="M90">
        <v>1</v>
      </c>
      <c r="N90">
        <v>0</v>
      </c>
      <c r="O90">
        <v>1</v>
      </c>
      <c r="P90" t="inlineStr">
        <is>
          <t>O</t>
        </is>
      </c>
    </row>
    <row r="91">
      <c r="A91" t="inlineStr">
        <is>
          <t>CREEDMOOR</t>
        </is>
      </c>
      <c r="B91" t="inlineStr">
        <is>
          <t>MAIN</t>
        </is>
      </c>
      <c r="C91">
        <v>0.0</v>
      </c>
      <c r="E91" t="inlineStr">
        <is>
          <t>DOUGLAS</t>
        </is>
      </c>
      <c r="F91" t="inlineStr">
        <is>
          <t>LAKE</t>
        </is>
      </c>
      <c r="G91" t="inlineStr">
        <is>
          <t>NC 50</t>
        </is>
      </c>
      <c r="H91">
        <v>3.226</v>
      </c>
      <c r="J91">
        <v>105658855</v>
      </c>
      <c r="K91" s="2">
        <v>43396</v>
      </c>
      <c r="L91">
        <v>24</v>
      </c>
      <c r="M91">
        <v>1</v>
      </c>
      <c r="N91">
        <v>12</v>
      </c>
      <c r="O91">
        <v>1</v>
      </c>
      <c r="P91" t="inlineStr">
        <is>
          <t>O</t>
        </is>
      </c>
    </row>
    <row r="92">
      <c r="A92" t="inlineStr">
        <is>
          <t>CREEDMOOR</t>
        </is>
      </c>
      <c r="B92" t="inlineStr">
        <is>
          <t>MAIN</t>
        </is>
      </c>
      <c r="C92">
        <v>0.038</v>
      </c>
      <c r="D92" t="inlineStr">
        <is>
          <t>S</t>
        </is>
      </c>
      <c r="E92" t="inlineStr">
        <is>
          <t>WILTON</t>
        </is>
      </c>
      <c r="F92" t="inlineStr">
        <is>
          <t>DOUGLAS</t>
        </is>
      </c>
      <c r="G92" t="inlineStr">
        <is>
          <t>NC 50</t>
        </is>
      </c>
      <c r="H92">
        <v>3.247</v>
      </c>
      <c r="J92">
        <v>107834102</v>
      </c>
      <c r="K92" s="2">
        <v>45527</v>
      </c>
      <c r="L92">
        <v>28</v>
      </c>
      <c r="M92">
        <v>1</v>
      </c>
      <c r="N92">
        <v>0</v>
      </c>
      <c r="O92">
        <v>1</v>
      </c>
      <c r="P92" t="inlineStr">
        <is>
          <t>O</t>
        </is>
      </c>
    </row>
    <row r="93">
      <c r="A93" t="inlineStr">
        <is>
          <t>CREEDMOOR</t>
        </is>
      </c>
      <c r="B93" t="inlineStr">
        <is>
          <t>MAIN</t>
        </is>
      </c>
      <c r="C93">
        <v>0.006</v>
      </c>
      <c r="D93" t="inlineStr">
        <is>
          <t>S</t>
        </is>
      </c>
      <c r="E93" t="inlineStr">
        <is>
          <t>NC 56</t>
        </is>
      </c>
      <c r="F93" t="inlineStr">
        <is>
          <t>DOUGLAS</t>
        </is>
      </c>
      <c r="G93" t="inlineStr">
        <is>
          <t>NC 50</t>
        </is>
      </c>
      <c r="H93">
        <v>3.278</v>
      </c>
      <c r="J93">
        <v>108484990</v>
      </c>
      <c r="K93" s="2">
        <v>46140</v>
      </c>
      <c r="L93">
        <v>21</v>
      </c>
      <c r="M93">
        <v>1</v>
      </c>
      <c r="N93">
        <v>0</v>
      </c>
      <c r="O93">
        <v>1</v>
      </c>
      <c r="P93" t="inlineStr">
        <is>
          <t>O</t>
        </is>
      </c>
    </row>
    <row r="94">
      <c r="A94" t="inlineStr">
        <is>
          <t>CREEDMOOR</t>
        </is>
      </c>
      <c r="B94" t="inlineStr">
        <is>
          <t>MAIN</t>
        </is>
      </c>
      <c r="C94">
        <v>0.0</v>
      </c>
      <c r="E94" t="inlineStr">
        <is>
          <t>NC 56</t>
        </is>
      </c>
      <c r="F94" t="inlineStr">
        <is>
          <t>US 15</t>
        </is>
      </c>
      <c r="G94" t="inlineStr">
        <is>
          <t>NC 50</t>
        </is>
      </c>
      <c r="H94">
        <v>3.284</v>
      </c>
      <c r="J94">
        <v>105417622</v>
      </c>
      <c r="K94" s="2">
        <v>43174</v>
      </c>
      <c r="L94">
        <v>23</v>
      </c>
      <c r="M94">
        <v>1</v>
      </c>
      <c r="N94">
        <v>7</v>
      </c>
      <c r="O94">
        <v>1</v>
      </c>
      <c r="P94" t="inlineStr">
        <is>
          <t>O</t>
        </is>
      </c>
    </row>
    <row r="95">
      <c r="A95" t="inlineStr">
        <is>
          <t>CREEDMOOR</t>
        </is>
      </c>
      <c r="B95" t="inlineStr">
        <is>
          <t>MAIN</t>
        </is>
      </c>
      <c r="C95">
        <v>0.0</v>
      </c>
      <c r="E95" t="inlineStr">
        <is>
          <t>NC 56</t>
        </is>
      </c>
      <c r="F95" t="inlineStr">
        <is>
          <t>DOUGLAS</t>
        </is>
      </c>
      <c r="G95" t="inlineStr">
        <is>
          <t>NC 50</t>
        </is>
      </c>
      <c r="H95">
        <v>3.284</v>
      </c>
      <c r="J95">
        <v>105601555</v>
      </c>
      <c r="K95" s="2">
        <v>43353</v>
      </c>
      <c r="L95">
        <v>26</v>
      </c>
      <c r="M95">
        <v>1</v>
      </c>
      <c r="N95">
        <v>7</v>
      </c>
      <c r="O95">
        <v>1</v>
      </c>
      <c r="P95" t="inlineStr">
        <is>
          <t>O</t>
        </is>
      </c>
    </row>
    <row r="96">
      <c r="A96" t="inlineStr">
        <is>
          <t>CREEDMOOR</t>
        </is>
      </c>
      <c r="B96" t="inlineStr">
        <is>
          <t>NC 56</t>
        </is>
      </c>
      <c r="C96">
        <v>0.0</v>
      </c>
      <c r="E96" t="inlineStr">
        <is>
          <t>MAIN</t>
        </is>
      </c>
      <c r="F96" t="inlineStr">
        <is>
          <t>*LCL W WILTON AVE</t>
        </is>
      </c>
      <c r="G96" t="inlineStr">
        <is>
          <t>NC 50</t>
        </is>
      </c>
      <c r="H96">
        <v>3.284</v>
      </c>
      <c r="J96">
        <v>108062653</v>
      </c>
      <c r="K96" s="2">
        <v>45740</v>
      </c>
      <c r="L96">
        <v>30</v>
      </c>
      <c r="M96">
        <v>2</v>
      </c>
      <c r="N96">
        <v>0</v>
      </c>
      <c r="O96">
        <v>1</v>
      </c>
      <c r="P96" t="inlineStr">
        <is>
          <t>O</t>
        </is>
      </c>
    </row>
    <row r="97">
      <c r="A97" t="inlineStr">
        <is>
          <t>CREEDMOOR</t>
        </is>
      </c>
      <c r="B97" t="inlineStr">
        <is>
          <t>NC 56</t>
        </is>
      </c>
      <c r="C97">
        <v>0.0</v>
      </c>
      <c r="E97" t="inlineStr">
        <is>
          <t>MAIN</t>
        </is>
      </c>
      <c r="F97" t="inlineStr">
        <is>
          <t>DOUGLAS</t>
        </is>
      </c>
      <c r="G97" t="inlineStr">
        <is>
          <t>NC 50</t>
        </is>
      </c>
      <c r="H97">
        <v>3.284</v>
      </c>
      <c r="J97">
        <v>108321102</v>
      </c>
      <c r="K97" s="2">
        <v>45981</v>
      </c>
      <c r="L97">
        <v>30</v>
      </c>
      <c r="M97">
        <v>1</v>
      </c>
      <c r="N97">
        <v>7</v>
      </c>
      <c r="O97">
        <v>2</v>
      </c>
      <c r="P97" t="inlineStr">
        <is>
          <t>C</t>
        </is>
      </c>
    </row>
    <row r="98">
      <c r="A98" t="inlineStr">
        <is>
          <t>CREEDMOOR</t>
        </is>
      </c>
      <c r="B98" t="inlineStr">
        <is>
          <t>NC 56</t>
        </is>
      </c>
      <c r="C98">
        <v>0.0</v>
      </c>
      <c r="E98" t="inlineStr">
        <is>
          <t>MAIN</t>
        </is>
      </c>
      <c r="F98" t="inlineStr">
        <is>
          <t>*LCL CRESENT HEIGHTS DRIVE</t>
        </is>
      </c>
      <c r="G98" t="inlineStr">
        <is>
          <t>NC 50</t>
        </is>
      </c>
      <c r="H98">
        <v>3.284</v>
      </c>
      <c r="J98">
        <v>107265352</v>
      </c>
      <c r="K98" s="2">
        <v>44979</v>
      </c>
      <c r="L98">
        <v>21</v>
      </c>
      <c r="M98">
        <v>1</v>
      </c>
      <c r="N98">
        <v>0</v>
      </c>
      <c r="O98">
        <v>1</v>
      </c>
      <c r="P98" t="inlineStr">
        <is>
          <t>O</t>
        </is>
      </c>
    </row>
    <row r="99">
      <c r="A99" t="inlineStr">
        <is>
          <t>CREEDMOOR</t>
        </is>
      </c>
      <c r="B99" t="inlineStr">
        <is>
          <t>NC 56</t>
        </is>
      </c>
      <c r="C99">
        <v>0.0</v>
      </c>
      <c r="E99" t="inlineStr">
        <is>
          <t>MAIN</t>
        </is>
      </c>
      <c r="F99" t="inlineStr">
        <is>
          <t>US 15</t>
        </is>
      </c>
      <c r="G99" t="inlineStr">
        <is>
          <t>NC 50</t>
        </is>
      </c>
      <c r="H99">
        <v>3.284</v>
      </c>
      <c r="J99">
        <v>106186679</v>
      </c>
      <c r="K99" s="2">
        <v>43907</v>
      </c>
      <c r="L99">
        <v>30</v>
      </c>
      <c r="M99">
        <v>1</v>
      </c>
      <c r="N99">
        <v>7</v>
      </c>
      <c r="O99">
        <v>1</v>
      </c>
      <c r="P99" t="inlineStr">
        <is>
          <t>O</t>
        </is>
      </c>
    </row>
    <row r="100">
      <c r="A100" t="inlineStr">
        <is>
          <t>CREEDMOOR</t>
        </is>
      </c>
      <c r="B100" t="inlineStr">
        <is>
          <t>NC 56</t>
        </is>
      </c>
      <c r="C100">
        <v>0.0</v>
      </c>
      <c r="E100" t="inlineStr">
        <is>
          <t>MAIN</t>
        </is>
      </c>
      <c r="F100" t="inlineStr">
        <is>
          <t>NC 56</t>
        </is>
      </c>
      <c r="G100" t="inlineStr">
        <is>
          <t>NC 50</t>
        </is>
      </c>
      <c r="H100">
        <v>3.284</v>
      </c>
      <c r="J100">
        <v>105508622</v>
      </c>
      <c r="K100" s="2">
        <v>43238</v>
      </c>
      <c r="L100">
        <v>23</v>
      </c>
      <c r="M100">
        <v>1</v>
      </c>
      <c r="N100">
        <v>7</v>
      </c>
      <c r="O100">
        <v>1</v>
      </c>
      <c r="P100" t="inlineStr">
        <is>
          <t>O</t>
        </is>
      </c>
    </row>
    <row r="101">
      <c r="A101" t="inlineStr">
        <is>
          <t>CREEDMOOR</t>
        </is>
      </c>
      <c r="B101" t="inlineStr">
        <is>
          <t>NC 56</t>
        </is>
      </c>
      <c r="C101">
        <v>0.0</v>
      </c>
      <c r="E101" t="inlineStr">
        <is>
          <t>MAIN</t>
        </is>
      </c>
      <c r="F101" t="inlineStr">
        <is>
          <t>*US 15 P</t>
        </is>
      </c>
      <c r="G101" t="inlineStr">
        <is>
          <t>NC 50</t>
        </is>
      </c>
      <c r="H101">
        <v>3.284</v>
      </c>
      <c r="J101">
        <v>108088763</v>
      </c>
      <c r="K101" s="2">
        <v>45752</v>
      </c>
      <c r="L101">
        <v>20</v>
      </c>
      <c r="M101">
        <v>1</v>
      </c>
      <c r="N101">
        <v>0</v>
      </c>
      <c r="O101">
        <v>2</v>
      </c>
      <c r="P101" t="inlineStr">
        <is>
          <t>O</t>
        </is>
      </c>
    </row>
    <row r="102">
      <c r="A102" t="inlineStr">
        <is>
          <t>CREEDMOOR</t>
        </is>
      </c>
      <c r="B102" t="inlineStr">
        <is>
          <t>NC 56</t>
        </is>
      </c>
      <c r="C102">
        <v>0.0</v>
      </c>
      <c r="E102" t="inlineStr">
        <is>
          <t>MAIN</t>
        </is>
      </c>
      <c r="F102" t="inlineStr">
        <is>
          <t>NC 56</t>
        </is>
      </c>
      <c r="G102" t="inlineStr">
        <is>
          <t>NC 50</t>
        </is>
      </c>
      <c r="H102">
        <v>3.284</v>
      </c>
      <c r="J102">
        <v>107809381</v>
      </c>
      <c r="K102" s="2">
        <v>45496</v>
      </c>
      <c r="L102">
        <v>22</v>
      </c>
      <c r="M102">
        <v>1</v>
      </c>
      <c r="N102">
        <v>7</v>
      </c>
      <c r="O102">
        <v>1</v>
      </c>
      <c r="P102" t="inlineStr">
        <is>
          <t>O</t>
        </is>
      </c>
    </row>
    <row r="103">
      <c r="A103" t="inlineStr">
        <is>
          <t>CREEDMOOR</t>
        </is>
      </c>
      <c r="B103" t="inlineStr">
        <is>
          <t>PVA MAIN STREET</t>
        </is>
      </c>
      <c r="C103">
        <v>0.0</v>
      </c>
      <c r="E103" t="inlineStr">
        <is>
          <t>NC 56</t>
        </is>
      </c>
      <c r="F103" t="inlineStr">
        <is>
          <t>NC 56</t>
        </is>
      </c>
      <c r="G103" t="inlineStr">
        <is>
          <t>NC 50</t>
        </is>
      </c>
      <c r="H103">
        <v>3.284</v>
      </c>
      <c r="J103">
        <v>105762325</v>
      </c>
      <c r="K103" s="2">
        <v>43497</v>
      </c>
      <c r="L103">
        <v>19</v>
      </c>
      <c r="M103">
        <v>1</v>
      </c>
      <c r="N103">
        <v>0</v>
      </c>
      <c r="O103">
        <v>1</v>
      </c>
      <c r="P103" t="inlineStr">
        <is>
          <t>O</t>
        </is>
      </c>
    </row>
    <row r="104">
      <c r="A104" t="inlineStr">
        <is>
          <t>CREEDMOOR</t>
        </is>
      </c>
      <c r="B104" t="inlineStr">
        <is>
          <t>MAIN</t>
        </is>
      </c>
      <c r="C104">
        <v>0.0</v>
      </c>
      <c r="E104" t="inlineStr">
        <is>
          <t>NC 50</t>
        </is>
      </c>
      <c r="F104" t="inlineStr">
        <is>
          <t>NC 50</t>
        </is>
      </c>
      <c r="G104" t="inlineStr">
        <is>
          <t>NC 50</t>
        </is>
      </c>
      <c r="H104">
        <v>3.285</v>
      </c>
      <c r="J104">
        <v>108357308</v>
      </c>
      <c r="K104" s="2">
        <v>46021</v>
      </c>
      <c r="L104">
        <v>21</v>
      </c>
      <c r="M104">
        <v>1</v>
      </c>
      <c r="N104">
        <v>0</v>
      </c>
      <c r="O104">
        <v>1</v>
      </c>
      <c r="P104" t="inlineStr">
        <is>
          <t>O</t>
        </is>
      </c>
    </row>
    <row r="105">
      <c r="A105" t="inlineStr">
        <is>
          <t>CREEDMOOR</t>
        </is>
      </c>
      <c r="B105" t="inlineStr">
        <is>
          <t>MAIN</t>
        </is>
      </c>
      <c r="C105">
        <v>0.0</v>
      </c>
      <c r="E105" t="inlineStr">
        <is>
          <t>WILTON</t>
        </is>
      </c>
      <c r="F105" t="inlineStr">
        <is>
          <t>PARK</t>
        </is>
      </c>
      <c r="G105" t="inlineStr">
        <is>
          <t>NC 50</t>
        </is>
      </c>
      <c r="H105">
        <v>3.285</v>
      </c>
      <c r="J105">
        <v>105230312</v>
      </c>
      <c r="K105" s="2">
        <v>43003</v>
      </c>
      <c r="L105">
        <v>21</v>
      </c>
      <c r="M105">
        <v>1</v>
      </c>
      <c r="N105">
        <v>0</v>
      </c>
      <c r="O105">
        <v>1</v>
      </c>
      <c r="P105" t="inlineStr">
        <is>
          <t>O</t>
        </is>
      </c>
    </row>
    <row r="106">
      <c r="A106" t="inlineStr">
        <is>
          <t>CREEDMOOR</t>
        </is>
      </c>
      <c r="B106" t="inlineStr">
        <is>
          <t>WILTON</t>
        </is>
      </c>
      <c r="C106">
        <v>0.0</v>
      </c>
      <c r="E106" t="inlineStr">
        <is>
          <t>MAIN</t>
        </is>
      </c>
      <c r="F106" t="inlineStr">
        <is>
          <t>DOUGLAS</t>
        </is>
      </c>
      <c r="G106" t="inlineStr">
        <is>
          <t>NC 50</t>
        </is>
      </c>
      <c r="H106">
        <v>3.285</v>
      </c>
      <c r="J106">
        <v>106108451</v>
      </c>
      <c r="K106" s="2">
        <v>43823</v>
      </c>
      <c r="L106">
        <v>21</v>
      </c>
      <c r="M106">
        <v>1</v>
      </c>
      <c r="N106">
        <v>0</v>
      </c>
      <c r="O106">
        <v>1</v>
      </c>
      <c r="P106" t="inlineStr">
        <is>
          <t>C</t>
        </is>
      </c>
    </row>
    <row r="107">
      <c r="A107" t="inlineStr">
        <is>
          <t>CREEDMOOR</t>
        </is>
      </c>
      <c r="B107" t="inlineStr">
        <is>
          <t>WILTON</t>
        </is>
      </c>
      <c r="C107">
        <v>0.0</v>
      </c>
      <c r="E107" t="inlineStr">
        <is>
          <t>MAIN</t>
        </is>
      </c>
      <c r="F107" t="inlineStr">
        <is>
          <t>DURHAM</t>
        </is>
      </c>
      <c r="G107" t="inlineStr">
        <is>
          <t>NC 50</t>
        </is>
      </c>
      <c r="H107">
        <v>3.285</v>
      </c>
      <c r="J107">
        <v>105750544</v>
      </c>
      <c r="K107" s="2">
        <v>43479</v>
      </c>
      <c r="L107">
        <v>28</v>
      </c>
      <c r="M107">
        <v>1</v>
      </c>
      <c r="N107">
        <v>7</v>
      </c>
      <c r="O107">
        <v>3</v>
      </c>
      <c r="P107" t="inlineStr">
        <is>
          <t>O</t>
        </is>
      </c>
    </row>
    <row r="108">
      <c r="A108" t="inlineStr">
        <is>
          <t>CREEDMOOR</t>
        </is>
      </c>
      <c r="B108" t="inlineStr">
        <is>
          <t>WILTON</t>
        </is>
      </c>
      <c r="C108">
        <v>0.0</v>
      </c>
      <c r="D108" t="inlineStr">
        <is>
          <t>W</t>
        </is>
      </c>
      <c r="E108" t="inlineStr">
        <is>
          <t>MAIN</t>
        </is>
      </c>
      <c r="F108" t="inlineStr">
        <is>
          <t>CRESCENT</t>
        </is>
      </c>
      <c r="G108" t="inlineStr">
        <is>
          <t>NC 50</t>
        </is>
      </c>
      <c r="H108">
        <v>3.285</v>
      </c>
      <c r="J108">
        <v>105071492</v>
      </c>
      <c r="K108" s="2">
        <v>42843</v>
      </c>
      <c r="L108">
        <v>21</v>
      </c>
      <c r="M108">
        <v>1</v>
      </c>
      <c r="N108">
        <v>0</v>
      </c>
      <c r="O108">
        <v>1</v>
      </c>
      <c r="P108" t="inlineStr">
        <is>
          <t>O</t>
        </is>
      </c>
    </row>
    <row r="109">
      <c r="A109" t="inlineStr">
        <is>
          <t>CREEDMOOR</t>
        </is>
      </c>
      <c r="B109" t="inlineStr">
        <is>
          <t>WILTON</t>
        </is>
      </c>
      <c r="C109">
        <v>0.008</v>
      </c>
      <c r="D109" t="inlineStr">
        <is>
          <t>W</t>
        </is>
      </c>
      <c r="E109" t="inlineStr">
        <is>
          <t>MAIN</t>
        </is>
      </c>
      <c r="F109" t="inlineStr">
        <is>
          <t>US 15</t>
        </is>
      </c>
      <c r="G109" t="inlineStr">
        <is>
          <t>NC 50</t>
        </is>
      </c>
      <c r="H109">
        <v>3.293</v>
      </c>
      <c r="J109">
        <v>105924216</v>
      </c>
      <c r="K109" s="2">
        <v>43526</v>
      </c>
      <c r="L109">
        <v>2</v>
      </c>
      <c r="M109">
        <v>1</v>
      </c>
      <c r="N109">
        <v>7</v>
      </c>
      <c r="O109">
        <v>4</v>
      </c>
      <c r="P109" t="inlineStr">
        <is>
          <t>O</t>
        </is>
      </c>
    </row>
    <row r="110">
      <c r="A110" t="inlineStr">
        <is>
          <t>CREEDMOOR</t>
        </is>
      </c>
      <c r="B110" t="inlineStr">
        <is>
          <t>WILTON</t>
        </is>
      </c>
      <c r="C110">
        <v>0.014</v>
      </c>
      <c r="D110" t="inlineStr">
        <is>
          <t>W</t>
        </is>
      </c>
      <c r="E110" t="inlineStr">
        <is>
          <t>MAIN</t>
        </is>
      </c>
      <c r="F110" t="inlineStr">
        <is>
          <t>DURHAM</t>
        </is>
      </c>
      <c r="G110" t="inlineStr">
        <is>
          <t>NC 50</t>
        </is>
      </c>
      <c r="H110">
        <v>3.299</v>
      </c>
      <c r="J110">
        <v>106335625</v>
      </c>
      <c r="K110" s="2">
        <v>44078</v>
      </c>
      <c r="L110">
        <v>21</v>
      </c>
      <c r="M110">
        <v>1</v>
      </c>
      <c r="N110">
        <v>0</v>
      </c>
      <c r="O110">
        <v>1</v>
      </c>
      <c r="P110" t="inlineStr">
        <is>
          <t>O</t>
        </is>
      </c>
    </row>
    <row r="111">
      <c r="A111" t="inlineStr">
        <is>
          <t>OXFORD</t>
        </is>
      </c>
      <c r="B111" t="inlineStr">
        <is>
          <t>MARTIN LUTHER KING</t>
        </is>
      </c>
      <c r="C111">
        <v>0.0</v>
      </c>
      <c r="E111" t="inlineStr">
        <is>
          <t>SPRING</t>
        </is>
      </c>
      <c r="F111" t="inlineStr">
        <is>
          <t>MARTIN LUTHER KING</t>
        </is>
      </c>
      <c r="G111" t="inlineStr">
        <is>
          <t>NC 96</t>
        </is>
      </c>
      <c r="H111">
        <v>17.59</v>
      </c>
      <c r="J111">
        <v>108410554</v>
      </c>
      <c r="K111" s="2">
        <v>46077</v>
      </c>
      <c r="L111">
        <v>30</v>
      </c>
      <c r="M111">
        <v>1</v>
      </c>
      <c r="N111">
        <v>7</v>
      </c>
      <c r="O111">
        <v>1</v>
      </c>
      <c r="P111" t="inlineStr">
        <is>
          <t>O</t>
        </is>
      </c>
    </row>
    <row r="112">
      <c r="A112" t="inlineStr">
        <is>
          <t>OXFORD</t>
        </is>
      </c>
      <c r="B112" t="inlineStr">
        <is>
          <t>MARTIN LUTHER KING</t>
        </is>
      </c>
      <c r="C112">
        <v>0.0</v>
      </c>
      <c r="E112" t="inlineStr">
        <is>
          <t>SPRING</t>
        </is>
      </c>
      <c r="F112" t="inlineStr">
        <is>
          <t>GRANVILLE</t>
        </is>
      </c>
      <c r="G112" t="inlineStr">
        <is>
          <t>NC 96</t>
        </is>
      </c>
      <c r="H112">
        <v>17.59</v>
      </c>
      <c r="J112">
        <v>107781271</v>
      </c>
      <c r="K112" s="2">
        <v>45473</v>
      </c>
      <c r="L112">
        <v>30</v>
      </c>
      <c r="M112">
        <v>2</v>
      </c>
      <c r="N112">
        <v>7</v>
      </c>
      <c r="O112">
        <v>1</v>
      </c>
      <c r="P112" t="inlineStr">
        <is>
          <t>O</t>
        </is>
      </c>
    </row>
    <row r="113">
      <c r="A113" t="inlineStr">
        <is>
          <t>OXFORD</t>
        </is>
      </c>
      <c r="B113" t="inlineStr">
        <is>
          <t>MARTIN LUTHER KING</t>
        </is>
      </c>
      <c r="C113">
        <v>0.0</v>
      </c>
      <c r="E113" t="inlineStr">
        <is>
          <t>SPRING</t>
        </is>
      </c>
      <c r="F113" t="inlineStr">
        <is>
          <t>HILLSBORO</t>
        </is>
      </c>
      <c r="G113" t="inlineStr">
        <is>
          <t>NC 96</t>
        </is>
      </c>
      <c r="H113">
        <v>17.59</v>
      </c>
      <c r="J113">
        <v>107917628</v>
      </c>
      <c r="K113" s="2">
        <v>45608</v>
      </c>
      <c r="L113">
        <v>21</v>
      </c>
      <c r="M113">
        <v>1</v>
      </c>
      <c r="N113">
        <v>0</v>
      </c>
      <c r="O113">
        <v>1</v>
      </c>
      <c r="P113" t="inlineStr">
        <is>
          <t>O</t>
        </is>
      </c>
    </row>
    <row r="114">
      <c r="A114" t="inlineStr">
        <is>
          <t>OXFORD</t>
        </is>
      </c>
      <c r="B114" t="inlineStr">
        <is>
          <t>MARTIN LUTHER KING</t>
        </is>
      </c>
      <c r="C114">
        <v>0.0</v>
      </c>
      <c r="E114" t="inlineStr">
        <is>
          <t>SPRING</t>
        </is>
      </c>
      <c r="F114" t="inlineStr">
        <is>
          <t>HILLSBORO</t>
        </is>
      </c>
      <c r="G114" t="inlineStr">
        <is>
          <t>NC 96</t>
        </is>
      </c>
      <c r="H114">
        <v>17.59</v>
      </c>
      <c r="J114">
        <v>107751515</v>
      </c>
      <c r="K114" s="2">
        <v>45457</v>
      </c>
      <c r="L114">
        <v>30</v>
      </c>
      <c r="M114">
        <v>1</v>
      </c>
      <c r="N114">
        <v>0</v>
      </c>
      <c r="O114">
        <v>1</v>
      </c>
      <c r="P114" t="inlineStr">
        <is>
          <t>O</t>
        </is>
      </c>
    </row>
    <row r="115">
      <c r="A115" t="inlineStr">
        <is>
          <t>OXFORD</t>
        </is>
      </c>
      <c r="B115" t="inlineStr">
        <is>
          <t>MARTIN LUTHER KING</t>
        </is>
      </c>
      <c r="C115">
        <v>0.0</v>
      </c>
      <c r="E115" t="inlineStr">
        <is>
          <t>SPRING</t>
        </is>
      </c>
      <c r="F115" t="inlineStr">
        <is>
          <t>HILLSBORO</t>
        </is>
      </c>
      <c r="G115" t="inlineStr">
        <is>
          <t>NC 96</t>
        </is>
      </c>
      <c r="H115">
        <v>17.59</v>
      </c>
      <c r="J115">
        <v>107580773</v>
      </c>
      <c r="K115" s="2">
        <v>45195</v>
      </c>
      <c r="L115">
        <v>21</v>
      </c>
      <c r="M115">
        <v>1</v>
      </c>
      <c r="N115">
        <v>0</v>
      </c>
      <c r="O115">
        <v>1</v>
      </c>
      <c r="P115" t="inlineStr">
        <is>
          <t>O</t>
        </is>
      </c>
    </row>
    <row r="116">
      <c r="A116" t="inlineStr">
        <is>
          <t>OXFORD</t>
        </is>
      </c>
      <c r="B116" t="inlineStr">
        <is>
          <t>MARTIN LUTHER KING</t>
        </is>
      </c>
      <c r="C116">
        <v>0.0</v>
      </c>
      <c r="E116" t="inlineStr">
        <is>
          <t>SPRING</t>
        </is>
      </c>
      <c r="F116" t="inlineStr">
        <is>
          <t>MARTIN LUTHER KING</t>
        </is>
      </c>
      <c r="G116" t="inlineStr">
        <is>
          <t>NC 96</t>
        </is>
      </c>
      <c r="H116">
        <v>17.59</v>
      </c>
      <c r="J116">
        <v>107136874</v>
      </c>
      <c r="K116" s="2">
        <v>44863</v>
      </c>
      <c r="L116">
        <v>22</v>
      </c>
      <c r="M116">
        <v>1</v>
      </c>
      <c r="N116">
        <v>0</v>
      </c>
      <c r="O116">
        <v>1</v>
      </c>
    </row>
    <row r="117">
      <c r="A117" t="inlineStr">
        <is>
          <t>OXFORD</t>
        </is>
      </c>
      <c r="B117" t="inlineStr">
        <is>
          <t>MARTIN LUTHER KING</t>
        </is>
      </c>
      <c r="C117">
        <v>0.0</v>
      </c>
      <c r="E117" t="inlineStr">
        <is>
          <t>SPRING</t>
        </is>
      </c>
      <c r="F117" t="inlineStr">
        <is>
          <t>SPRING</t>
        </is>
      </c>
      <c r="G117" t="inlineStr">
        <is>
          <t>NC 96</t>
        </is>
      </c>
      <c r="H117">
        <v>17.59</v>
      </c>
      <c r="J117">
        <v>107074299</v>
      </c>
      <c r="K117" s="2">
        <v>44815</v>
      </c>
      <c r="L117">
        <v>30</v>
      </c>
      <c r="M117">
        <v>1</v>
      </c>
      <c r="N117">
        <v>0</v>
      </c>
      <c r="O117">
        <v>1</v>
      </c>
      <c r="P117" t="inlineStr">
        <is>
          <t>C</t>
        </is>
      </c>
    </row>
    <row r="118">
      <c r="A118" t="inlineStr">
        <is>
          <t>OXFORD</t>
        </is>
      </c>
      <c r="B118" t="inlineStr">
        <is>
          <t>MARTIN LUTHER KING</t>
        </is>
      </c>
      <c r="C118">
        <v>0.0</v>
      </c>
      <c r="E118" t="inlineStr">
        <is>
          <t>SPRING</t>
        </is>
      </c>
      <c r="F118" t="inlineStr">
        <is>
          <t>HILLSBORO</t>
        </is>
      </c>
      <c r="G118" t="inlineStr">
        <is>
          <t>NC 96</t>
        </is>
      </c>
      <c r="H118">
        <v>17.59</v>
      </c>
      <c r="J118">
        <v>106996484</v>
      </c>
      <c r="K118" s="2">
        <v>44723</v>
      </c>
      <c r="L118">
        <v>21</v>
      </c>
      <c r="M118">
        <v>1</v>
      </c>
      <c r="N118">
        <v>0</v>
      </c>
      <c r="O118">
        <v>2</v>
      </c>
      <c r="P118" t="inlineStr">
        <is>
          <t>O</t>
        </is>
      </c>
    </row>
    <row r="119">
      <c r="A119" t="inlineStr">
        <is>
          <t>OXFORD</t>
        </is>
      </c>
      <c r="B119" t="inlineStr">
        <is>
          <t>MARTIN LUTHER KING</t>
        </is>
      </c>
      <c r="C119">
        <v>0.0</v>
      </c>
      <c r="E119" t="inlineStr">
        <is>
          <t>SPRING</t>
        </is>
      </c>
      <c r="F119" t="inlineStr">
        <is>
          <t>HILLSBORO</t>
        </is>
      </c>
      <c r="G119" t="inlineStr">
        <is>
          <t>NC 96</t>
        </is>
      </c>
      <c r="H119">
        <v>17.59</v>
      </c>
      <c r="J119">
        <v>107036677</v>
      </c>
      <c r="K119" s="2">
        <v>44728</v>
      </c>
      <c r="L119">
        <v>31</v>
      </c>
      <c r="M119">
        <v>1</v>
      </c>
      <c r="N119">
        <v>0</v>
      </c>
      <c r="O119">
        <v>1</v>
      </c>
      <c r="P119" t="inlineStr">
        <is>
          <t>O</t>
        </is>
      </c>
    </row>
    <row r="120">
      <c r="A120" t="inlineStr">
        <is>
          <t>OXFORD</t>
        </is>
      </c>
      <c r="B120" t="inlineStr">
        <is>
          <t>MARTIN LUTHER KING</t>
        </is>
      </c>
      <c r="C120">
        <v>0.0</v>
      </c>
      <c r="E120" t="inlineStr">
        <is>
          <t>SPRING</t>
        </is>
      </c>
      <c r="F120" t="inlineStr">
        <is>
          <t>MARTIN LUTHER KING</t>
        </is>
      </c>
      <c r="G120" t="inlineStr">
        <is>
          <t>NC 96</t>
        </is>
      </c>
      <c r="H120">
        <v>17.59</v>
      </c>
      <c r="J120">
        <v>106915253</v>
      </c>
      <c r="K120" s="2">
        <v>44646</v>
      </c>
      <c r="L120">
        <v>21</v>
      </c>
      <c r="M120">
        <v>1</v>
      </c>
      <c r="N120">
        <v>7</v>
      </c>
      <c r="O120">
        <v>1</v>
      </c>
      <c r="P120" t="inlineStr">
        <is>
          <t>A</t>
        </is>
      </c>
    </row>
    <row r="121">
      <c r="A121" t="inlineStr">
        <is>
          <t>OXFORD</t>
        </is>
      </c>
      <c r="B121" t="inlineStr">
        <is>
          <t>MARTIN LUTHER KING</t>
        </is>
      </c>
      <c r="C121">
        <v>0.0</v>
      </c>
      <c r="E121" t="inlineStr">
        <is>
          <t>SPRING</t>
        </is>
      </c>
      <c r="F121" t="inlineStr">
        <is>
          <t>SPRING</t>
        </is>
      </c>
      <c r="G121" t="inlineStr">
        <is>
          <t>NC 96</t>
        </is>
      </c>
      <c r="H121">
        <v>17.59</v>
      </c>
      <c r="J121">
        <v>106464535</v>
      </c>
      <c r="K121" s="2">
        <v>44203</v>
      </c>
      <c r="L121">
        <v>30</v>
      </c>
      <c r="M121">
        <v>1</v>
      </c>
      <c r="N121">
        <v>0</v>
      </c>
      <c r="O121">
        <v>1</v>
      </c>
      <c r="P121" t="inlineStr">
        <is>
          <t>B</t>
        </is>
      </c>
    </row>
    <row r="122">
      <c r="A122" t="inlineStr">
        <is>
          <t>OXFORD</t>
        </is>
      </c>
      <c r="B122" t="inlineStr">
        <is>
          <t>MARTIN LUTHER KING</t>
        </is>
      </c>
      <c r="C122">
        <v>0.0</v>
      </c>
      <c r="E122" t="inlineStr">
        <is>
          <t>SPRING</t>
        </is>
      </c>
      <c r="F122" t="inlineStr">
        <is>
          <t>SPRING</t>
        </is>
      </c>
      <c r="G122" t="inlineStr">
        <is>
          <t>NC 96</t>
        </is>
      </c>
      <c r="H122">
        <v>17.59</v>
      </c>
      <c r="J122">
        <v>106097128</v>
      </c>
      <c r="K122" s="2">
        <v>43801</v>
      </c>
      <c r="L122">
        <v>21</v>
      </c>
      <c r="M122">
        <v>1</v>
      </c>
      <c r="N122">
        <v>0</v>
      </c>
      <c r="O122">
        <v>1</v>
      </c>
      <c r="P122" t="inlineStr">
        <is>
          <t>O</t>
        </is>
      </c>
    </row>
    <row r="123">
      <c r="A123" t="inlineStr">
        <is>
          <t>OXFORD</t>
        </is>
      </c>
      <c r="B123" t="inlineStr">
        <is>
          <t>MARTIN LUTHER KING</t>
        </is>
      </c>
      <c r="C123">
        <v>0.0</v>
      </c>
      <c r="E123" t="inlineStr">
        <is>
          <t>SPRING</t>
        </is>
      </c>
      <c r="F123" t="inlineStr">
        <is>
          <t>MARTIN LUTHER KING</t>
        </is>
      </c>
      <c r="G123" t="inlineStr">
        <is>
          <t>NC 96</t>
        </is>
      </c>
      <c r="H123">
        <v>17.59</v>
      </c>
      <c r="J123">
        <v>107036300</v>
      </c>
      <c r="K123" s="2">
        <v>44605</v>
      </c>
      <c r="L123">
        <v>21</v>
      </c>
      <c r="M123">
        <v>1</v>
      </c>
      <c r="N123">
        <v>7</v>
      </c>
      <c r="O123">
        <v>2</v>
      </c>
      <c r="P123" t="inlineStr">
        <is>
          <t>O</t>
        </is>
      </c>
    </row>
    <row r="124">
      <c r="A124" t="inlineStr">
        <is>
          <t>OXFORD</t>
        </is>
      </c>
      <c r="B124" t="inlineStr">
        <is>
          <t>MARTIN LUTHER KING</t>
        </is>
      </c>
      <c r="C124">
        <v>0.0</v>
      </c>
      <c r="E124" t="inlineStr">
        <is>
          <t>SPRING</t>
        </is>
      </c>
      <c r="F124" t="inlineStr">
        <is>
          <t>HILLSBORO</t>
        </is>
      </c>
      <c r="G124" t="inlineStr">
        <is>
          <t>NC 96</t>
        </is>
      </c>
      <c r="H124">
        <v>17.59</v>
      </c>
      <c r="J124">
        <v>106238022</v>
      </c>
      <c r="K124" s="2">
        <v>43980</v>
      </c>
      <c r="L124">
        <v>30</v>
      </c>
      <c r="M124">
        <v>1</v>
      </c>
      <c r="N124">
        <v>7</v>
      </c>
      <c r="O124">
        <v>1</v>
      </c>
      <c r="P124" t="inlineStr">
        <is>
          <t>C</t>
        </is>
      </c>
    </row>
    <row r="125">
      <c r="A125" t="inlineStr">
        <is>
          <t>OXFORD</t>
        </is>
      </c>
      <c r="B125" t="inlineStr">
        <is>
          <t>MARTIN LUTHER KING</t>
        </is>
      </c>
      <c r="C125">
        <v>0.0</v>
      </c>
      <c r="E125" t="inlineStr">
        <is>
          <t>SPRING</t>
        </is>
      </c>
      <c r="F125" t="inlineStr">
        <is>
          <t>MARTIN LUTHER KING</t>
        </is>
      </c>
      <c r="G125" t="inlineStr">
        <is>
          <t>NC 96</t>
        </is>
      </c>
      <c r="H125">
        <v>17.59</v>
      </c>
      <c r="J125">
        <v>106061382</v>
      </c>
      <c r="K125" s="2">
        <v>43783</v>
      </c>
      <c r="L125">
        <v>28</v>
      </c>
      <c r="M125">
        <v>1</v>
      </c>
      <c r="N125">
        <v>0</v>
      </c>
      <c r="O125">
        <v>1</v>
      </c>
      <c r="P125" t="inlineStr">
        <is>
          <t>O</t>
        </is>
      </c>
    </row>
    <row r="126">
      <c r="A126" t="inlineStr">
        <is>
          <t>OXFORD</t>
        </is>
      </c>
      <c r="B126" t="inlineStr">
        <is>
          <t>MARTIN LUTHER KING</t>
        </is>
      </c>
      <c r="C126">
        <v>0.0</v>
      </c>
      <c r="E126" t="inlineStr">
        <is>
          <t>SPRING</t>
        </is>
      </c>
      <c r="F126" t="inlineStr">
        <is>
          <t>SYCAMORE</t>
        </is>
      </c>
      <c r="G126" t="inlineStr">
        <is>
          <t>NC 96</t>
        </is>
      </c>
      <c r="H126">
        <v>17.59</v>
      </c>
      <c r="J126">
        <v>105397737</v>
      </c>
      <c r="K126" s="2">
        <v>43161</v>
      </c>
      <c r="L126">
        <v>30</v>
      </c>
      <c r="M126">
        <v>1</v>
      </c>
      <c r="N126">
        <v>0</v>
      </c>
      <c r="O126">
        <v>4</v>
      </c>
    </row>
    <row r="127">
      <c r="A127" t="inlineStr">
        <is>
          <t>OXFORD</t>
        </is>
      </c>
      <c r="B127" t="inlineStr">
        <is>
          <t>MARTIN LUTHER KING</t>
        </is>
      </c>
      <c r="C127">
        <v>0.0</v>
      </c>
      <c r="E127" t="inlineStr">
        <is>
          <t>SPRING</t>
        </is>
      </c>
      <c r="F127" t="inlineStr">
        <is>
          <t>HILLSBORO</t>
        </is>
      </c>
      <c r="G127" t="inlineStr">
        <is>
          <t>NC 96</t>
        </is>
      </c>
      <c r="H127">
        <v>17.59</v>
      </c>
      <c r="J127">
        <v>105421874</v>
      </c>
      <c r="K127" s="2">
        <v>43183</v>
      </c>
      <c r="L127">
        <v>30</v>
      </c>
      <c r="M127">
        <v>6</v>
      </c>
      <c r="N127">
        <v>7</v>
      </c>
      <c r="O127">
        <v>4</v>
      </c>
      <c r="P127" t="inlineStr">
        <is>
          <t>C</t>
        </is>
      </c>
    </row>
    <row r="128">
      <c r="A128" t="inlineStr">
        <is>
          <t>OXFORD</t>
        </is>
      </c>
      <c r="B128" t="inlineStr">
        <is>
          <t>MARTIN LUTHER KING</t>
        </is>
      </c>
      <c r="C128">
        <v>0.0</v>
      </c>
      <c r="E128" t="inlineStr">
        <is>
          <t>SPRING</t>
        </is>
      </c>
      <c r="F128" t="inlineStr">
        <is>
          <t>HILLSBORO</t>
        </is>
      </c>
      <c r="G128" t="inlineStr">
        <is>
          <t>NC 96</t>
        </is>
      </c>
      <c r="H128">
        <v>17.59</v>
      </c>
      <c r="J128">
        <v>105115262</v>
      </c>
      <c r="K128" s="2">
        <v>42880</v>
      </c>
      <c r="L128">
        <v>24</v>
      </c>
      <c r="M128">
        <v>2</v>
      </c>
      <c r="N128">
        <v>0</v>
      </c>
      <c r="O128">
        <v>1</v>
      </c>
      <c r="P128" t="inlineStr">
        <is>
          <t>O</t>
        </is>
      </c>
    </row>
    <row r="129">
      <c r="A129" t="inlineStr">
        <is>
          <t>OXFORD</t>
        </is>
      </c>
      <c r="B129" t="inlineStr">
        <is>
          <t>MARTIN LUTHER KING</t>
        </is>
      </c>
      <c r="C129">
        <v>0.0</v>
      </c>
      <c r="E129" t="inlineStr">
        <is>
          <t>SPRING</t>
        </is>
      </c>
      <c r="F129" t="inlineStr">
        <is>
          <t>SPRING</t>
        </is>
      </c>
      <c r="G129" t="inlineStr">
        <is>
          <t>NC 96</t>
        </is>
      </c>
      <c r="H129">
        <v>17.59</v>
      </c>
      <c r="J129">
        <v>105030848</v>
      </c>
      <c r="K129" s="2">
        <v>42802</v>
      </c>
      <c r="L129">
        <v>32</v>
      </c>
      <c r="M129">
        <v>1</v>
      </c>
      <c r="N129">
        <v>7</v>
      </c>
      <c r="O129">
        <v>1</v>
      </c>
      <c r="P129" t="inlineStr">
        <is>
          <t>C</t>
        </is>
      </c>
    </row>
    <row r="130">
      <c r="A130" t="inlineStr">
        <is>
          <t>OXFORD</t>
        </is>
      </c>
      <c r="B130" t="inlineStr">
        <is>
          <t>MARTIN LUTHER KING</t>
        </is>
      </c>
      <c r="C130">
        <v>0.0</v>
      </c>
      <c r="E130" t="inlineStr">
        <is>
          <t>SPRING</t>
        </is>
      </c>
      <c r="F130" t="inlineStr">
        <is>
          <t>GRANVILLE</t>
        </is>
      </c>
      <c r="G130" t="inlineStr">
        <is>
          <t>NC 96</t>
        </is>
      </c>
      <c r="H130">
        <v>17.59</v>
      </c>
      <c r="J130">
        <v>105336080</v>
      </c>
      <c r="K130" s="2">
        <v>43099</v>
      </c>
      <c r="L130">
        <v>30</v>
      </c>
      <c r="M130">
        <v>1</v>
      </c>
      <c r="N130">
        <v>0</v>
      </c>
      <c r="O130">
        <v>4</v>
      </c>
      <c r="P130" t="inlineStr">
        <is>
          <t>O</t>
        </is>
      </c>
    </row>
    <row r="131">
      <c r="A131" t="inlineStr">
        <is>
          <t>OXFORD</t>
        </is>
      </c>
      <c r="B131" t="inlineStr">
        <is>
          <t>MARTIN LUTHER KING</t>
        </is>
      </c>
      <c r="C131">
        <v>0.0</v>
      </c>
      <c r="E131" t="inlineStr">
        <is>
          <t>SPRING</t>
        </is>
      </c>
      <c r="F131" t="inlineStr">
        <is>
          <t>HUNT</t>
        </is>
      </c>
      <c r="G131" t="inlineStr">
        <is>
          <t>NC 96</t>
        </is>
      </c>
      <c r="H131">
        <v>17.59</v>
      </c>
      <c r="J131">
        <v>105076245</v>
      </c>
      <c r="K131" s="2">
        <v>42850</v>
      </c>
      <c r="L131">
        <v>30</v>
      </c>
      <c r="M131">
        <v>1</v>
      </c>
      <c r="N131">
        <v>7</v>
      </c>
      <c r="O131">
        <v>1</v>
      </c>
      <c r="P131" t="inlineStr">
        <is>
          <t>O</t>
        </is>
      </c>
    </row>
    <row r="132">
      <c r="A132" t="inlineStr">
        <is>
          <t>OXFORD</t>
        </is>
      </c>
      <c r="B132" t="inlineStr">
        <is>
          <t>RALEIGH</t>
        </is>
      </c>
      <c r="C132">
        <v>0.0</v>
      </c>
      <c r="D132" t="inlineStr">
        <is>
          <t>S</t>
        </is>
      </c>
      <c r="E132" t="inlineStr">
        <is>
          <t>SPRING</t>
        </is>
      </c>
      <c r="F132" t="inlineStr">
        <is>
          <t>OXFORD</t>
        </is>
      </c>
      <c r="G132" t="inlineStr">
        <is>
          <t>RALEIGH</t>
        </is>
      </c>
      <c r="H132">
        <v>999.999</v>
      </c>
      <c r="J132">
        <v>106680830</v>
      </c>
      <c r="K132" s="2">
        <v>44435</v>
      </c>
      <c r="L132">
        <v>3</v>
      </c>
      <c r="M132">
        <v>1</v>
      </c>
      <c r="N132">
        <v>0</v>
      </c>
      <c r="O132">
        <v>1</v>
      </c>
      <c r="P132" t="inlineStr">
        <is>
          <t>O</t>
        </is>
      </c>
    </row>
    <row r="133">
      <c r="A133" t="inlineStr">
        <is>
          <t>OXFORD</t>
        </is>
      </c>
      <c r="B133" t="inlineStr">
        <is>
          <t>GRANVILLE</t>
        </is>
      </c>
      <c r="C133">
        <v>0.0</v>
      </c>
      <c r="E133" t="inlineStr">
        <is>
          <t>SPRING</t>
        </is>
      </c>
      <c r="F133" t="inlineStr">
        <is>
          <t>SYCAMORE</t>
        </is>
      </c>
      <c r="G133" t="inlineStr">
        <is>
          <t>SPRING</t>
        </is>
      </c>
      <c r="H133">
        <v>0.09</v>
      </c>
      <c r="J133">
        <v>108460018</v>
      </c>
      <c r="K133" s="2">
        <v>46115</v>
      </c>
      <c r="L133">
        <v>23</v>
      </c>
      <c r="M133">
        <v>1</v>
      </c>
      <c r="N133">
        <v>7</v>
      </c>
      <c r="O133">
        <v>1</v>
      </c>
      <c r="P133" t="inlineStr">
        <is>
          <t>C</t>
        </is>
      </c>
    </row>
    <row r="134">
      <c r="A134" t="inlineStr">
        <is>
          <t>OXFORD</t>
        </is>
      </c>
      <c r="B134" t="inlineStr">
        <is>
          <t>GRANVILLE</t>
        </is>
      </c>
      <c r="C134">
        <v>0.0</v>
      </c>
      <c r="E134" t="inlineStr">
        <is>
          <t>SPRING</t>
        </is>
      </c>
      <c r="F134" t="inlineStr">
        <is>
          <t>SYCAMORE</t>
        </is>
      </c>
      <c r="G134" t="inlineStr">
        <is>
          <t>SPRING</t>
        </is>
      </c>
      <c r="H134">
        <v>0.09</v>
      </c>
      <c r="J134">
        <v>105573027</v>
      </c>
      <c r="K134" s="2">
        <v>43310</v>
      </c>
      <c r="L134">
        <v>30</v>
      </c>
      <c r="M134">
        <v>1</v>
      </c>
      <c r="N134">
        <v>0</v>
      </c>
      <c r="O134">
        <v>1</v>
      </c>
      <c r="P134" t="inlineStr">
        <is>
          <t>B</t>
        </is>
      </c>
    </row>
    <row r="135">
      <c r="A135" t="inlineStr">
        <is>
          <t>OXFORD</t>
        </is>
      </c>
      <c r="B135" t="inlineStr">
        <is>
          <t>SPRING</t>
        </is>
      </c>
      <c r="C135">
        <v>0.0</v>
      </c>
      <c r="E135" t="inlineStr">
        <is>
          <t>GRANVILLE</t>
        </is>
      </c>
      <c r="F135" t="inlineStr">
        <is>
          <t>GRANVILLE</t>
        </is>
      </c>
      <c r="G135" t="inlineStr">
        <is>
          <t>SPRING</t>
        </is>
      </c>
      <c r="H135">
        <v>0.09</v>
      </c>
      <c r="J135">
        <v>108242628</v>
      </c>
      <c r="K135" s="2">
        <v>45916</v>
      </c>
      <c r="L135">
        <v>2</v>
      </c>
      <c r="M135">
        <v>1</v>
      </c>
      <c r="N135">
        <v>0</v>
      </c>
      <c r="O135">
        <v>1</v>
      </c>
      <c r="P135" t="inlineStr">
        <is>
          <t>C</t>
        </is>
      </c>
    </row>
    <row r="136">
      <c r="A136" t="inlineStr">
        <is>
          <t>OXFORD</t>
        </is>
      </c>
      <c r="B136" t="inlineStr">
        <is>
          <t>SPRING</t>
        </is>
      </c>
      <c r="C136">
        <v>0.0</v>
      </c>
      <c r="E136" t="inlineStr">
        <is>
          <t>GRANVILLE</t>
        </is>
      </c>
      <c r="F136" t="inlineStr">
        <is>
          <t>MAIN</t>
        </is>
      </c>
      <c r="G136" t="inlineStr">
        <is>
          <t>SPRING</t>
        </is>
      </c>
      <c r="H136">
        <v>0.09</v>
      </c>
      <c r="J136">
        <v>107935640</v>
      </c>
      <c r="K136" s="2">
        <v>45608</v>
      </c>
      <c r="L136">
        <v>30</v>
      </c>
      <c r="M136">
        <v>1</v>
      </c>
      <c r="N136">
        <v>0</v>
      </c>
      <c r="O136">
        <v>4</v>
      </c>
      <c r="P136" t="inlineStr">
        <is>
          <t>O</t>
        </is>
      </c>
    </row>
    <row r="137">
      <c r="A137" t="inlineStr">
        <is>
          <t>OXFORD</t>
        </is>
      </c>
      <c r="B137" t="inlineStr">
        <is>
          <t>SPRING</t>
        </is>
      </c>
      <c r="C137">
        <v>0.0</v>
      </c>
      <c r="E137" t="inlineStr">
        <is>
          <t>GRANVILLE</t>
        </is>
      </c>
      <c r="F137" t="inlineStr">
        <is>
          <t>ORANGE</t>
        </is>
      </c>
      <c r="G137" t="inlineStr">
        <is>
          <t>SPRING</t>
        </is>
      </c>
      <c r="H137">
        <v>0.09</v>
      </c>
      <c r="J137">
        <v>107575368</v>
      </c>
      <c r="K137" s="2">
        <v>45265</v>
      </c>
      <c r="L137">
        <v>32</v>
      </c>
      <c r="M137">
        <v>1</v>
      </c>
      <c r="N137">
        <v>0</v>
      </c>
      <c r="O137">
        <v>2</v>
      </c>
      <c r="P137" t="inlineStr">
        <is>
          <t>C</t>
        </is>
      </c>
    </row>
    <row r="138">
      <c r="A138" t="inlineStr">
        <is>
          <t>OXFORD</t>
        </is>
      </c>
      <c r="B138" t="inlineStr">
        <is>
          <t>SPRING</t>
        </is>
      </c>
      <c r="C138">
        <v>0.0</v>
      </c>
      <c r="E138" t="inlineStr">
        <is>
          <t>GRANVILLE</t>
        </is>
      </c>
      <c r="F138" t="inlineStr">
        <is>
          <t>MARTIN LUTHER KING</t>
        </is>
      </c>
      <c r="G138" t="inlineStr">
        <is>
          <t>SPRING</t>
        </is>
      </c>
      <c r="H138">
        <v>0.09</v>
      </c>
      <c r="J138">
        <v>106996485</v>
      </c>
      <c r="K138" s="2">
        <v>44728</v>
      </c>
      <c r="L138">
        <v>28</v>
      </c>
      <c r="M138">
        <v>1</v>
      </c>
      <c r="N138">
        <v>0</v>
      </c>
      <c r="O138">
        <v>1</v>
      </c>
      <c r="P138" t="inlineStr">
        <is>
          <t>O</t>
        </is>
      </c>
    </row>
    <row r="139">
      <c r="A139" t="inlineStr">
        <is>
          <t>OXFORD</t>
        </is>
      </c>
      <c r="B139" t="inlineStr">
        <is>
          <t>SPRING</t>
        </is>
      </c>
      <c r="C139">
        <v>0.0</v>
      </c>
      <c r="E139" t="inlineStr">
        <is>
          <t>GRANVILLE</t>
        </is>
      </c>
      <c r="F139" t="inlineStr">
        <is>
          <t>MARTIN LUTHER KING</t>
        </is>
      </c>
      <c r="G139" t="inlineStr">
        <is>
          <t>SPRING</t>
        </is>
      </c>
      <c r="H139">
        <v>0.09</v>
      </c>
      <c r="J139">
        <v>105771423</v>
      </c>
      <c r="K139" s="2">
        <v>43501</v>
      </c>
      <c r="L139">
        <v>21</v>
      </c>
      <c r="M139">
        <v>1</v>
      </c>
      <c r="N139">
        <v>0</v>
      </c>
      <c r="O139">
        <v>1</v>
      </c>
      <c r="P139" t="inlineStr">
        <is>
          <t>C</t>
        </is>
      </c>
    </row>
    <row r="140">
      <c r="A140" t="inlineStr">
        <is>
          <t>OXFORD</t>
        </is>
      </c>
      <c r="B140" t="inlineStr">
        <is>
          <t>SPRING</t>
        </is>
      </c>
      <c r="C140">
        <v>0.0</v>
      </c>
      <c r="E140" t="inlineStr">
        <is>
          <t>GRANVILLE</t>
        </is>
      </c>
      <c r="F140" t="inlineStr">
        <is>
          <t>MARTIN LUTHER KING</t>
        </is>
      </c>
      <c r="G140" t="inlineStr">
        <is>
          <t>SPRING</t>
        </is>
      </c>
      <c r="H140">
        <v>0.09</v>
      </c>
      <c r="J140">
        <v>105115267</v>
      </c>
      <c r="K140" s="2">
        <v>42852</v>
      </c>
      <c r="L140">
        <v>30</v>
      </c>
      <c r="M140">
        <v>1</v>
      </c>
      <c r="N140">
        <v>0</v>
      </c>
      <c r="O140">
        <v>1</v>
      </c>
      <c r="P140" t="inlineStr">
        <is>
          <t>C</t>
        </is>
      </c>
    </row>
    <row r="141">
      <c r="A141" t="inlineStr">
        <is>
          <t>OXFORD</t>
        </is>
      </c>
      <c r="B141" t="inlineStr">
        <is>
          <t>SPRING</t>
        </is>
      </c>
      <c r="C141">
        <v>0.0</v>
      </c>
      <c r="E141" t="inlineStr">
        <is>
          <t>GRANVILLE</t>
        </is>
      </c>
      <c r="F141" t="inlineStr">
        <is>
          <t>MARTIN LUTHER KING</t>
        </is>
      </c>
      <c r="G141" t="inlineStr">
        <is>
          <t>SPRING</t>
        </is>
      </c>
      <c r="H141">
        <v>0.09</v>
      </c>
      <c r="J141">
        <v>107674223</v>
      </c>
      <c r="K141" s="2">
        <v>45372</v>
      </c>
      <c r="L141">
        <v>28</v>
      </c>
      <c r="M141">
        <v>1</v>
      </c>
      <c r="N141">
        <v>0</v>
      </c>
      <c r="O141">
        <v>1</v>
      </c>
      <c r="P141" t="inlineStr">
        <is>
          <t>O</t>
        </is>
      </c>
    </row>
    <row r="142">
      <c r="A142" t="inlineStr">
        <is>
          <t>OXFORD</t>
        </is>
      </c>
      <c r="B142" t="inlineStr">
        <is>
          <t>SPRING</t>
        </is>
      </c>
      <c r="C142">
        <v>0.0</v>
      </c>
      <c r="E142" t="inlineStr">
        <is>
          <t>WALL</t>
        </is>
      </c>
      <c r="F142" t="inlineStr">
        <is>
          <t>MARTIN LUTHER KING</t>
        </is>
      </c>
      <c r="G142" t="inlineStr">
        <is>
          <t>SPRING</t>
        </is>
      </c>
      <c r="H142">
        <v>0.22</v>
      </c>
      <c r="J142">
        <v>107101708</v>
      </c>
      <c r="K142" s="2">
        <v>44840</v>
      </c>
      <c r="L142">
        <v>26</v>
      </c>
      <c r="M142">
        <v>1</v>
      </c>
      <c r="N142">
        <v>0</v>
      </c>
      <c r="O142">
        <v>1</v>
      </c>
      <c r="P142" t="inlineStr">
        <is>
          <t>O</t>
        </is>
      </c>
    </row>
    <row r="143">
      <c r="A143" t="inlineStr">
        <is>
          <t>OXFORD</t>
        </is>
      </c>
      <c r="B143" t="inlineStr">
        <is>
          <t>WALL</t>
        </is>
      </c>
      <c r="C143">
        <v>0.0</v>
      </c>
      <c r="E143" t="inlineStr">
        <is>
          <t>SPRING</t>
        </is>
      </c>
      <c r="G143" t="inlineStr">
        <is>
          <t>SPRING</t>
        </is>
      </c>
      <c r="H143">
        <v>0.22</v>
      </c>
      <c r="J143">
        <v>107164598</v>
      </c>
      <c r="K143" s="2">
        <v>44895</v>
      </c>
      <c r="L143">
        <v>31</v>
      </c>
      <c r="M143">
        <v>1</v>
      </c>
      <c r="N143">
        <v>0</v>
      </c>
      <c r="O143">
        <v>1</v>
      </c>
    </row>
    <row r="144">
      <c r="A144" t="inlineStr">
        <is>
          <t>OXFORD</t>
        </is>
      </c>
      <c r="B144" t="inlineStr">
        <is>
          <t>WALL</t>
        </is>
      </c>
      <c r="C144">
        <v>0.0</v>
      </c>
      <c r="E144" t="inlineStr">
        <is>
          <t>SPRING</t>
        </is>
      </c>
      <c r="F144" t="inlineStr">
        <is>
          <t>HILLSBORO</t>
        </is>
      </c>
      <c r="G144" t="inlineStr">
        <is>
          <t>SPRING</t>
        </is>
      </c>
      <c r="H144">
        <v>0.22</v>
      </c>
      <c r="J144">
        <v>106577549</v>
      </c>
      <c r="K144" s="2">
        <v>44327</v>
      </c>
      <c r="L144">
        <v>30</v>
      </c>
      <c r="M144">
        <v>1</v>
      </c>
      <c r="N144">
        <v>0</v>
      </c>
      <c r="O144">
        <v>1</v>
      </c>
      <c r="P144" t="inlineStr">
        <is>
          <t>O</t>
        </is>
      </c>
      <c r="Q144">
        <v>36.309759</v>
      </c>
      <c r="R144">
        <v>-78.588781</v>
      </c>
      <c r="S144" t="inlineStr">
        <is>
          <t>ITRE_CMV</t>
        </is>
      </c>
    </row>
    <row r="145">
      <c r="A145" t="inlineStr">
        <is>
          <t>OXFORD</t>
        </is>
      </c>
      <c r="B145" t="inlineStr">
        <is>
          <t>WALL</t>
        </is>
      </c>
      <c r="C145">
        <v>0.0</v>
      </c>
      <c r="E145" t="inlineStr">
        <is>
          <t>SPRING</t>
        </is>
      </c>
      <c r="F145" t="inlineStr">
        <is>
          <t>HILLSBORO</t>
        </is>
      </c>
      <c r="G145" t="inlineStr">
        <is>
          <t>SPRING</t>
        </is>
      </c>
      <c r="H145">
        <v>0.22</v>
      </c>
      <c r="J145">
        <v>105616476</v>
      </c>
      <c r="K145" s="2">
        <v>43370</v>
      </c>
      <c r="L145">
        <v>29</v>
      </c>
      <c r="M145">
        <v>2</v>
      </c>
      <c r="N145">
        <v>4</v>
      </c>
      <c r="O145">
        <v>1</v>
      </c>
      <c r="P145" t="inlineStr">
        <is>
          <t>O</t>
        </is>
      </c>
    </row>
    <row r="146">
      <c r="A146" t="inlineStr">
        <is>
          <t>OXFORD</t>
        </is>
      </c>
      <c r="B146" t="inlineStr">
        <is>
          <t>SPRING</t>
        </is>
      </c>
      <c r="C146">
        <v>0.0</v>
      </c>
      <c r="E146" t="inlineStr">
        <is>
          <t>MAIN</t>
        </is>
      </c>
      <c r="F146" t="inlineStr">
        <is>
          <t>MAIN</t>
        </is>
      </c>
      <c r="G146" t="inlineStr">
        <is>
          <t>SPRING</t>
        </is>
      </c>
      <c r="H146">
        <v>0.31</v>
      </c>
      <c r="J146">
        <v>106899135</v>
      </c>
      <c r="K146" s="2">
        <v>44606</v>
      </c>
      <c r="L146">
        <v>30</v>
      </c>
      <c r="M146">
        <v>1</v>
      </c>
      <c r="N146">
        <v>0</v>
      </c>
      <c r="O146">
        <v>1</v>
      </c>
      <c r="P146" t="inlineStr">
        <is>
          <t>O</t>
        </is>
      </c>
    </row>
    <row r="147">
      <c r="A147" t="inlineStr">
        <is>
          <t>OXFORD</t>
        </is>
      </c>
      <c r="B147" t="inlineStr">
        <is>
          <t>SPRING</t>
        </is>
      </c>
      <c r="C147">
        <v>0.0</v>
      </c>
      <c r="E147" t="inlineStr">
        <is>
          <t>MAIN</t>
        </is>
      </c>
      <c r="F147" t="inlineStr">
        <is>
          <t>MAIN</t>
        </is>
      </c>
      <c r="G147" t="inlineStr">
        <is>
          <t>SPRING</t>
        </is>
      </c>
      <c r="H147">
        <v>0.31</v>
      </c>
      <c r="J147">
        <v>106097127</v>
      </c>
      <c r="K147" s="2">
        <v>43805</v>
      </c>
      <c r="L147">
        <v>21</v>
      </c>
      <c r="M147">
        <v>1</v>
      </c>
      <c r="N147">
        <v>7</v>
      </c>
      <c r="O147">
        <v>4</v>
      </c>
      <c r="P147" t="inlineStr">
        <is>
          <t>C</t>
        </is>
      </c>
    </row>
    <row r="148">
      <c r="A148" t="inlineStr">
        <is>
          <t>OXFORD</t>
        </is>
      </c>
      <c r="B148" t="inlineStr">
        <is>
          <t>SPRING</t>
        </is>
      </c>
      <c r="C148">
        <v>0.0</v>
      </c>
      <c r="E148" t="inlineStr">
        <is>
          <t>MAIN</t>
        </is>
      </c>
      <c r="F148" t="inlineStr">
        <is>
          <t>WALL</t>
        </is>
      </c>
      <c r="G148" t="inlineStr">
        <is>
          <t>SPRING</t>
        </is>
      </c>
      <c r="H148">
        <v>0.31</v>
      </c>
      <c r="J148">
        <v>105273794</v>
      </c>
      <c r="K148" s="2">
        <v>43041</v>
      </c>
      <c r="L148">
        <v>31</v>
      </c>
      <c r="M148">
        <v>1</v>
      </c>
      <c r="N148">
        <v>0</v>
      </c>
      <c r="O148">
        <v>1</v>
      </c>
      <c r="P148" t="inlineStr">
        <is>
          <t>O</t>
        </is>
      </c>
    </row>
    <row r="149">
      <c r="A149" t="inlineStr">
        <is>
          <t>OXFORD</t>
        </is>
      </c>
      <c r="B149" t="inlineStr">
        <is>
          <t>SPRING</t>
        </is>
      </c>
      <c r="C149">
        <v>0.0</v>
      </c>
      <c r="E149" t="inlineStr">
        <is>
          <t>MAIN</t>
        </is>
      </c>
      <c r="F149" t="inlineStr">
        <is>
          <t>MAIN</t>
        </is>
      </c>
      <c r="G149" t="inlineStr">
        <is>
          <t>SPRING</t>
        </is>
      </c>
      <c r="H149">
        <v>0.31</v>
      </c>
      <c r="J149">
        <v>105172416</v>
      </c>
      <c r="K149" s="2">
        <v>42935</v>
      </c>
      <c r="L149">
        <v>31</v>
      </c>
      <c r="M149">
        <v>1</v>
      </c>
      <c r="N149">
        <v>0</v>
      </c>
      <c r="O149">
        <v>1</v>
      </c>
      <c r="P149" t="inlineStr">
        <is>
          <t>O</t>
        </is>
      </c>
    </row>
    <row r="150">
      <c r="A150" t="inlineStr">
        <is>
          <t>OXFORD</t>
        </is>
      </c>
      <c r="B150" t="inlineStr">
        <is>
          <t>SPRING</t>
        </is>
      </c>
      <c r="C150">
        <v>0.0</v>
      </c>
      <c r="D150" t="inlineStr">
        <is>
          <t>E</t>
        </is>
      </c>
      <c r="E150" t="inlineStr">
        <is>
          <t>MAIN</t>
        </is>
      </c>
      <c r="F150" t="inlineStr">
        <is>
          <t>WILLIAMSBORO</t>
        </is>
      </c>
      <c r="G150" t="inlineStr">
        <is>
          <t>SPRING</t>
        </is>
      </c>
      <c r="H150">
        <v>0.31</v>
      </c>
      <c r="J150">
        <v>105532814</v>
      </c>
      <c r="K150" s="2">
        <v>43284</v>
      </c>
      <c r="L150">
        <v>32</v>
      </c>
      <c r="M150">
        <v>1</v>
      </c>
      <c r="N150">
        <v>0</v>
      </c>
      <c r="O150">
        <v>1</v>
      </c>
      <c r="P150" t="inlineStr">
        <is>
          <t>O</t>
        </is>
      </c>
    </row>
    <row r="151">
      <c r="A151" t="inlineStr">
        <is>
          <t>OXFORD</t>
        </is>
      </c>
      <c r="B151" t="inlineStr">
        <is>
          <t>SPRING</t>
        </is>
      </c>
      <c r="C151">
        <v>0.0</v>
      </c>
      <c r="E151" t="inlineStr">
        <is>
          <t>GILLIAM</t>
        </is>
      </c>
      <c r="F151" t="inlineStr">
        <is>
          <t>WILLIAMSBORO</t>
        </is>
      </c>
      <c r="G151" t="inlineStr">
        <is>
          <t>SPRING</t>
        </is>
      </c>
      <c r="H151">
        <v>0.4</v>
      </c>
      <c r="J151">
        <v>107902716</v>
      </c>
      <c r="K151" s="2">
        <v>45595</v>
      </c>
      <c r="L151">
        <v>30</v>
      </c>
      <c r="M151">
        <v>1</v>
      </c>
      <c r="N151">
        <v>0</v>
      </c>
      <c r="O151">
        <v>5</v>
      </c>
    </row>
    <row r="152">
      <c r="A152" t="inlineStr">
        <is>
          <t>OXFORD</t>
        </is>
      </c>
      <c r="B152" t="inlineStr">
        <is>
          <t>SPRING</t>
        </is>
      </c>
      <c r="C152">
        <v>0.0</v>
      </c>
      <c r="E152" t="inlineStr">
        <is>
          <t>GILLIAM</t>
        </is>
      </c>
      <c r="F152" t="inlineStr">
        <is>
          <t>BELL</t>
        </is>
      </c>
      <c r="G152" t="inlineStr">
        <is>
          <t>SPRING</t>
        </is>
      </c>
      <c r="H152">
        <v>0.4</v>
      </c>
      <c r="J152">
        <v>105988533</v>
      </c>
      <c r="K152" s="2">
        <v>43722</v>
      </c>
      <c r="L152">
        <v>0</v>
      </c>
      <c r="M152">
        <v>1</v>
      </c>
      <c r="N152">
        <v>0</v>
      </c>
      <c r="O152">
        <v>1</v>
      </c>
    </row>
    <row r="153">
      <c r="A153" t="inlineStr">
        <is>
          <t>OXFORD</t>
        </is>
      </c>
      <c r="B153" t="inlineStr">
        <is>
          <t>SPRING</t>
        </is>
      </c>
      <c r="C153">
        <v>0.009</v>
      </c>
      <c r="D153" t="inlineStr">
        <is>
          <t>E</t>
        </is>
      </c>
      <c r="E153" t="inlineStr">
        <is>
          <t>GILLIAM</t>
        </is>
      </c>
      <c r="F153" t="inlineStr">
        <is>
          <t>GILLIAM</t>
        </is>
      </c>
      <c r="G153" t="inlineStr">
        <is>
          <t>SPRING</t>
        </is>
      </c>
      <c r="H153">
        <v>0.409</v>
      </c>
      <c r="J153">
        <v>107036682</v>
      </c>
      <c r="K153" s="2">
        <v>44760</v>
      </c>
      <c r="L153">
        <v>31</v>
      </c>
      <c r="M153">
        <v>1</v>
      </c>
      <c r="N153">
        <v>0</v>
      </c>
      <c r="O153">
        <v>1</v>
      </c>
      <c r="P153" t="inlineStr">
        <is>
          <t>O</t>
        </is>
      </c>
    </row>
    <row r="154">
      <c r="A154" t="inlineStr">
        <is>
          <t>OXFORD</t>
        </is>
      </c>
      <c r="B154" t="inlineStr">
        <is>
          <t>BELL</t>
        </is>
      </c>
      <c r="C154">
        <v>0.0</v>
      </c>
      <c r="E154" t="inlineStr">
        <is>
          <t>SPRING</t>
        </is>
      </c>
      <c r="F154" t="inlineStr">
        <is>
          <t>BELL</t>
        </is>
      </c>
      <c r="G154" t="inlineStr">
        <is>
          <t>SPRING</t>
        </is>
      </c>
      <c r="H154">
        <v>0.47</v>
      </c>
      <c r="J154">
        <v>107036687</v>
      </c>
      <c r="K154" s="2">
        <v>44694</v>
      </c>
      <c r="L154">
        <v>21</v>
      </c>
      <c r="M154">
        <v>1</v>
      </c>
      <c r="N154">
        <v>0</v>
      </c>
      <c r="O154">
        <v>1</v>
      </c>
      <c r="P154" t="inlineStr">
        <is>
          <t>O</t>
        </is>
      </c>
    </row>
    <row r="155">
      <c r="A155" t="inlineStr">
        <is>
          <t>OXFORD</t>
        </is>
      </c>
      <c r="B155" t="inlineStr">
        <is>
          <t>BELL</t>
        </is>
      </c>
      <c r="C155">
        <v>0.0</v>
      </c>
      <c r="E155" t="inlineStr">
        <is>
          <t>SPRING</t>
        </is>
      </c>
      <c r="F155" t="inlineStr">
        <is>
          <t>HIGH</t>
        </is>
      </c>
      <c r="G155" t="inlineStr">
        <is>
          <t>SPRING</t>
        </is>
      </c>
      <c r="H155">
        <v>0.47</v>
      </c>
      <c r="J155">
        <v>106209839</v>
      </c>
      <c r="K155" s="2">
        <v>43942</v>
      </c>
      <c r="L155">
        <v>21</v>
      </c>
      <c r="M155">
        <v>1</v>
      </c>
      <c r="N155">
        <v>0</v>
      </c>
      <c r="O155">
        <v>1</v>
      </c>
      <c r="P155" t="inlineStr">
        <is>
          <t>C</t>
        </is>
      </c>
    </row>
    <row r="156">
      <c r="A156" t="inlineStr">
        <is>
          <t>OXFORD</t>
        </is>
      </c>
      <c r="B156" t="inlineStr">
        <is>
          <t>SPRING</t>
        </is>
      </c>
      <c r="C156">
        <v>0.0</v>
      </c>
      <c r="E156" t="inlineStr">
        <is>
          <t>BELL</t>
        </is>
      </c>
      <c r="F156" t="inlineStr">
        <is>
          <t>WILLIAMSBORO</t>
        </is>
      </c>
      <c r="G156" t="inlineStr">
        <is>
          <t>SPRING</t>
        </is>
      </c>
      <c r="H156">
        <v>0.47</v>
      </c>
      <c r="J156">
        <v>108009651</v>
      </c>
      <c r="K156" s="2">
        <v>45692</v>
      </c>
      <c r="L156">
        <v>30</v>
      </c>
      <c r="M156">
        <v>1</v>
      </c>
      <c r="N156">
        <v>0</v>
      </c>
      <c r="O156">
        <v>1</v>
      </c>
      <c r="P156" t="inlineStr">
        <is>
          <t>O</t>
        </is>
      </c>
    </row>
    <row r="157">
      <c r="A157" t="inlineStr">
        <is>
          <t>OXFORD</t>
        </is>
      </c>
      <c r="B157" t="inlineStr">
        <is>
          <t>SPRING</t>
        </is>
      </c>
      <c r="C157">
        <v>0.0</v>
      </c>
      <c r="E157" t="inlineStr">
        <is>
          <t>BELL</t>
        </is>
      </c>
      <c r="F157" t="inlineStr">
        <is>
          <t>BELL</t>
        </is>
      </c>
      <c r="G157" t="inlineStr">
        <is>
          <t>SPRING</t>
        </is>
      </c>
      <c r="H157">
        <v>0.47</v>
      </c>
      <c r="J157">
        <v>106974955</v>
      </c>
      <c r="K157" s="2">
        <v>44628</v>
      </c>
      <c r="L157">
        <v>13</v>
      </c>
      <c r="M157">
        <v>1</v>
      </c>
      <c r="N157">
        <v>0</v>
      </c>
      <c r="O157">
        <v>1</v>
      </c>
      <c r="P157" t="inlineStr">
        <is>
          <t>O</t>
        </is>
      </c>
    </row>
    <row r="158">
      <c r="A158" t="inlineStr">
        <is>
          <t>OXFORD</t>
        </is>
      </c>
      <c r="B158" t="inlineStr">
        <is>
          <t>SPRING</t>
        </is>
      </c>
      <c r="C158">
        <v>0.0</v>
      </c>
      <c r="E158" t="inlineStr">
        <is>
          <t>BELL</t>
        </is>
      </c>
      <c r="F158" t="inlineStr">
        <is>
          <t>COOPER</t>
        </is>
      </c>
      <c r="G158" t="inlineStr">
        <is>
          <t>SPRING</t>
        </is>
      </c>
      <c r="H158">
        <v>0.47</v>
      </c>
      <c r="J158">
        <v>105656255</v>
      </c>
      <c r="K158" s="2">
        <v>43379</v>
      </c>
      <c r="L158">
        <v>30</v>
      </c>
      <c r="M158">
        <v>1</v>
      </c>
      <c r="N158">
        <v>0</v>
      </c>
      <c r="O158">
        <v>1</v>
      </c>
      <c r="P158" t="inlineStr">
        <is>
          <t>O</t>
        </is>
      </c>
    </row>
    <row r="159">
      <c r="A159" t="inlineStr">
        <is>
          <t>OXFORD</t>
        </is>
      </c>
      <c r="B159" t="inlineStr">
        <is>
          <t>SPRING</t>
        </is>
      </c>
      <c r="C159">
        <v>0.0</v>
      </c>
      <c r="E159" t="inlineStr">
        <is>
          <t>COOPER</t>
        </is>
      </c>
      <c r="F159" t="inlineStr">
        <is>
          <t>BELL</t>
        </is>
      </c>
      <c r="G159" t="inlineStr">
        <is>
          <t>SPRING</t>
        </is>
      </c>
      <c r="H159">
        <v>0.62</v>
      </c>
      <c r="J159">
        <v>105618961</v>
      </c>
      <c r="K159" s="2">
        <v>43337</v>
      </c>
      <c r="L159">
        <v>1</v>
      </c>
      <c r="M159">
        <v>1</v>
      </c>
      <c r="N159">
        <v>0</v>
      </c>
      <c r="O159">
        <v>4</v>
      </c>
      <c r="P159" t="inlineStr">
        <is>
          <t>C</t>
        </is>
      </c>
    </row>
    <row r="160">
      <c r="A160" t="inlineStr">
        <is>
          <t>OXFORD</t>
        </is>
      </c>
      <c r="B160" t="inlineStr">
        <is>
          <t>SPRING</t>
        </is>
      </c>
      <c r="C160">
        <v>0.0</v>
      </c>
      <c r="E160" t="inlineStr">
        <is>
          <t>COOPER</t>
        </is>
      </c>
      <c r="F160" t="inlineStr">
        <is>
          <t>COOPER</t>
        </is>
      </c>
      <c r="G160" t="inlineStr">
        <is>
          <t>SPRING</t>
        </is>
      </c>
      <c r="H160">
        <v>0.62</v>
      </c>
      <c r="J160">
        <v>105494799</v>
      </c>
      <c r="K160" s="2">
        <v>43241</v>
      </c>
      <c r="L160">
        <v>19</v>
      </c>
      <c r="M160">
        <v>1</v>
      </c>
      <c r="N160">
        <v>0</v>
      </c>
      <c r="O160">
        <v>1</v>
      </c>
      <c r="P160" t="inlineStr">
        <is>
          <t>O</t>
        </is>
      </c>
    </row>
    <row r="161">
      <c r="A161" t="inlineStr">
        <is>
          <t>OXFORD</t>
        </is>
      </c>
      <c r="B161" t="inlineStr">
        <is>
          <t>ORANGE</t>
        </is>
      </c>
      <c r="C161">
        <v>0.0</v>
      </c>
      <c r="E161" t="inlineStr">
        <is>
          <t>SPRING</t>
        </is>
      </c>
      <c r="F161" t="inlineStr">
        <is>
          <t>HILLSBORO</t>
        </is>
      </c>
      <c r="G161" t="inlineStr">
        <is>
          <t>SPRING</t>
        </is>
      </c>
      <c r="H161">
        <v>999.999</v>
      </c>
      <c r="J161">
        <v>106579086</v>
      </c>
      <c r="K161" s="2">
        <v>44318</v>
      </c>
      <c r="L161">
        <v>30</v>
      </c>
      <c r="M161">
        <v>1</v>
      </c>
      <c r="N161">
        <v>0</v>
      </c>
      <c r="O161">
        <v>1</v>
      </c>
      <c r="P161" t="inlineStr">
        <is>
          <t>O</t>
        </is>
      </c>
    </row>
    <row r="162">
      <c r="A162" t="inlineStr">
        <is>
          <t>OXFORD</t>
        </is>
      </c>
      <c r="B162" t="inlineStr">
        <is>
          <t>ORANGE</t>
        </is>
      </c>
      <c r="C162">
        <v>0.0</v>
      </c>
      <c r="E162" t="inlineStr">
        <is>
          <t>SPRING</t>
        </is>
      </c>
      <c r="F162" t="inlineStr">
        <is>
          <t>SPRING</t>
        </is>
      </c>
      <c r="G162" t="inlineStr">
        <is>
          <t>SPRING</t>
        </is>
      </c>
      <c r="H162">
        <v>999.999</v>
      </c>
      <c r="J162">
        <v>106147279</v>
      </c>
      <c r="K162" s="2">
        <v>43867</v>
      </c>
      <c r="L162">
        <v>30</v>
      </c>
      <c r="M162">
        <v>2</v>
      </c>
      <c r="N162">
        <v>0</v>
      </c>
      <c r="O162">
        <v>1</v>
      </c>
      <c r="P162" t="inlineStr">
        <is>
          <t>O</t>
        </is>
      </c>
    </row>
    <row r="163">
      <c r="A163" t="inlineStr">
        <is>
          <t>OXFORD</t>
        </is>
      </c>
      <c r="B163" t="inlineStr">
        <is>
          <t>ORANGE</t>
        </is>
      </c>
      <c r="C163">
        <v>0.0</v>
      </c>
      <c r="E163" t="inlineStr">
        <is>
          <t>SPRING</t>
        </is>
      </c>
      <c r="F163" t="inlineStr">
        <is>
          <t>ORANGE</t>
        </is>
      </c>
      <c r="G163" t="inlineStr">
        <is>
          <t>SPRING</t>
        </is>
      </c>
      <c r="H163">
        <v>999.999</v>
      </c>
      <c r="J163">
        <v>105663384</v>
      </c>
      <c r="K163" s="2">
        <v>43410</v>
      </c>
      <c r="L163">
        <v>1</v>
      </c>
      <c r="M163">
        <v>2</v>
      </c>
      <c r="N163">
        <v>0</v>
      </c>
      <c r="O163">
        <v>1</v>
      </c>
      <c r="P163" t="inlineStr">
        <is>
          <t>O</t>
        </is>
      </c>
    </row>
    <row r="164">
      <c r="A164" t="inlineStr">
        <is>
          <t>OXFORD</t>
        </is>
      </c>
      <c r="B164" t="inlineStr">
        <is>
          <t>ORANGE</t>
        </is>
      </c>
      <c r="C164">
        <v>0.0</v>
      </c>
      <c r="E164" t="inlineStr">
        <is>
          <t>SPRING</t>
        </is>
      </c>
      <c r="F164" t="inlineStr">
        <is>
          <t>BULLOCK</t>
        </is>
      </c>
      <c r="G164" t="inlineStr">
        <is>
          <t>SPRING</t>
        </is>
      </c>
      <c r="H164">
        <v>999.999</v>
      </c>
      <c r="J164">
        <v>108090115</v>
      </c>
      <c r="K164" s="2">
        <v>45766</v>
      </c>
      <c r="L164">
        <v>30</v>
      </c>
      <c r="M164">
        <v>1</v>
      </c>
      <c r="N164">
        <v>7</v>
      </c>
      <c r="O164">
        <v>4</v>
      </c>
      <c r="P164" t="inlineStr">
        <is>
          <t>B</t>
        </is>
      </c>
      <c r="Q164">
        <v>36.3</v>
      </c>
      <c r="R164">
        <v>-78.59</v>
      </c>
      <c r="S164" t="inlineStr">
        <is>
          <t>DMV349</t>
        </is>
      </c>
    </row>
    <row r="165">
      <c r="A165" t="inlineStr">
        <is>
          <t>OXFORD</t>
        </is>
      </c>
      <c r="B165" t="inlineStr">
        <is>
          <t>PVA SPRING ST</t>
        </is>
      </c>
      <c r="C165">
        <v>0.0</v>
      </c>
      <c r="E165" t="inlineStr">
        <is>
          <t>PVA SPRING ST</t>
        </is>
      </c>
      <c r="F165" t="inlineStr">
        <is>
          <t>PVA SPRING ST</t>
        </is>
      </c>
      <c r="G165" t="inlineStr">
        <is>
          <t>SPRING</t>
        </is>
      </c>
      <c r="H165">
        <v>999.999</v>
      </c>
      <c r="J165">
        <v>108526964</v>
      </c>
      <c r="K165" s="2">
        <v>46185</v>
      </c>
      <c r="L165">
        <v>31</v>
      </c>
      <c r="M165">
        <v>1</v>
      </c>
      <c r="N165">
        <v>0</v>
      </c>
      <c r="O165">
        <v>1</v>
      </c>
    </row>
    <row r="166">
      <c r="A166" t="inlineStr">
        <is>
          <t>OXFORD</t>
        </is>
      </c>
      <c r="B166" t="inlineStr">
        <is>
          <t>PVA SPRING STREET</t>
        </is>
      </c>
      <c r="C166">
        <v>0.004</v>
      </c>
      <c r="D166" t="inlineStr">
        <is>
          <t>N</t>
        </is>
      </c>
      <c r="E166" t="inlineStr">
        <is>
          <t>SPRING</t>
        </is>
      </c>
      <c r="F166" t="inlineStr">
        <is>
          <t>MAIN</t>
        </is>
      </c>
      <c r="G166" t="inlineStr">
        <is>
          <t>SPRING</t>
        </is>
      </c>
      <c r="H166">
        <v>999.999</v>
      </c>
      <c r="J166">
        <v>106036274</v>
      </c>
      <c r="K166" s="2">
        <v>43761</v>
      </c>
      <c r="L166">
        <v>20</v>
      </c>
      <c r="M166">
        <v>1</v>
      </c>
      <c r="N166">
        <v>4</v>
      </c>
      <c r="O166">
        <v>1</v>
      </c>
      <c r="P166" t="inlineStr">
        <is>
          <t>O</t>
        </is>
      </c>
    </row>
    <row r="167">
      <c r="A167" t="inlineStr">
        <is>
          <t>OXFORD</t>
        </is>
      </c>
      <c r="B167" t="inlineStr">
        <is>
          <t>SPRING</t>
        </is>
      </c>
      <c r="C167">
        <v>0.0</v>
      </c>
      <c r="E167" t="inlineStr">
        <is>
          <t>HILLSBORO</t>
        </is>
      </c>
      <c r="F167" t="inlineStr">
        <is>
          <t>LEWIS</t>
        </is>
      </c>
      <c r="G167" t="inlineStr">
        <is>
          <t>SPRING</t>
        </is>
      </c>
      <c r="H167">
        <v>999.999</v>
      </c>
      <c r="J167">
        <v>105375720</v>
      </c>
      <c r="K167" s="2">
        <v>43139</v>
      </c>
      <c r="L167">
        <v>30</v>
      </c>
      <c r="M167">
        <v>1</v>
      </c>
      <c r="N167">
        <v>7</v>
      </c>
      <c r="O167">
        <v>1</v>
      </c>
      <c r="P167" t="inlineStr">
        <is>
          <t>O</t>
        </is>
      </c>
    </row>
    <row r="168">
      <c r="A168" t="inlineStr">
        <is>
          <t>OXFORD</t>
        </is>
      </c>
      <c r="B168" t="inlineStr">
        <is>
          <t>SPRING</t>
        </is>
      </c>
      <c r="C168">
        <v>0.0</v>
      </c>
      <c r="E168" t="inlineStr">
        <is>
          <t>LEWIS</t>
        </is>
      </c>
      <c r="F168" t="inlineStr">
        <is>
          <t>MAPLE</t>
        </is>
      </c>
      <c r="G168" t="inlineStr">
        <is>
          <t>SPRING</t>
        </is>
      </c>
      <c r="H168">
        <v>999.999</v>
      </c>
      <c r="J168">
        <v>107358288</v>
      </c>
      <c r="K168" s="2">
        <v>45070</v>
      </c>
      <c r="L168">
        <v>32</v>
      </c>
      <c r="M168">
        <v>1</v>
      </c>
      <c r="N168">
        <v>0</v>
      </c>
      <c r="O168">
        <v>1</v>
      </c>
      <c r="P168" t="inlineStr">
        <is>
          <t>C</t>
        </is>
      </c>
    </row>
    <row r="169">
      <c r="A169" t="inlineStr">
        <is>
          <t>OXFORD</t>
        </is>
      </c>
      <c r="B169" t="inlineStr">
        <is>
          <t>SPRING</t>
        </is>
      </c>
      <c r="C169">
        <v>0.0</v>
      </c>
      <c r="E169" t="inlineStr">
        <is>
          <t>LEWIS</t>
        </is>
      </c>
      <c r="F169" t="inlineStr">
        <is>
          <t>ORANGE</t>
        </is>
      </c>
      <c r="G169" t="inlineStr">
        <is>
          <t>SPRING</t>
        </is>
      </c>
      <c r="H169">
        <v>999.999</v>
      </c>
      <c r="J169">
        <v>105077632</v>
      </c>
      <c r="K169" s="2">
        <v>42851</v>
      </c>
      <c r="L169">
        <v>24</v>
      </c>
      <c r="M169">
        <v>1</v>
      </c>
      <c r="N169">
        <v>7</v>
      </c>
      <c r="O169">
        <v>1</v>
      </c>
      <c r="P169" t="inlineStr">
        <is>
          <t>C</t>
        </is>
      </c>
    </row>
    <row r="170">
      <c r="A170" t="inlineStr">
        <is>
          <t>OXFORD</t>
        </is>
      </c>
      <c r="B170" t="inlineStr">
        <is>
          <t>SPRING</t>
        </is>
      </c>
      <c r="C170">
        <v>0.0</v>
      </c>
      <c r="E170" t="inlineStr">
        <is>
          <t>LEWIS</t>
        </is>
      </c>
      <c r="F170" t="inlineStr">
        <is>
          <t>LEWIS</t>
        </is>
      </c>
      <c r="G170" t="inlineStr">
        <is>
          <t>SPRING</t>
        </is>
      </c>
      <c r="H170">
        <v>999.999</v>
      </c>
      <c r="J170">
        <v>108211507</v>
      </c>
      <c r="K170" s="2">
        <v>45895</v>
      </c>
      <c r="L170">
        <v>30</v>
      </c>
      <c r="M170">
        <v>1</v>
      </c>
      <c r="N170">
        <v>7</v>
      </c>
      <c r="O170">
        <v>4</v>
      </c>
      <c r="P170" t="inlineStr">
        <is>
          <t>O</t>
        </is>
      </c>
    </row>
    <row r="171">
      <c r="A171" t="inlineStr">
        <is>
          <t>OXFORD</t>
        </is>
      </c>
      <c r="B171" t="inlineStr">
        <is>
          <t>SPRING</t>
        </is>
      </c>
      <c r="C171">
        <v>0.0</v>
      </c>
      <c r="D171" t="inlineStr">
        <is>
          <t>E</t>
        </is>
      </c>
      <c r="E171" t="inlineStr">
        <is>
          <t>LEWIS</t>
        </is>
      </c>
      <c r="F171" t="inlineStr">
        <is>
          <t>CHURCH</t>
        </is>
      </c>
      <c r="G171" t="inlineStr">
        <is>
          <t>SPRING</t>
        </is>
      </c>
      <c r="H171">
        <v>999.999</v>
      </c>
      <c r="J171">
        <v>106104024</v>
      </c>
      <c r="K171" s="2">
        <v>43629</v>
      </c>
      <c r="L171">
        <v>19</v>
      </c>
      <c r="M171">
        <v>2</v>
      </c>
      <c r="N171">
        <v>0</v>
      </c>
      <c r="O171">
        <v>2</v>
      </c>
      <c r="P171" t="inlineStr">
        <is>
          <t>O</t>
        </is>
      </c>
    </row>
    <row r="172">
      <c r="A172" t="inlineStr">
        <is>
          <t>OXFORD</t>
        </is>
      </c>
      <c r="B172" t="inlineStr">
        <is>
          <t>SPRING</t>
        </is>
      </c>
      <c r="C172">
        <v>0.0</v>
      </c>
      <c r="E172" t="inlineStr">
        <is>
          <t>MARTIN LUTHER KING</t>
        </is>
      </c>
      <c r="F172" t="inlineStr">
        <is>
          <t>GRANVILLE</t>
        </is>
      </c>
      <c r="G172" t="inlineStr">
        <is>
          <t>SPRING</t>
        </is>
      </c>
      <c r="H172">
        <v>999.999</v>
      </c>
      <c r="J172">
        <v>107119312</v>
      </c>
      <c r="K172" s="2">
        <v>44851</v>
      </c>
      <c r="L172">
        <v>21</v>
      </c>
      <c r="M172">
        <v>1</v>
      </c>
      <c r="N172">
        <v>0</v>
      </c>
      <c r="O172">
        <v>1</v>
      </c>
      <c r="P172" t="inlineStr">
        <is>
          <t>O</t>
        </is>
      </c>
    </row>
    <row r="173">
      <c r="A173" t="inlineStr">
        <is>
          <t>OXFORD</t>
        </is>
      </c>
      <c r="B173" t="inlineStr">
        <is>
          <t>SPRING</t>
        </is>
      </c>
      <c r="C173">
        <v>0.0</v>
      </c>
      <c r="E173" t="inlineStr">
        <is>
          <t>MARTIN LUTHER KING</t>
        </is>
      </c>
      <c r="F173" t="inlineStr">
        <is>
          <t>MARTIN LUTHER KING</t>
        </is>
      </c>
      <c r="G173" t="inlineStr">
        <is>
          <t>SPRING</t>
        </is>
      </c>
      <c r="H173">
        <v>999.999</v>
      </c>
      <c r="J173">
        <v>107047616</v>
      </c>
      <c r="K173" s="2">
        <v>44782</v>
      </c>
      <c r="L173">
        <v>28</v>
      </c>
      <c r="M173">
        <v>1</v>
      </c>
      <c r="N173">
        <v>0</v>
      </c>
      <c r="O173">
        <v>1</v>
      </c>
      <c r="P173" t="inlineStr">
        <is>
          <t>O</t>
        </is>
      </c>
    </row>
    <row r="174">
      <c r="A174" t="inlineStr">
        <is>
          <t>OXFORD</t>
        </is>
      </c>
      <c r="B174" t="inlineStr">
        <is>
          <t>SPRING</t>
        </is>
      </c>
      <c r="C174">
        <v>0.0</v>
      </c>
      <c r="E174" t="inlineStr">
        <is>
          <t>MARTIN LUTHER KING</t>
        </is>
      </c>
      <c r="F174" t="inlineStr">
        <is>
          <t>MAIN</t>
        </is>
      </c>
      <c r="G174" t="inlineStr">
        <is>
          <t>SPRING</t>
        </is>
      </c>
      <c r="H174">
        <v>999.999</v>
      </c>
      <c r="J174">
        <v>106955408</v>
      </c>
      <c r="K174" s="2">
        <v>44683</v>
      </c>
      <c r="L174">
        <v>13</v>
      </c>
      <c r="M174">
        <v>1</v>
      </c>
      <c r="N174">
        <v>0</v>
      </c>
      <c r="O174">
        <v>1</v>
      </c>
      <c r="P174" t="inlineStr">
        <is>
          <t>A</t>
        </is>
      </c>
      <c r="Q174">
        <v>36.309199</v>
      </c>
      <c r="R174">
        <v>-78.590109</v>
      </c>
      <c r="S174" t="inlineStr">
        <is>
          <t>ITRE_SEVEREINJURY</t>
        </is>
      </c>
    </row>
    <row r="175">
      <c r="A175" t="inlineStr">
        <is>
          <t>OXFORD</t>
        </is>
      </c>
      <c r="B175" t="inlineStr">
        <is>
          <t>SPRING</t>
        </is>
      </c>
      <c r="C175">
        <v>0.0</v>
      </c>
      <c r="E175" t="inlineStr">
        <is>
          <t>MARTIN LUTHER KING</t>
        </is>
      </c>
      <c r="F175" t="inlineStr">
        <is>
          <t>WALL</t>
        </is>
      </c>
      <c r="G175" t="inlineStr">
        <is>
          <t>SPRING</t>
        </is>
      </c>
      <c r="H175">
        <v>999.999</v>
      </c>
      <c r="J175">
        <v>105801662</v>
      </c>
      <c r="K175" s="2">
        <v>43537</v>
      </c>
      <c r="L175">
        <v>31</v>
      </c>
      <c r="M175">
        <v>1</v>
      </c>
      <c r="N175">
        <v>0</v>
      </c>
      <c r="O175">
        <v>1</v>
      </c>
      <c r="P175" t="inlineStr">
        <is>
          <t>O</t>
        </is>
      </c>
    </row>
    <row r="176">
      <c r="A176" t="inlineStr">
        <is>
          <t>OXFORD</t>
        </is>
      </c>
      <c r="B176" t="inlineStr">
        <is>
          <t>SPRING</t>
        </is>
      </c>
      <c r="C176">
        <v>0.0</v>
      </c>
      <c r="E176" t="inlineStr">
        <is>
          <t>MARTIN LUTHER KING</t>
        </is>
      </c>
      <c r="F176" t="inlineStr">
        <is>
          <t>SPRING</t>
        </is>
      </c>
      <c r="G176" t="inlineStr">
        <is>
          <t>SPRING</t>
        </is>
      </c>
      <c r="H176">
        <v>999.999</v>
      </c>
      <c r="J176">
        <v>107874844</v>
      </c>
      <c r="K176" s="2">
        <v>45572</v>
      </c>
      <c r="L176">
        <v>28</v>
      </c>
      <c r="M176">
        <v>1</v>
      </c>
      <c r="N176">
        <v>7</v>
      </c>
      <c r="O176">
        <v>1</v>
      </c>
      <c r="P176" t="inlineStr">
        <is>
          <t>O</t>
        </is>
      </c>
    </row>
    <row r="177">
      <c r="A177" t="inlineStr">
        <is>
          <t>OXFORD</t>
        </is>
      </c>
      <c r="B177" t="inlineStr">
        <is>
          <t>SPRING</t>
        </is>
      </c>
      <c r="C177">
        <v>0.0</v>
      </c>
      <c r="E177" t="inlineStr">
        <is>
          <t>ORANGE</t>
        </is>
      </c>
      <c r="F177" t="inlineStr">
        <is>
          <t>GRANVILLE</t>
        </is>
      </c>
      <c r="G177" t="inlineStr">
        <is>
          <t>SPRING</t>
        </is>
      </c>
      <c r="H177">
        <v>999.999</v>
      </c>
      <c r="J177">
        <v>108030889</v>
      </c>
      <c r="K177" s="2">
        <v>45691</v>
      </c>
      <c r="L177">
        <v>13</v>
      </c>
      <c r="M177">
        <v>1</v>
      </c>
      <c r="N177">
        <v>0</v>
      </c>
      <c r="O177">
        <v>4</v>
      </c>
      <c r="P177" t="inlineStr">
        <is>
          <t>O</t>
        </is>
      </c>
    </row>
    <row r="178">
      <c r="A178" t="inlineStr">
        <is>
          <t>OXFORD</t>
        </is>
      </c>
      <c r="B178" t="inlineStr">
        <is>
          <t>SPRING</t>
        </is>
      </c>
      <c r="C178">
        <v>0.0</v>
      </c>
      <c r="E178" t="inlineStr">
        <is>
          <t>ORANGE</t>
        </is>
      </c>
      <c r="G178" t="inlineStr">
        <is>
          <t>SPRING</t>
        </is>
      </c>
      <c r="H178">
        <v>999.999</v>
      </c>
      <c r="J178">
        <v>107195886</v>
      </c>
      <c r="K178" s="2">
        <v>44848</v>
      </c>
      <c r="L178">
        <v>28</v>
      </c>
      <c r="M178">
        <v>1</v>
      </c>
      <c r="N178">
        <v>0</v>
      </c>
      <c r="O178">
        <v>1</v>
      </c>
      <c r="P178" t="inlineStr">
        <is>
          <t>O</t>
        </is>
      </c>
    </row>
    <row r="179">
      <c r="A179" t="inlineStr">
        <is>
          <t>OXFORD</t>
        </is>
      </c>
      <c r="B179" t="inlineStr">
        <is>
          <t>SPRING</t>
        </is>
      </c>
      <c r="C179">
        <v>0.0</v>
      </c>
      <c r="E179" t="inlineStr">
        <is>
          <t>ORANGE</t>
        </is>
      </c>
      <c r="F179" t="inlineStr">
        <is>
          <t>ORANGE</t>
        </is>
      </c>
      <c r="G179" t="inlineStr">
        <is>
          <t>SPRING</t>
        </is>
      </c>
      <c r="H179">
        <v>999.999</v>
      </c>
      <c r="J179">
        <v>105297726</v>
      </c>
      <c r="K179" s="2">
        <v>43063</v>
      </c>
      <c r="L179">
        <v>30</v>
      </c>
      <c r="M179">
        <v>1</v>
      </c>
      <c r="N179">
        <v>0</v>
      </c>
      <c r="O179">
        <v>1</v>
      </c>
      <c r="P179" t="inlineStr">
        <is>
          <t>A</t>
        </is>
      </c>
      <c r="Q179">
        <v>36.308058</v>
      </c>
      <c r="R179">
        <v>-78.592677</v>
      </c>
      <c r="S179" t="inlineStr">
        <is>
          <t>ITRE_SEVEREINJURY</t>
        </is>
      </c>
    </row>
    <row r="180">
      <c r="A180" t="inlineStr">
        <is>
          <t>OXFORD</t>
        </is>
      </c>
      <c r="B180" t="inlineStr">
        <is>
          <t>SPRING</t>
        </is>
      </c>
      <c r="C180">
        <v>0.0</v>
      </c>
      <c r="E180" t="inlineStr">
        <is>
          <t>PARK</t>
        </is>
      </c>
      <c r="F180" t="inlineStr">
        <is>
          <t>SPRING</t>
        </is>
      </c>
      <c r="G180" t="inlineStr">
        <is>
          <t>SPRING</t>
        </is>
      </c>
      <c r="H180">
        <v>999.999</v>
      </c>
      <c r="J180">
        <v>107105886</v>
      </c>
      <c r="K180" s="2">
        <v>44835</v>
      </c>
      <c r="L180">
        <v>3</v>
      </c>
      <c r="M180">
        <v>2</v>
      </c>
      <c r="N180">
        <v>0</v>
      </c>
      <c r="O180">
        <v>6</v>
      </c>
    </row>
    <row r="181">
      <c r="A181" t="inlineStr">
        <is>
          <t>OXFORD</t>
        </is>
      </c>
      <c r="B181" t="inlineStr">
        <is>
          <t>SPRING</t>
        </is>
      </c>
      <c r="C181">
        <v>0.0</v>
      </c>
      <c r="E181" t="inlineStr">
        <is>
          <t>SPRING</t>
        </is>
      </c>
      <c r="F181" t="inlineStr">
        <is>
          <t>MARTIN LUTHER KING</t>
        </is>
      </c>
      <c r="G181" t="inlineStr">
        <is>
          <t>SPRING</t>
        </is>
      </c>
      <c r="H181">
        <v>999.999</v>
      </c>
      <c r="J181">
        <v>108080999</v>
      </c>
      <c r="K181" s="2">
        <v>45763</v>
      </c>
      <c r="L181">
        <v>31</v>
      </c>
      <c r="M181">
        <v>1</v>
      </c>
      <c r="N181">
        <v>13</v>
      </c>
      <c r="O181">
        <v>1</v>
      </c>
      <c r="P181" t="inlineStr">
        <is>
          <t>O</t>
        </is>
      </c>
    </row>
    <row r="182">
      <c r="A182" t="inlineStr">
        <is>
          <t>OXFORD</t>
        </is>
      </c>
      <c r="B182" t="inlineStr">
        <is>
          <t>SPRING</t>
        </is>
      </c>
      <c r="C182">
        <v>0.0</v>
      </c>
      <c r="E182" t="inlineStr">
        <is>
          <t>SPRING</t>
        </is>
      </c>
      <c r="F182" t="inlineStr">
        <is>
          <t>ORANGE</t>
        </is>
      </c>
      <c r="G182" t="inlineStr">
        <is>
          <t>SPRING</t>
        </is>
      </c>
      <c r="H182">
        <v>999.999</v>
      </c>
      <c r="J182">
        <v>105202508</v>
      </c>
      <c r="K182" s="2">
        <v>42965</v>
      </c>
      <c r="L182">
        <v>21</v>
      </c>
      <c r="M182">
        <v>1</v>
      </c>
      <c r="N182">
        <v>0</v>
      </c>
      <c r="O182">
        <v>1</v>
      </c>
      <c r="P182" t="inlineStr">
        <is>
          <t>C</t>
        </is>
      </c>
    </row>
    <row r="183">
      <c r="A183" t="inlineStr">
        <is>
          <t>OXFORD</t>
        </is>
      </c>
      <c r="B183" t="inlineStr">
        <is>
          <t>SPRING</t>
        </is>
      </c>
      <c r="C183">
        <v>0.0</v>
      </c>
      <c r="E183" t="inlineStr">
        <is>
          <t>WILLIAMSBORO</t>
        </is>
      </c>
      <c r="F183" t="inlineStr">
        <is>
          <t>SPRING</t>
        </is>
      </c>
      <c r="G183" t="inlineStr">
        <is>
          <t>SPRING</t>
        </is>
      </c>
      <c r="H183">
        <v>999.999</v>
      </c>
      <c r="J183">
        <v>106899128</v>
      </c>
      <c r="K183" s="2">
        <v>44578</v>
      </c>
      <c r="L183">
        <v>20</v>
      </c>
      <c r="M183">
        <v>1</v>
      </c>
      <c r="N183">
        <v>0</v>
      </c>
      <c r="O183">
        <v>1</v>
      </c>
    </row>
    <row r="184">
      <c r="A184" t="inlineStr">
        <is>
          <t>RURAL</t>
        </is>
      </c>
      <c r="B184" t="inlineStr">
        <is>
          <t>SR 1004</t>
        </is>
      </c>
      <c r="C184">
        <v>0.0</v>
      </c>
      <c r="E184" t="inlineStr">
        <is>
          <t>MAIN</t>
        </is>
      </c>
      <c r="F184" t="inlineStr">
        <is>
          <t>SUNSET</t>
        </is>
      </c>
      <c r="G184" t="inlineStr">
        <is>
          <t>SR 1004</t>
        </is>
      </c>
      <c r="H184">
        <v>6.604</v>
      </c>
      <c r="J184">
        <v>105147018</v>
      </c>
      <c r="K184" s="2">
        <v>42915</v>
      </c>
      <c r="L184">
        <v>19</v>
      </c>
      <c r="M184">
        <v>1</v>
      </c>
      <c r="N184">
        <v>8</v>
      </c>
      <c r="O184">
        <v>1</v>
      </c>
      <c r="P184" t="inlineStr">
        <is>
          <t>O</t>
        </is>
      </c>
    </row>
    <row r="185">
      <c r="A185" t="inlineStr">
        <is>
          <t>OXFORD</t>
        </is>
      </c>
      <c r="B185" t="inlineStr">
        <is>
          <t>HILLSBORO</t>
        </is>
      </c>
      <c r="C185">
        <v>0.0</v>
      </c>
      <c r="E185" t="inlineStr">
        <is>
          <t>SPRING</t>
        </is>
      </c>
      <c r="F185" t="inlineStr">
        <is>
          <t>CHURCH</t>
        </is>
      </c>
      <c r="G185" t="inlineStr">
        <is>
          <t>SR 1004</t>
        </is>
      </c>
      <c r="H185">
        <v>17.824</v>
      </c>
      <c r="J185">
        <v>107157374</v>
      </c>
      <c r="K185" s="2">
        <v>44888</v>
      </c>
      <c r="L185">
        <v>30</v>
      </c>
      <c r="M185">
        <v>1</v>
      </c>
      <c r="N185">
        <v>8</v>
      </c>
      <c r="O185">
        <v>1</v>
      </c>
      <c r="P185" t="inlineStr">
        <is>
          <t>O</t>
        </is>
      </c>
    </row>
    <row r="186">
      <c r="A186" t="inlineStr">
        <is>
          <t>OXFORD</t>
        </is>
      </c>
      <c r="B186" t="inlineStr">
        <is>
          <t>HILLSBORO</t>
        </is>
      </c>
      <c r="C186">
        <v>0.0</v>
      </c>
      <c r="E186" t="inlineStr">
        <is>
          <t>SPRING</t>
        </is>
      </c>
      <c r="F186" t="inlineStr">
        <is>
          <t>CHURCH</t>
        </is>
      </c>
      <c r="G186" t="inlineStr">
        <is>
          <t>SR 1004</t>
        </is>
      </c>
      <c r="H186">
        <v>17.824</v>
      </c>
      <c r="J186">
        <v>107611249</v>
      </c>
      <c r="K186" s="2">
        <v>45317</v>
      </c>
      <c r="L186">
        <v>21</v>
      </c>
      <c r="M186">
        <v>2</v>
      </c>
      <c r="N186">
        <v>0</v>
      </c>
      <c r="O186">
        <v>4</v>
      </c>
      <c r="P186" t="inlineStr">
        <is>
          <t>O</t>
        </is>
      </c>
    </row>
    <row r="187">
      <c r="A187" t="inlineStr">
        <is>
          <t>OXFORD</t>
        </is>
      </c>
      <c r="B187" t="inlineStr">
        <is>
          <t>HILLSBORO</t>
        </is>
      </c>
      <c r="C187">
        <v>0.004</v>
      </c>
      <c r="D187" t="inlineStr">
        <is>
          <t>E</t>
        </is>
      </c>
      <c r="E187" t="inlineStr">
        <is>
          <t>SPRING</t>
        </is>
      </c>
      <c r="F187" t="inlineStr">
        <is>
          <t>LEWIS</t>
        </is>
      </c>
      <c r="G187" t="inlineStr">
        <is>
          <t>SR 1004</t>
        </is>
      </c>
      <c r="H187">
        <v>17.828</v>
      </c>
      <c r="J187">
        <v>105070792</v>
      </c>
      <c r="K187" s="2">
        <v>42835</v>
      </c>
      <c r="L187">
        <v>1</v>
      </c>
      <c r="M187">
        <v>1</v>
      </c>
      <c r="N187">
        <v>0</v>
      </c>
      <c r="O187">
        <v>4</v>
      </c>
      <c r="P187" t="inlineStr">
        <is>
          <t>O</t>
        </is>
      </c>
    </row>
    <row r="188">
      <c r="A188" t="inlineStr">
        <is>
          <t>OXFORD</t>
        </is>
      </c>
      <c r="B188" t="inlineStr">
        <is>
          <t>MAIN</t>
        </is>
      </c>
      <c r="C188">
        <v>0.0</v>
      </c>
      <c r="E188" t="inlineStr">
        <is>
          <t>MAIN</t>
        </is>
      </c>
      <c r="F188" t="inlineStr">
        <is>
          <t>WALL</t>
        </is>
      </c>
      <c r="G188" t="inlineStr">
        <is>
          <t>SR 1127</t>
        </is>
      </c>
      <c r="H188">
        <v>5.073</v>
      </c>
      <c r="J188">
        <v>108030890</v>
      </c>
      <c r="K188" s="2">
        <v>45706</v>
      </c>
      <c r="L188">
        <v>19</v>
      </c>
      <c r="M188">
        <v>1</v>
      </c>
      <c r="N188">
        <v>0</v>
      </c>
      <c r="O188">
        <v>1</v>
      </c>
      <c r="P188" t="inlineStr">
        <is>
          <t>O</t>
        </is>
      </c>
    </row>
    <row r="189">
      <c r="A189" t="inlineStr">
        <is>
          <t>OXFORD</t>
        </is>
      </c>
      <c r="B189" t="inlineStr">
        <is>
          <t>MAIN</t>
        </is>
      </c>
      <c r="C189">
        <v>0.0</v>
      </c>
      <c r="E189" t="inlineStr">
        <is>
          <t>MAIN</t>
        </is>
      </c>
      <c r="F189" t="inlineStr">
        <is>
          <t>SPRING</t>
        </is>
      </c>
      <c r="G189" t="inlineStr">
        <is>
          <t>SR 1127</t>
        </is>
      </c>
      <c r="H189">
        <v>5.073</v>
      </c>
      <c r="J189">
        <v>105088904</v>
      </c>
      <c r="K189" s="2">
        <v>42861</v>
      </c>
      <c r="L189">
        <v>30</v>
      </c>
      <c r="M189">
        <v>1</v>
      </c>
      <c r="N189">
        <v>7</v>
      </c>
      <c r="O189">
        <v>1</v>
      </c>
      <c r="P189" t="inlineStr">
        <is>
          <t>O</t>
        </is>
      </c>
    </row>
    <row r="190">
      <c r="A190" t="inlineStr">
        <is>
          <t>OXFORD</t>
        </is>
      </c>
      <c r="B190" t="inlineStr">
        <is>
          <t>MAIN</t>
        </is>
      </c>
      <c r="C190">
        <v>0.0</v>
      </c>
      <c r="E190" t="inlineStr">
        <is>
          <t>MAIN</t>
        </is>
      </c>
      <c r="F190" t="inlineStr">
        <is>
          <t>WILLIAMSBORO</t>
        </is>
      </c>
      <c r="G190" t="inlineStr">
        <is>
          <t>SR 1127</t>
        </is>
      </c>
      <c r="H190">
        <v>5.073</v>
      </c>
      <c r="J190">
        <v>105135600</v>
      </c>
      <c r="K190" s="2">
        <v>42898</v>
      </c>
      <c r="L190">
        <v>22</v>
      </c>
      <c r="M190">
        <v>1</v>
      </c>
      <c r="N190">
        <v>0</v>
      </c>
      <c r="O190">
        <v>1</v>
      </c>
      <c r="P190" t="inlineStr">
        <is>
          <t>O</t>
        </is>
      </c>
    </row>
    <row r="191">
      <c r="A191" t="inlineStr">
        <is>
          <t>CREEDMOOR</t>
        </is>
      </c>
      <c r="B191" t="inlineStr">
        <is>
          <t>MAIN</t>
        </is>
      </c>
      <c r="C191">
        <v>0.0</v>
      </c>
      <c r="E191" t="inlineStr">
        <is>
          <t>MAIN</t>
        </is>
      </c>
      <c r="F191" t="inlineStr">
        <is>
          <t>*LCL W SANDERFORD ST</t>
        </is>
      </c>
      <c r="G191" t="inlineStr">
        <is>
          <t>SR 1127</t>
        </is>
      </c>
      <c r="H191">
        <v>5.073</v>
      </c>
      <c r="J191">
        <v>108492798</v>
      </c>
      <c r="K191" s="2">
        <v>46148</v>
      </c>
      <c r="L191">
        <v>28</v>
      </c>
      <c r="M191">
        <v>1</v>
      </c>
      <c r="N191">
        <v>0</v>
      </c>
      <c r="O191">
        <v>1</v>
      </c>
      <c r="P191" t="inlineStr">
        <is>
          <t>O</t>
        </is>
      </c>
    </row>
    <row r="192">
      <c r="A192" t="inlineStr">
        <is>
          <t>CREEDMOOR</t>
        </is>
      </c>
      <c r="B192" t="inlineStr">
        <is>
          <t>PVA MAIN ST</t>
        </is>
      </c>
      <c r="C192">
        <v>0.0</v>
      </c>
      <c r="E192" t="inlineStr">
        <is>
          <t>PVA MAIN ST</t>
        </is>
      </c>
      <c r="G192" t="inlineStr">
        <is>
          <t>SR 1127</t>
        </is>
      </c>
      <c r="H192">
        <v>5.073</v>
      </c>
      <c r="J192">
        <v>105116773</v>
      </c>
      <c r="K192" s="2">
        <v>42804</v>
      </c>
      <c r="L192">
        <v>31</v>
      </c>
      <c r="M192">
        <v>1</v>
      </c>
      <c r="N192">
        <v>0</v>
      </c>
      <c r="O192">
        <v>1</v>
      </c>
      <c r="P192" t="inlineStr">
        <is>
          <t>O</t>
        </is>
      </c>
    </row>
    <row r="193">
      <c r="A193" t="inlineStr">
        <is>
          <t>CREEDMOOR</t>
        </is>
      </c>
      <c r="B193" t="inlineStr">
        <is>
          <t>PVA MAIN STREET</t>
        </is>
      </c>
      <c r="C193">
        <v>0.0</v>
      </c>
      <c r="E193" t="inlineStr">
        <is>
          <t>MAIN</t>
        </is>
      </c>
      <c r="F193" t="inlineStr">
        <is>
          <t>LION</t>
        </is>
      </c>
      <c r="G193" t="inlineStr">
        <is>
          <t>SR 1127</t>
        </is>
      </c>
      <c r="H193">
        <v>5.073</v>
      </c>
      <c r="J193">
        <v>107265353</v>
      </c>
      <c r="K193" s="2">
        <v>44984</v>
      </c>
      <c r="L193">
        <v>30</v>
      </c>
      <c r="M193">
        <v>1</v>
      </c>
      <c r="N193">
        <v>0</v>
      </c>
      <c r="O193">
        <v>1</v>
      </c>
      <c r="P193" t="inlineStr">
        <is>
          <t>O</t>
        </is>
      </c>
    </row>
    <row r="194">
      <c r="A194" t="inlineStr">
        <is>
          <t>CREEDMOOR</t>
        </is>
      </c>
      <c r="B194" t="inlineStr">
        <is>
          <t>PVA MAIN STREET</t>
        </is>
      </c>
      <c r="C194">
        <v>0.0</v>
      </c>
      <c r="E194" t="inlineStr">
        <is>
          <t>MAIN</t>
        </is>
      </c>
      <c r="F194" t="inlineStr">
        <is>
          <t>MILL</t>
        </is>
      </c>
      <c r="G194" t="inlineStr">
        <is>
          <t>SR 1127</t>
        </is>
      </c>
      <c r="H194">
        <v>5.073</v>
      </c>
      <c r="J194">
        <v>105662698</v>
      </c>
      <c r="K194" s="2">
        <v>43405</v>
      </c>
      <c r="L194">
        <v>21</v>
      </c>
      <c r="M194">
        <v>1</v>
      </c>
      <c r="N194">
        <v>0</v>
      </c>
      <c r="O194">
        <v>4</v>
      </c>
      <c r="P194" t="inlineStr">
        <is>
          <t>O</t>
        </is>
      </c>
    </row>
    <row r="195">
      <c r="A195" t="inlineStr">
        <is>
          <t>CREEDMOOR</t>
        </is>
      </c>
      <c r="B195" t="inlineStr">
        <is>
          <t>MAIN</t>
        </is>
      </c>
      <c r="C195">
        <v>0.01</v>
      </c>
      <c r="D195" t="inlineStr">
        <is>
          <t>N</t>
        </is>
      </c>
      <c r="E195" t="inlineStr">
        <is>
          <t>MAIN</t>
        </is>
      </c>
      <c r="F195" t="inlineStr">
        <is>
          <t>MOSS</t>
        </is>
      </c>
      <c r="G195" t="inlineStr">
        <is>
          <t>SR 1127</t>
        </is>
      </c>
      <c r="H195">
        <v>5.083</v>
      </c>
      <c r="J195">
        <v>107809369</v>
      </c>
      <c r="K195" s="2">
        <v>45300</v>
      </c>
      <c r="L195">
        <v>21</v>
      </c>
      <c r="M195">
        <v>2</v>
      </c>
      <c r="O195">
        <v>1</v>
      </c>
      <c r="P195" t="inlineStr">
        <is>
          <t>O</t>
        </is>
      </c>
    </row>
    <row r="196">
      <c r="A196" t="inlineStr">
        <is>
          <t>OXFORD</t>
        </is>
      </c>
      <c r="B196" t="inlineStr">
        <is>
          <t>SR 1161</t>
        </is>
      </c>
      <c r="C196">
        <v>0.0</v>
      </c>
      <c r="E196" t="inlineStr">
        <is>
          <t>SR 1602</t>
        </is>
      </c>
      <c r="F196" t="inlineStr">
        <is>
          <t>HIGHLAND</t>
        </is>
      </c>
      <c r="G196" t="inlineStr">
        <is>
          <t>SR 1161</t>
        </is>
      </c>
      <c r="H196">
        <v>999.999</v>
      </c>
      <c r="J196">
        <v>106009333</v>
      </c>
      <c r="K196" s="2">
        <v>43732</v>
      </c>
      <c r="L196">
        <v>19</v>
      </c>
      <c r="M196">
        <v>1</v>
      </c>
      <c r="N196">
        <v>8</v>
      </c>
      <c r="O196">
        <v>4</v>
      </c>
      <c r="P196" t="inlineStr">
        <is>
          <t>C</t>
        </is>
      </c>
    </row>
    <row r="197">
      <c r="A197" t="inlineStr">
        <is>
          <t>RURAL</t>
        </is>
      </c>
      <c r="B197" t="inlineStr">
        <is>
          <t>SR 1195</t>
        </is>
      </c>
      <c r="C197">
        <v>0.0</v>
      </c>
      <c r="E197" t="inlineStr">
        <is>
          <t>SR 1522</t>
        </is>
      </c>
      <c r="F197" t="inlineStr">
        <is>
          <t>US 15</t>
        </is>
      </c>
      <c r="G197" t="inlineStr">
        <is>
          <t>SR 1195</t>
        </is>
      </c>
      <c r="H197">
        <v>999.999</v>
      </c>
      <c r="J197">
        <v>106369050</v>
      </c>
      <c r="K197" s="2">
        <v>44118</v>
      </c>
      <c r="L197">
        <v>30</v>
      </c>
      <c r="M197">
        <v>1</v>
      </c>
      <c r="N197">
        <v>7</v>
      </c>
      <c r="O197">
        <v>1</v>
      </c>
      <c r="P197" t="inlineStr">
        <is>
          <t>O</t>
        </is>
      </c>
    </row>
    <row r="198">
      <c r="A198" t="inlineStr">
        <is>
          <t>RURAL</t>
        </is>
      </c>
      <c r="B198" t="inlineStr">
        <is>
          <t>SR 1195</t>
        </is>
      </c>
      <c r="C198">
        <v>0.0</v>
      </c>
      <c r="E198" t="inlineStr">
        <is>
          <t>SR 1522</t>
        </is>
      </c>
      <c r="F198" t="inlineStr">
        <is>
          <t>US 15</t>
        </is>
      </c>
      <c r="G198" t="inlineStr">
        <is>
          <t>SR 1195</t>
        </is>
      </c>
      <c r="H198">
        <v>999.999</v>
      </c>
      <c r="J198">
        <v>106320590</v>
      </c>
      <c r="K198" s="2">
        <v>44068</v>
      </c>
      <c r="L198">
        <v>23</v>
      </c>
      <c r="M198">
        <v>1</v>
      </c>
      <c r="N198">
        <v>7</v>
      </c>
      <c r="O198">
        <v>1</v>
      </c>
      <c r="P198" t="inlineStr">
        <is>
          <t>O</t>
        </is>
      </c>
    </row>
    <row r="199">
      <c r="A199" t="inlineStr">
        <is>
          <t>RURAL</t>
        </is>
      </c>
      <c r="B199" t="inlineStr">
        <is>
          <t>SR 1195</t>
        </is>
      </c>
      <c r="C199">
        <v>0.0</v>
      </c>
      <c r="E199" t="inlineStr">
        <is>
          <t>SR 1522</t>
        </is>
      </c>
      <c r="F199" t="inlineStr">
        <is>
          <t>US 15</t>
        </is>
      </c>
      <c r="G199" t="inlineStr">
        <is>
          <t>SR 1195</t>
        </is>
      </c>
      <c r="H199">
        <v>999.999</v>
      </c>
      <c r="J199">
        <v>106311206</v>
      </c>
      <c r="K199" s="2">
        <v>44061</v>
      </c>
      <c r="L199">
        <v>30</v>
      </c>
      <c r="M199">
        <v>1</v>
      </c>
      <c r="N199">
        <v>7</v>
      </c>
      <c r="O199">
        <v>1</v>
      </c>
      <c r="P199" t="inlineStr">
        <is>
          <t>O</t>
        </is>
      </c>
    </row>
    <row r="200">
      <c r="A200" t="inlineStr">
        <is>
          <t>RURAL</t>
        </is>
      </c>
      <c r="B200" t="inlineStr">
        <is>
          <t>SR 1515</t>
        </is>
      </c>
      <c r="C200">
        <v>0.004</v>
      </c>
      <c r="D200" t="inlineStr">
        <is>
          <t>W</t>
        </is>
      </c>
      <c r="E200" t="inlineStr">
        <is>
          <t>SR 1522</t>
        </is>
      </c>
      <c r="F200" t="inlineStr">
        <is>
          <t>PVA OXFORD PARK BLVD</t>
        </is>
      </c>
      <c r="G200" t="inlineStr">
        <is>
          <t>SR 1515</t>
        </is>
      </c>
      <c r="H200">
        <v>10.074</v>
      </c>
      <c r="J200">
        <v>106909550</v>
      </c>
      <c r="K200" s="2">
        <v>44652</v>
      </c>
      <c r="L200">
        <v>24</v>
      </c>
      <c r="M200">
        <v>1</v>
      </c>
      <c r="N200">
        <v>8</v>
      </c>
      <c r="O200">
        <v>1</v>
      </c>
      <c r="P200" t="inlineStr">
        <is>
          <t>O</t>
        </is>
      </c>
    </row>
    <row r="201">
      <c r="A201" t="inlineStr">
        <is>
          <t>OXFORD</t>
        </is>
      </c>
      <c r="B201" t="inlineStr">
        <is>
          <t>SALEM</t>
        </is>
      </c>
      <c r="C201">
        <v>0.0</v>
      </c>
      <c r="D201" t="inlineStr">
        <is>
          <t>W</t>
        </is>
      </c>
      <c r="E201" t="inlineStr">
        <is>
          <t>HORNER SIDING</t>
        </is>
      </c>
      <c r="F201" t="inlineStr">
        <is>
          <t>LANDIS</t>
        </is>
      </c>
      <c r="G201" t="inlineStr">
        <is>
          <t>SR 1515</t>
        </is>
      </c>
      <c r="H201">
        <v>10.078</v>
      </c>
      <c r="J201">
        <v>105319066</v>
      </c>
      <c r="K201" s="2">
        <v>43082</v>
      </c>
      <c r="L201">
        <v>17</v>
      </c>
      <c r="M201">
        <v>1</v>
      </c>
      <c r="N201">
        <v>0</v>
      </c>
      <c r="O201">
        <v>4</v>
      </c>
      <c r="P201" t="inlineStr">
        <is>
          <t>O</t>
        </is>
      </c>
    </row>
    <row r="202">
      <c r="A202" t="inlineStr">
        <is>
          <t>RURAL</t>
        </is>
      </c>
      <c r="B202" t="inlineStr">
        <is>
          <t>SR 1515</t>
        </is>
      </c>
      <c r="C202">
        <v>0.0</v>
      </c>
      <c r="E202" t="inlineStr">
        <is>
          <t>SR 1522</t>
        </is>
      </c>
      <c r="G202" t="inlineStr">
        <is>
          <t>SR 1515</t>
        </is>
      </c>
      <c r="H202">
        <v>10.078</v>
      </c>
      <c r="J202">
        <v>108054666</v>
      </c>
      <c r="K202" s="2">
        <v>45733</v>
      </c>
      <c r="L202">
        <v>32</v>
      </c>
      <c r="M202">
        <v>1</v>
      </c>
      <c r="N202">
        <v>8</v>
      </c>
      <c r="O202">
        <v>1</v>
      </c>
      <c r="P202" t="inlineStr">
        <is>
          <t>O</t>
        </is>
      </c>
    </row>
    <row r="203">
      <c r="A203" t="inlineStr">
        <is>
          <t>RURAL</t>
        </is>
      </c>
      <c r="B203" t="inlineStr">
        <is>
          <t>SR 1515</t>
        </is>
      </c>
      <c r="C203">
        <v>0.0</v>
      </c>
      <c r="E203" t="inlineStr">
        <is>
          <t>SR 1522</t>
        </is>
      </c>
      <c r="F203" t="inlineStr">
        <is>
          <t>SR 1523</t>
        </is>
      </c>
      <c r="G203" t="inlineStr">
        <is>
          <t>SR 1515</t>
        </is>
      </c>
      <c r="H203">
        <v>10.078</v>
      </c>
      <c r="J203">
        <v>106860515</v>
      </c>
      <c r="K203" s="2">
        <v>44604</v>
      </c>
      <c r="L203">
        <v>24</v>
      </c>
      <c r="M203">
        <v>1</v>
      </c>
      <c r="N203">
        <v>8</v>
      </c>
      <c r="O203">
        <v>1</v>
      </c>
      <c r="P203" t="inlineStr">
        <is>
          <t>O</t>
        </is>
      </c>
    </row>
    <row r="204">
      <c r="A204" t="inlineStr">
        <is>
          <t>OXFORD</t>
        </is>
      </c>
      <c r="B204" t="inlineStr">
        <is>
          <t>SR 1521</t>
        </is>
      </c>
      <c r="C204">
        <v>0.0</v>
      </c>
      <c r="E204" t="inlineStr">
        <is>
          <t>SR 1522</t>
        </is>
      </c>
      <c r="F204" t="inlineStr">
        <is>
          <t>US 158</t>
        </is>
      </c>
      <c r="G204" t="inlineStr">
        <is>
          <t>SR 1521</t>
        </is>
      </c>
      <c r="H204">
        <v>3.289</v>
      </c>
      <c r="J204">
        <v>107210034</v>
      </c>
      <c r="K204" s="2">
        <v>44936</v>
      </c>
      <c r="L204">
        <v>17</v>
      </c>
      <c r="M204">
        <v>1</v>
      </c>
      <c r="N204">
        <v>0</v>
      </c>
      <c r="O204">
        <v>5</v>
      </c>
      <c r="P204" t="inlineStr">
        <is>
          <t>O</t>
        </is>
      </c>
    </row>
    <row r="205">
      <c r="A205" t="inlineStr">
        <is>
          <t>RURAL</t>
        </is>
      </c>
      <c r="B205" t="inlineStr">
        <is>
          <t>SR 1521</t>
        </is>
      </c>
      <c r="C205">
        <v>0.0</v>
      </c>
      <c r="E205" t="inlineStr">
        <is>
          <t>SR 1522</t>
        </is>
      </c>
      <c r="F205" t="inlineStr">
        <is>
          <t>SR 1524</t>
        </is>
      </c>
      <c r="G205" t="inlineStr">
        <is>
          <t>SR 1521</t>
        </is>
      </c>
      <c r="H205">
        <v>3.289</v>
      </c>
      <c r="J205">
        <v>106752512</v>
      </c>
      <c r="K205" s="2">
        <v>44498</v>
      </c>
      <c r="L205">
        <v>28</v>
      </c>
      <c r="M205">
        <v>2</v>
      </c>
      <c r="N205">
        <v>8</v>
      </c>
      <c r="O205">
        <v>3</v>
      </c>
      <c r="P205" t="inlineStr">
        <is>
          <t>O</t>
        </is>
      </c>
    </row>
    <row r="206">
      <c r="A206" t="inlineStr">
        <is>
          <t>RURAL</t>
        </is>
      </c>
      <c r="B206" t="inlineStr">
        <is>
          <t>SR 1521</t>
        </is>
      </c>
      <c r="C206">
        <v>0.0</v>
      </c>
      <c r="D206" t="inlineStr">
        <is>
          <t>N</t>
        </is>
      </c>
      <c r="E206" t="inlineStr">
        <is>
          <t>SR 1522</t>
        </is>
      </c>
      <c r="F206" t="inlineStr">
        <is>
          <t>SR 1520</t>
        </is>
      </c>
      <c r="G206" t="inlineStr">
        <is>
          <t>SR 1521</t>
        </is>
      </c>
      <c r="H206">
        <v>3.289</v>
      </c>
      <c r="J206">
        <v>108433634</v>
      </c>
      <c r="K206" s="2">
        <v>46096</v>
      </c>
      <c r="L206">
        <v>17</v>
      </c>
      <c r="M206">
        <v>2</v>
      </c>
      <c r="N206">
        <v>0</v>
      </c>
      <c r="O206">
        <v>5</v>
      </c>
      <c r="P206" t="inlineStr">
        <is>
          <t>O</t>
        </is>
      </c>
    </row>
    <row r="207">
      <c r="A207" t="inlineStr">
        <is>
          <t>RURAL</t>
        </is>
      </c>
      <c r="B207" t="inlineStr">
        <is>
          <t>SR 1521</t>
        </is>
      </c>
      <c r="C207">
        <v>0.009</v>
      </c>
      <c r="D207" t="inlineStr">
        <is>
          <t>S</t>
        </is>
      </c>
      <c r="E207" t="inlineStr">
        <is>
          <t>SR 1522</t>
        </is>
      </c>
      <c r="F207" t="inlineStr">
        <is>
          <t>SR 1524</t>
        </is>
      </c>
      <c r="G207" t="inlineStr">
        <is>
          <t>SR 1521</t>
        </is>
      </c>
      <c r="H207">
        <v>3.298</v>
      </c>
      <c r="J207">
        <v>105770209</v>
      </c>
      <c r="K207" s="2">
        <v>43505</v>
      </c>
      <c r="L207">
        <v>29</v>
      </c>
      <c r="M207">
        <v>1</v>
      </c>
      <c r="N207">
        <v>0</v>
      </c>
      <c r="O207">
        <v>1</v>
      </c>
      <c r="P207" t="inlineStr">
        <is>
          <t>C</t>
        </is>
      </c>
    </row>
    <row r="208">
      <c r="A208" t="inlineStr">
        <is>
          <t>RURAL</t>
        </is>
      </c>
      <c r="B208" t="inlineStr">
        <is>
          <t>SR 1522</t>
        </is>
      </c>
      <c r="C208">
        <v>0.01</v>
      </c>
      <c r="D208" t="inlineStr">
        <is>
          <t>N</t>
        </is>
      </c>
      <c r="E208" t="inlineStr">
        <is>
          <t>SR 1528</t>
        </is>
      </c>
      <c r="F208" t="inlineStr">
        <is>
          <t>US 158</t>
        </is>
      </c>
      <c r="G208" t="inlineStr">
        <is>
          <t>SR 1522</t>
        </is>
      </c>
      <c r="H208">
        <v>0.533</v>
      </c>
      <c r="J208">
        <v>106727073</v>
      </c>
      <c r="K208" s="2">
        <v>44482</v>
      </c>
      <c r="L208">
        <v>17</v>
      </c>
      <c r="M208">
        <v>1</v>
      </c>
      <c r="N208">
        <v>0</v>
      </c>
      <c r="O208">
        <v>5</v>
      </c>
      <c r="P208" t="inlineStr">
        <is>
          <t>O</t>
        </is>
      </c>
    </row>
    <row r="209">
      <c r="A209" t="inlineStr">
        <is>
          <t>RURAL</t>
        </is>
      </c>
      <c r="B209" t="inlineStr">
        <is>
          <t>SR 1522</t>
        </is>
      </c>
      <c r="C209">
        <v>0.3</v>
      </c>
      <c r="D209" t="inlineStr">
        <is>
          <t>S</t>
        </is>
      </c>
      <c r="E209" t="inlineStr">
        <is>
          <t>US 158</t>
        </is>
      </c>
      <c r="F209" t="inlineStr">
        <is>
          <t>US 158BUS</t>
        </is>
      </c>
      <c r="G209" t="inlineStr">
        <is>
          <t>SR 1522</t>
        </is>
      </c>
      <c r="H209">
        <v>0.582</v>
      </c>
      <c r="J209">
        <v>106418480</v>
      </c>
      <c r="K209" s="2">
        <v>44161</v>
      </c>
      <c r="L209">
        <v>17</v>
      </c>
      <c r="M209">
        <v>2</v>
      </c>
      <c r="N209">
        <v>0</v>
      </c>
      <c r="O209">
        <v>5</v>
      </c>
      <c r="P209" t="inlineStr">
        <is>
          <t>O</t>
        </is>
      </c>
    </row>
    <row r="210">
      <c r="A210" t="inlineStr">
        <is>
          <t>RURAL</t>
        </is>
      </c>
      <c r="B210" t="inlineStr">
        <is>
          <t>SR 1522</t>
        </is>
      </c>
      <c r="C210">
        <v>0.1</v>
      </c>
      <c r="D210" t="inlineStr">
        <is>
          <t>S</t>
        </is>
      </c>
      <c r="E210" t="inlineStr">
        <is>
          <t>US 158</t>
        </is>
      </c>
      <c r="F210" t="inlineStr">
        <is>
          <t>WILLIAMSBORO</t>
        </is>
      </c>
      <c r="G210" t="inlineStr">
        <is>
          <t>SR 1522</t>
        </is>
      </c>
      <c r="H210">
        <v>0.782</v>
      </c>
      <c r="J210">
        <v>105206557</v>
      </c>
      <c r="K210" s="2">
        <v>42977</v>
      </c>
      <c r="L210">
        <v>27</v>
      </c>
      <c r="M210">
        <v>1</v>
      </c>
      <c r="N210">
        <v>0</v>
      </c>
      <c r="O210">
        <v>1</v>
      </c>
      <c r="P210" t="inlineStr">
        <is>
          <t>B</t>
        </is>
      </c>
    </row>
    <row r="211">
      <c r="A211" t="inlineStr">
        <is>
          <t>RURAL</t>
        </is>
      </c>
      <c r="B211" t="inlineStr">
        <is>
          <t>SR 1522</t>
        </is>
      </c>
      <c r="C211">
        <v>0.066</v>
      </c>
      <c r="D211" t="inlineStr">
        <is>
          <t>S</t>
        </is>
      </c>
      <c r="E211" t="inlineStr">
        <is>
          <t>US 158</t>
        </is>
      </c>
      <c r="F211" t="inlineStr">
        <is>
          <t>PVA EDGEWOOD DR</t>
        </is>
      </c>
      <c r="G211" t="inlineStr">
        <is>
          <t>SR 1522</t>
        </is>
      </c>
      <c r="H211">
        <v>0.816</v>
      </c>
      <c r="J211">
        <v>105715890</v>
      </c>
      <c r="K211" s="2">
        <v>43450</v>
      </c>
      <c r="L211">
        <v>19</v>
      </c>
      <c r="M211">
        <v>1</v>
      </c>
      <c r="N211">
        <v>0</v>
      </c>
      <c r="O211">
        <v>1</v>
      </c>
      <c r="P211" t="inlineStr">
        <is>
          <t>O</t>
        </is>
      </c>
    </row>
    <row r="212">
      <c r="A212" t="inlineStr">
        <is>
          <t>RURAL</t>
        </is>
      </c>
      <c r="B212" t="inlineStr">
        <is>
          <t>SR 1522</t>
        </is>
      </c>
      <c r="C212">
        <v>0.003</v>
      </c>
      <c r="D212" t="inlineStr">
        <is>
          <t>S</t>
        </is>
      </c>
      <c r="E212" t="inlineStr">
        <is>
          <t>US 158</t>
        </is>
      </c>
      <c r="F212" t="inlineStr">
        <is>
          <t>PVA EDGEWOOD DR</t>
        </is>
      </c>
      <c r="G212" t="inlineStr">
        <is>
          <t>SR 1522</t>
        </is>
      </c>
      <c r="H212">
        <v>0.879</v>
      </c>
      <c r="J212">
        <v>105113138</v>
      </c>
      <c r="K212" s="2">
        <v>42873</v>
      </c>
      <c r="L212">
        <v>21</v>
      </c>
      <c r="M212">
        <v>1</v>
      </c>
      <c r="N212">
        <v>0</v>
      </c>
      <c r="O212">
        <v>1</v>
      </c>
      <c r="P212" t="inlineStr">
        <is>
          <t>O</t>
        </is>
      </c>
    </row>
    <row r="213">
      <c r="A213" t="inlineStr">
        <is>
          <t>RURAL</t>
        </is>
      </c>
      <c r="B213" t="inlineStr">
        <is>
          <t>SR 1522</t>
        </is>
      </c>
      <c r="C213">
        <v>0.0</v>
      </c>
      <c r="E213" t="inlineStr">
        <is>
          <t>US 158</t>
        </is>
      </c>
      <c r="F213" t="inlineStr">
        <is>
          <t>SR 1513</t>
        </is>
      </c>
      <c r="G213" t="inlineStr">
        <is>
          <t>SR 1522</t>
        </is>
      </c>
      <c r="H213">
        <v>0.882</v>
      </c>
      <c r="J213">
        <v>108365462</v>
      </c>
      <c r="K213" s="2">
        <v>46029</v>
      </c>
      <c r="L213">
        <v>18</v>
      </c>
      <c r="M213">
        <v>1</v>
      </c>
      <c r="N213">
        <v>7</v>
      </c>
      <c r="O213">
        <v>1</v>
      </c>
      <c r="P213" t="inlineStr">
        <is>
          <t>O</t>
        </is>
      </c>
    </row>
    <row r="214">
      <c r="A214" t="inlineStr">
        <is>
          <t>RURAL</t>
        </is>
      </c>
      <c r="B214" t="inlineStr">
        <is>
          <t>SR 1522</t>
        </is>
      </c>
      <c r="C214">
        <v>0.0</v>
      </c>
      <c r="E214" t="inlineStr">
        <is>
          <t>US 158</t>
        </is>
      </c>
      <c r="F214" t="inlineStr">
        <is>
          <t>US 15</t>
        </is>
      </c>
      <c r="G214" t="inlineStr">
        <is>
          <t>SR 1522</t>
        </is>
      </c>
      <c r="H214">
        <v>0.882</v>
      </c>
      <c r="J214">
        <v>107684903</v>
      </c>
      <c r="K214" s="2">
        <v>45393</v>
      </c>
      <c r="L214">
        <v>25</v>
      </c>
      <c r="M214">
        <v>1</v>
      </c>
      <c r="N214">
        <v>7</v>
      </c>
      <c r="O214">
        <v>1</v>
      </c>
      <c r="P214" t="inlineStr">
        <is>
          <t>O</t>
        </is>
      </c>
    </row>
    <row r="215">
      <c r="A215" t="inlineStr">
        <is>
          <t>RURAL</t>
        </is>
      </c>
      <c r="B215" t="inlineStr">
        <is>
          <t>SR 1522</t>
        </is>
      </c>
      <c r="C215">
        <v>0.0</v>
      </c>
      <c r="E215" t="inlineStr">
        <is>
          <t>US 158</t>
        </is>
      </c>
      <c r="F215" t="inlineStr">
        <is>
          <t>US 15</t>
        </is>
      </c>
      <c r="G215" t="inlineStr">
        <is>
          <t>SR 1522</t>
        </is>
      </c>
      <c r="H215">
        <v>0.882</v>
      </c>
      <c r="J215">
        <v>106301368</v>
      </c>
      <c r="K215" s="2">
        <v>44047</v>
      </c>
      <c r="L215">
        <v>30</v>
      </c>
      <c r="M215">
        <v>1</v>
      </c>
      <c r="N215">
        <v>7</v>
      </c>
      <c r="O215">
        <v>1</v>
      </c>
      <c r="P215" t="inlineStr">
        <is>
          <t>C</t>
        </is>
      </c>
    </row>
    <row r="216">
      <c r="A216" t="inlineStr">
        <is>
          <t>RURAL</t>
        </is>
      </c>
      <c r="B216" t="inlineStr">
        <is>
          <t>SR 1522</t>
        </is>
      </c>
      <c r="C216">
        <v>0.0</v>
      </c>
      <c r="E216" t="inlineStr">
        <is>
          <t>US 158</t>
        </is>
      </c>
      <c r="F216" t="inlineStr">
        <is>
          <t>SR 1515</t>
        </is>
      </c>
      <c r="G216" t="inlineStr">
        <is>
          <t>SR 1522</t>
        </is>
      </c>
      <c r="H216">
        <v>0.882</v>
      </c>
      <c r="J216">
        <v>106039704</v>
      </c>
      <c r="K216" s="2">
        <v>43762</v>
      </c>
      <c r="L216">
        <v>25</v>
      </c>
      <c r="M216">
        <v>1</v>
      </c>
      <c r="N216">
        <v>7</v>
      </c>
      <c r="O216">
        <v>1</v>
      </c>
      <c r="P216" t="inlineStr">
        <is>
          <t>O</t>
        </is>
      </c>
    </row>
    <row r="217">
      <c r="A217" t="inlineStr">
        <is>
          <t>RURAL</t>
        </is>
      </c>
      <c r="B217" t="inlineStr">
        <is>
          <t>SR 1522</t>
        </is>
      </c>
      <c r="C217">
        <v>0.0</v>
      </c>
      <c r="E217" t="inlineStr">
        <is>
          <t>US 158</t>
        </is>
      </c>
      <c r="F217" t="inlineStr">
        <is>
          <t>SR 1515</t>
        </is>
      </c>
      <c r="G217" t="inlineStr">
        <is>
          <t>SR 1522</t>
        </is>
      </c>
      <c r="H217">
        <v>0.882</v>
      </c>
      <c r="J217">
        <v>105921384</v>
      </c>
      <c r="K217" s="2">
        <v>43655</v>
      </c>
      <c r="L217">
        <v>30</v>
      </c>
      <c r="M217">
        <v>1</v>
      </c>
      <c r="N217">
        <v>7</v>
      </c>
      <c r="O217">
        <v>1</v>
      </c>
      <c r="P217" t="inlineStr">
        <is>
          <t>B</t>
        </is>
      </c>
    </row>
    <row r="218">
      <c r="A218" t="inlineStr">
        <is>
          <t>RURAL</t>
        </is>
      </c>
      <c r="B218" t="inlineStr">
        <is>
          <t>SR 1522</t>
        </is>
      </c>
      <c r="C218">
        <v>0.0</v>
      </c>
      <c r="E218" t="inlineStr">
        <is>
          <t>US 158</t>
        </is>
      </c>
      <c r="F218" t="inlineStr">
        <is>
          <t>SR 1515</t>
        </is>
      </c>
      <c r="G218" t="inlineStr">
        <is>
          <t>SR 1522</t>
        </is>
      </c>
      <c r="H218">
        <v>0.882</v>
      </c>
      <c r="J218">
        <v>108184203</v>
      </c>
      <c r="K218" s="2">
        <v>45864</v>
      </c>
      <c r="L218">
        <v>30</v>
      </c>
      <c r="M218">
        <v>1</v>
      </c>
      <c r="N218">
        <v>7</v>
      </c>
      <c r="O218">
        <v>2</v>
      </c>
      <c r="P218" t="inlineStr">
        <is>
          <t>C</t>
        </is>
      </c>
    </row>
    <row r="219">
      <c r="A219" t="inlineStr">
        <is>
          <t>RURAL</t>
        </is>
      </c>
      <c r="B219" t="inlineStr">
        <is>
          <t>SR 1522</t>
        </is>
      </c>
      <c r="C219">
        <v>0.0</v>
      </c>
      <c r="E219" t="inlineStr">
        <is>
          <t>US 158</t>
        </is>
      </c>
      <c r="F219" t="inlineStr">
        <is>
          <t>SR 1515</t>
        </is>
      </c>
      <c r="G219" t="inlineStr">
        <is>
          <t>SR 1522</t>
        </is>
      </c>
      <c r="H219">
        <v>0.882</v>
      </c>
      <c r="J219">
        <v>105227631</v>
      </c>
      <c r="K219" s="2">
        <v>42995</v>
      </c>
      <c r="L219">
        <v>30</v>
      </c>
      <c r="M219">
        <v>1</v>
      </c>
      <c r="N219">
        <v>7</v>
      </c>
      <c r="O219">
        <v>1</v>
      </c>
      <c r="P219" t="inlineStr">
        <is>
          <t>O</t>
        </is>
      </c>
    </row>
    <row r="220">
      <c r="A220" t="inlineStr">
        <is>
          <t>RURAL</t>
        </is>
      </c>
      <c r="B220" t="inlineStr">
        <is>
          <t>SR 1522</t>
        </is>
      </c>
      <c r="C220">
        <v>0.0</v>
      </c>
      <c r="E220" t="inlineStr">
        <is>
          <t>US 158</t>
        </is>
      </c>
      <c r="F220" t="inlineStr">
        <is>
          <t>EDGEWOOD</t>
        </is>
      </c>
      <c r="G220" t="inlineStr">
        <is>
          <t>SR 1522</t>
        </is>
      </c>
      <c r="H220">
        <v>0.882</v>
      </c>
      <c r="J220">
        <v>108090119</v>
      </c>
      <c r="K220" s="2">
        <v>45769</v>
      </c>
      <c r="L220">
        <v>30</v>
      </c>
      <c r="M220">
        <v>1</v>
      </c>
      <c r="N220">
        <v>7</v>
      </c>
      <c r="O220">
        <v>1</v>
      </c>
      <c r="P220" t="inlineStr">
        <is>
          <t>C</t>
        </is>
      </c>
    </row>
    <row r="221">
      <c r="A221" t="inlineStr">
        <is>
          <t>OXFORD</t>
        </is>
      </c>
      <c r="B221" t="inlineStr">
        <is>
          <t>SR 1522</t>
        </is>
      </c>
      <c r="C221">
        <v>0.0</v>
      </c>
      <c r="D221" t="inlineStr">
        <is>
          <t>S</t>
        </is>
      </c>
      <c r="E221" t="inlineStr">
        <is>
          <t>US 158</t>
        </is>
      </c>
      <c r="F221" t="inlineStr">
        <is>
          <t>NC 96</t>
        </is>
      </c>
      <c r="G221" t="inlineStr">
        <is>
          <t>SR 1522</t>
        </is>
      </c>
      <c r="H221">
        <v>0.882</v>
      </c>
      <c r="J221">
        <v>107148989</v>
      </c>
      <c r="K221" s="2">
        <v>44873</v>
      </c>
      <c r="L221">
        <v>28</v>
      </c>
      <c r="M221">
        <v>1</v>
      </c>
      <c r="N221">
        <v>7</v>
      </c>
      <c r="O221">
        <v>1</v>
      </c>
      <c r="P221" t="inlineStr">
        <is>
          <t>O</t>
        </is>
      </c>
    </row>
    <row r="222">
      <c r="A222" t="inlineStr">
        <is>
          <t>RURAL</t>
        </is>
      </c>
      <c r="B222" t="inlineStr">
        <is>
          <t>SR 1522</t>
        </is>
      </c>
      <c r="C222">
        <v>0.004</v>
      </c>
      <c r="D222" t="inlineStr">
        <is>
          <t>N</t>
        </is>
      </c>
      <c r="E222" t="inlineStr">
        <is>
          <t>US 158</t>
        </is>
      </c>
      <c r="F222" t="inlineStr">
        <is>
          <t>SR 1515</t>
        </is>
      </c>
      <c r="G222" t="inlineStr">
        <is>
          <t>SR 1522</t>
        </is>
      </c>
      <c r="H222">
        <v>0.886</v>
      </c>
      <c r="J222">
        <v>107156144</v>
      </c>
      <c r="K222" s="2">
        <v>44882</v>
      </c>
      <c r="L222">
        <v>21</v>
      </c>
      <c r="M222">
        <v>1</v>
      </c>
      <c r="N222">
        <v>7</v>
      </c>
      <c r="O222">
        <v>1</v>
      </c>
      <c r="P222" t="inlineStr">
        <is>
          <t>O</t>
        </is>
      </c>
    </row>
    <row r="223">
      <c r="A223" t="inlineStr">
        <is>
          <t>RURAL</t>
        </is>
      </c>
      <c r="B223" t="inlineStr">
        <is>
          <t>SR 1522</t>
        </is>
      </c>
      <c r="C223">
        <v>0.004</v>
      </c>
      <c r="D223" t="inlineStr">
        <is>
          <t>N</t>
        </is>
      </c>
      <c r="E223" t="inlineStr">
        <is>
          <t>US 158</t>
        </is>
      </c>
      <c r="F223" t="inlineStr">
        <is>
          <t>SR 1515</t>
        </is>
      </c>
      <c r="G223" t="inlineStr">
        <is>
          <t>SR 1522</t>
        </is>
      </c>
      <c r="H223">
        <v>0.886</v>
      </c>
      <c r="J223">
        <v>106540370</v>
      </c>
      <c r="K223" s="2">
        <v>44295</v>
      </c>
      <c r="L223">
        <v>21</v>
      </c>
      <c r="M223">
        <v>1</v>
      </c>
      <c r="N223">
        <v>0</v>
      </c>
      <c r="O223">
        <v>1</v>
      </c>
      <c r="P223" t="inlineStr">
        <is>
          <t>O</t>
        </is>
      </c>
    </row>
    <row r="224">
      <c r="A224" t="inlineStr">
        <is>
          <t>RURAL</t>
        </is>
      </c>
      <c r="B224" t="inlineStr">
        <is>
          <t>SR 1522</t>
        </is>
      </c>
      <c r="C224">
        <v>0.014</v>
      </c>
      <c r="D224" t="inlineStr">
        <is>
          <t>N</t>
        </is>
      </c>
      <c r="E224" t="inlineStr">
        <is>
          <t>US 158</t>
        </is>
      </c>
      <c r="F224" t="inlineStr">
        <is>
          <t>SR 1515</t>
        </is>
      </c>
      <c r="G224" t="inlineStr">
        <is>
          <t>SR 1522</t>
        </is>
      </c>
      <c r="H224">
        <v>0.896</v>
      </c>
      <c r="J224">
        <v>105142894</v>
      </c>
      <c r="K224" s="2">
        <v>42910</v>
      </c>
      <c r="L224">
        <v>21</v>
      </c>
      <c r="M224">
        <v>1</v>
      </c>
      <c r="N224">
        <v>0</v>
      </c>
      <c r="O224">
        <v>1</v>
      </c>
      <c r="P224" t="inlineStr">
        <is>
          <t>O</t>
        </is>
      </c>
    </row>
    <row r="225">
      <c r="A225" t="inlineStr">
        <is>
          <t>RURAL</t>
        </is>
      </c>
      <c r="B225" t="inlineStr">
        <is>
          <t>SR 1522</t>
        </is>
      </c>
      <c r="C225">
        <v>0.2</v>
      </c>
      <c r="D225" t="inlineStr">
        <is>
          <t>S</t>
        </is>
      </c>
      <c r="E225" t="inlineStr">
        <is>
          <t>SR 1515</t>
        </is>
      </c>
      <c r="F225" t="inlineStr">
        <is>
          <t>US 158</t>
        </is>
      </c>
      <c r="G225" t="inlineStr">
        <is>
          <t>SR 1522</t>
        </is>
      </c>
      <c r="H225">
        <v>1.008</v>
      </c>
      <c r="J225">
        <v>107555740</v>
      </c>
      <c r="K225" s="2">
        <v>45258</v>
      </c>
      <c r="L225">
        <v>21</v>
      </c>
      <c r="M225">
        <v>1</v>
      </c>
      <c r="N225">
        <v>0</v>
      </c>
      <c r="O225">
        <v>1</v>
      </c>
      <c r="P225" t="inlineStr">
        <is>
          <t>O</t>
        </is>
      </c>
    </row>
    <row r="226">
      <c r="A226" t="inlineStr">
        <is>
          <t>RURAL</t>
        </is>
      </c>
      <c r="B226" t="inlineStr">
        <is>
          <t>SR 1522</t>
        </is>
      </c>
      <c r="C226">
        <v>0.2</v>
      </c>
      <c r="D226" t="inlineStr">
        <is>
          <t>N</t>
        </is>
      </c>
      <c r="E226" t="inlineStr">
        <is>
          <t>US 158</t>
        </is>
      </c>
      <c r="F226" t="inlineStr">
        <is>
          <t>SR 1515</t>
        </is>
      </c>
      <c r="G226" t="inlineStr">
        <is>
          <t>SR 1522</t>
        </is>
      </c>
      <c r="H226">
        <v>1.082</v>
      </c>
      <c r="J226">
        <v>106636747</v>
      </c>
      <c r="K226" s="2">
        <v>44392</v>
      </c>
      <c r="L226">
        <v>28</v>
      </c>
      <c r="M226">
        <v>1</v>
      </c>
      <c r="N226">
        <v>0</v>
      </c>
      <c r="O226">
        <v>1</v>
      </c>
      <c r="P226" t="inlineStr">
        <is>
          <t>O</t>
        </is>
      </c>
    </row>
    <row r="227">
      <c r="A227" t="inlineStr">
        <is>
          <t>RURAL</t>
        </is>
      </c>
      <c r="B227" t="inlineStr">
        <is>
          <t>SR 1522</t>
        </is>
      </c>
      <c r="C227">
        <v>0.2</v>
      </c>
      <c r="D227" t="inlineStr">
        <is>
          <t>N</t>
        </is>
      </c>
      <c r="E227" t="inlineStr">
        <is>
          <t>SR 1515</t>
        </is>
      </c>
      <c r="F227" t="inlineStr">
        <is>
          <t>SR 1523</t>
        </is>
      </c>
      <c r="G227" t="inlineStr">
        <is>
          <t>SR 1522</t>
        </is>
      </c>
      <c r="H227">
        <v>1.408</v>
      </c>
      <c r="J227">
        <v>108307988</v>
      </c>
      <c r="K227" s="2">
        <v>45976</v>
      </c>
      <c r="L227">
        <v>5</v>
      </c>
      <c r="M227">
        <v>1</v>
      </c>
      <c r="N227">
        <v>0</v>
      </c>
      <c r="O227">
        <v>1</v>
      </c>
      <c r="P227" t="inlineStr">
        <is>
          <t>O</t>
        </is>
      </c>
    </row>
    <row r="228">
      <c r="A228" t="inlineStr">
        <is>
          <t>RURAL</t>
        </is>
      </c>
      <c r="B228" t="inlineStr">
        <is>
          <t>SR 1522</t>
        </is>
      </c>
      <c r="C228">
        <v>0.2</v>
      </c>
      <c r="D228" t="inlineStr">
        <is>
          <t>N</t>
        </is>
      </c>
      <c r="E228" t="inlineStr">
        <is>
          <t>SR 1515</t>
        </is>
      </c>
      <c r="F228" t="inlineStr">
        <is>
          <t>SR 1523</t>
        </is>
      </c>
      <c r="G228" t="inlineStr">
        <is>
          <t>SR 1522</t>
        </is>
      </c>
      <c r="H228">
        <v>1.408</v>
      </c>
      <c r="J228">
        <v>107906579</v>
      </c>
      <c r="K228" s="2">
        <v>45590</v>
      </c>
      <c r="L228">
        <v>21</v>
      </c>
      <c r="M228">
        <v>1</v>
      </c>
      <c r="N228">
        <v>4</v>
      </c>
      <c r="O228">
        <v>1</v>
      </c>
      <c r="P228" t="inlineStr">
        <is>
          <t>B</t>
        </is>
      </c>
    </row>
    <row r="229">
      <c r="A229" t="inlineStr">
        <is>
          <t>RURAL</t>
        </is>
      </c>
      <c r="B229" t="inlineStr">
        <is>
          <t>SR 1522</t>
        </is>
      </c>
      <c r="C229">
        <v>0.2</v>
      </c>
      <c r="D229" t="inlineStr">
        <is>
          <t>N</t>
        </is>
      </c>
      <c r="E229" t="inlineStr">
        <is>
          <t>SR 1515</t>
        </is>
      </c>
      <c r="F229" t="inlineStr">
        <is>
          <t>SR 1521</t>
        </is>
      </c>
      <c r="G229" t="inlineStr">
        <is>
          <t>SR 1522</t>
        </is>
      </c>
      <c r="H229">
        <v>1.408</v>
      </c>
      <c r="J229">
        <v>106910589</v>
      </c>
      <c r="K229" s="2">
        <v>44651</v>
      </c>
      <c r="L229">
        <v>5</v>
      </c>
      <c r="M229">
        <v>2</v>
      </c>
      <c r="N229">
        <v>0</v>
      </c>
      <c r="O229">
        <v>5</v>
      </c>
      <c r="P229" t="inlineStr">
        <is>
          <t>B</t>
        </is>
      </c>
    </row>
    <row r="230">
      <c r="A230" t="inlineStr">
        <is>
          <t>RURAL</t>
        </is>
      </c>
      <c r="B230" t="inlineStr">
        <is>
          <t>SR 1522</t>
        </is>
      </c>
      <c r="C230">
        <v>0.3</v>
      </c>
      <c r="D230" t="inlineStr">
        <is>
          <t>N</t>
        </is>
      </c>
      <c r="E230" t="inlineStr">
        <is>
          <t>SR 1515</t>
        </is>
      </c>
      <c r="F230" t="inlineStr">
        <is>
          <t>SR 1521</t>
        </is>
      </c>
      <c r="G230" t="inlineStr">
        <is>
          <t>SR 1522</t>
        </is>
      </c>
      <c r="H230">
        <v>1.508</v>
      </c>
      <c r="J230">
        <v>107035517</v>
      </c>
      <c r="K230" s="2">
        <v>44776</v>
      </c>
      <c r="L230">
        <v>29</v>
      </c>
      <c r="M230">
        <v>1</v>
      </c>
      <c r="N230">
        <v>0</v>
      </c>
      <c r="O230">
        <v>1</v>
      </c>
      <c r="P230" t="inlineStr">
        <is>
          <t>O</t>
        </is>
      </c>
    </row>
    <row r="231">
      <c r="A231" t="inlineStr">
        <is>
          <t>RURAL</t>
        </is>
      </c>
      <c r="B231" t="inlineStr">
        <is>
          <t>SR 1522</t>
        </is>
      </c>
      <c r="C231">
        <v>1.5</v>
      </c>
      <c r="D231" t="inlineStr">
        <is>
          <t>S</t>
        </is>
      </c>
      <c r="E231" t="inlineStr">
        <is>
          <t>SR 1521</t>
        </is>
      </c>
      <c r="F231" t="inlineStr">
        <is>
          <t>SR 1533</t>
        </is>
      </c>
      <c r="G231" t="inlineStr">
        <is>
          <t>SR 1522</t>
        </is>
      </c>
      <c r="H231">
        <v>1.604</v>
      </c>
      <c r="J231">
        <v>108414530</v>
      </c>
      <c r="K231" s="2">
        <v>46072</v>
      </c>
      <c r="L231">
        <v>19</v>
      </c>
      <c r="M231">
        <v>2</v>
      </c>
      <c r="N231">
        <v>0</v>
      </c>
      <c r="O231">
        <v>5</v>
      </c>
      <c r="P231" t="inlineStr">
        <is>
          <t>O</t>
        </is>
      </c>
    </row>
    <row r="232">
      <c r="A232" t="inlineStr">
        <is>
          <t>RURAL</t>
        </is>
      </c>
      <c r="B232" t="inlineStr">
        <is>
          <t>SR 1522</t>
        </is>
      </c>
      <c r="C232">
        <v>1.0</v>
      </c>
      <c r="D232" t="inlineStr">
        <is>
          <t>E</t>
        </is>
      </c>
      <c r="E232" t="inlineStr">
        <is>
          <t>US 158</t>
        </is>
      </c>
      <c r="F232" t="inlineStr">
        <is>
          <t>SR 1195</t>
        </is>
      </c>
      <c r="G232" t="inlineStr">
        <is>
          <t>SR 1522</t>
        </is>
      </c>
      <c r="H232">
        <v>1.882</v>
      </c>
      <c r="J232">
        <v>105994366</v>
      </c>
      <c r="K232" s="2">
        <v>43725</v>
      </c>
      <c r="L232">
        <v>17</v>
      </c>
      <c r="M232">
        <v>1</v>
      </c>
      <c r="N232">
        <v>0</v>
      </c>
      <c r="O232">
        <v>5</v>
      </c>
      <c r="P232" t="inlineStr">
        <is>
          <t>O</t>
        </is>
      </c>
    </row>
    <row r="233">
      <c r="A233" t="inlineStr">
        <is>
          <t>RURAL</t>
        </is>
      </c>
      <c r="B233" t="inlineStr">
        <is>
          <t>SR 1522</t>
        </is>
      </c>
      <c r="C233">
        <v>0.0</v>
      </c>
      <c r="E233" t="inlineStr">
        <is>
          <t>SR 1523</t>
        </is>
      </c>
      <c r="F233" t="inlineStr">
        <is>
          <t>SR 1521</t>
        </is>
      </c>
      <c r="G233" t="inlineStr">
        <is>
          <t>SR 1522</t>
        </is>
      </c>
      <c r="H233">
        <v>1.913</v>
      </c>
      <c r="J233">
        <v>105807326</v>
      </c>
      <c r="K233" s="2">
        <v>43543</v>
      </c>
      <c r="L233">
        <v>21</v>
      </c>
      <c r="M233">
        <v>1</v>
      </c>
      <c r="N233">
        <v>8</v>
      </c>
      <c r="O233">
        <v>1</v>
      </c>
      <c r="P233" t="inlineStr">
        <is>
          <t>O</t>
        </is>
      </c>
    </row>
    <row r="234">
      <c r="A234" t="inlineStr">
        <is>
          <t>RURAL</t>
        </is>
      </c>
      <c r="B234" t="inlineStr">
        <is>
          <t>SR 1522</t>
        </is>
      </c>
      <c r="C234">
        <v>0.5</v>
      </c>
      <c r="D234" t="inlineStr">
        <is>
          <t>S</t>
        </is>
      </c>
      <c r="E234" t="inlineStr">
        <is>
          <t>SR 1525</t>
        </is>
      </c>
      <c r="F234" t="inlineStr">
        <is>
          <t>SR 1515</t>
        </is>
      </c>
      <c r="G234" t="inlineStr">
        <is>
          <t>SR 1522</t>
        </is>
      </c>
      <c r="H234">
        <v>1.984</v>
      </c>
      <c r="J234">
        <v>107434441</v>
      </c>
      <c r="K234" s="2">
        <v>45146</v>
      </c>
      <c r="L234">
        <v>24</v>
      </c>
      <c r="M234">
        <v>1</v>
      </c>
      <c r="N234">
        <v>8</v>
      </c>
      <c r="O234">
        <v>1</v>
      </c>
      <c r="P234" t="inlineStr">
        <is>
          <t>C</t>
        </is>
      </c>
    </row>
    <row r="235">
      <c r="A235" t="inlineStr">
        <is>
          <t>RURAL</t>
        </is>
      </c>
      <c r="B235" t="inlineStr">
        <is>
          <t>SR 1522</t>
        </is>
      </c>
      <c r="C235">
        <v>0.8</v>
      </c>
      <c r="D235" t="inlineStr">
        <is>
          <t>E</t>
        </is>
      </c>
      <c r="E235" t="inlineStr">
        <is>
          <t>SR 1515</t>
        </is>
      </c>
      <c r="F235" t="inlineStr">
        <is>
          <t>SR 1523</t>
        </is>
      </c>
      <c r="G235" t="inlineStr">
        <is>
          <t>SR 1522</t>
        </is>
      </c>
      <c r="H235">
        <v>2.008</v>
      </c>
      <c r="J235">
        <v>106313586</v>
      </c>
      <c r="K235" s="2">
        <v>44058</v>
      </c>
      <c r="L235">
        <v>19</v>
      </c>
      <c r="M235">
        <v>2</v>
      </c>
      <c r="N235">
        <v>0</v>
      </c>
      <c r="O235">
        <v>5</v>
      </c>
      <c r="P235" t="inlineStr">
        <is>
          <t>B</t>
        </is>
      </c>
    </row>
    <row r="236">
      <c r="A236" t="inlineStr">
        <is>
          <t>RURAL</t>
        </is>
      </c>
      <c r="B236" t="inlineStr">
        <is>
          <t>SR 1522</t>
        </is>
      </c>
      <c r="C236">
        <v>0.2</v>
      </c>
      <c r="D236" t="inlineStr">
        <is>
          <t>S</t>
        </is>
      </c>
      <c r="E236" t="inlineStr">
        <is>
          <t>SR 1525</t>
        </is>
      </c>
      <c r="F236" t="inlineStr">
        <is>
          <t>SR 1195</t>
        </is>
      </c>
      <c r="G236" t="inlineStr">
        <is>
          <t>SR 1522</t>
        </is>
      </c>
      <c r="H236">
        <v>2.284</v>
      </c>
      <c r="J236">
        <v>106993246</v>
      </c>
      <c r="K236" s="2">
        <v>44732</v>
      </c>
      <c r="L236">
        <v>17</v>
      </c>
      <c r="M236">
        <v>1</v>
      </c>
      <c r="N236">
        <v>0</v>
      </c>
      <c r="O236">
        <v>1</v>
      </c>
      <c r="P236" t="inlineStr">
        <is>
          <t>O</t>
        </is>
      </c>
    </row>
    <row r="237">
      <c r="A237" t="inlineStr">
        <is>
          <t>RURAL</t>
        </is>
      </c>
      <c r="B237" t="inlineStr">
        <is>
          <t>SR 1522</t>
        </is>
      </c>
      <c r="C237">
        <v>0.5</v>
      </c>
      <c r="D237" t="inlineStr">
        <is>
          <t>NE</t>
        </is>
      </c>
      <c r="E237" t="inlineStr">
        <is>
          <t>SR 1523</t>
        </is>
      </c>
      <c r="F237" t="inlineStr">
        <is>
          <t>SR 1521</t>
        </is>
      </c>
      <c r="G237" t="inlineStr">
        <is>
          <t>SR 1522</t>
        </is>
      </c>
      <c r="H237">
        <v>2.413</v>
      </c>
      <c r="J237">
        <v>105210501</v>
      </c>
      <c r="K237" s="2">
        <v>42979</v>
      </c>
      <c r="L237">
        <v>19</v>
      </c>
      <c r="M237">
        <v>2</v>
      </c>
      <c r="N237">
        <v>5</v>
      </c>
      <c r="O237">
        <v>2</v>
      </c>
      <c r="P237" t="inlineStr">
        <is>
          <t>C</t>
        </is>
      </c>
    </row>
    <row r="238">
      <c r="A238" t="inlineStr">
        <is>
          <t>RURAL</t>
        </is>
      </c>
      <c r="B238" t="inlineStr">
        <is>
          <t>SR 1522</t>
        </is>
      </c>
      <c r="C238">
        <v>0.085</v>
      </c>
      <c r="D238" t="inlineStr">
        <is>
          <t>N</t>
        </is>
      </c>
      <c r="E238" t="inlineStr">
        <is>
          <t>SR 1525</t>
        </is>
      </c>
      <c r="F238" t="inlineStr">
        <is>
          <t>SR 1513</t>
        </is>
      </c>
      <c r="G238" t="inlineStr">
        <is>
          <t>SR 1522</t>
        </is>
      </c>
      <c r="H238">
        <v>2.569</v>
      </c>
      <c r="J238">
        <v>107211217</v>
      </c>
      <c r="K238" s="2">
        <v>44929</v>
      </c>
      <c r="L238">
        <v>19</v>
      </c>
      <c r="M238">
        <v>1</v>
      </c>
      <c r="N238">
        <v>0</v>
      </c>
      <c r="O238">
        <v>1</v>
      </c>
      <c r="P238" t="inlineStr">
        <is>
          <t>O</t>
        </is>
      </c>
    </row>
    <row r="239">
      <c r="A239" t="inlineStr">
        <is>
          <t>RURAL</t>
        </is>
      </c>
      <c r="B239" t="inlineStr">
        <is>
          <t>SR 1522</t>
        </is>
      </c>
      <c r="C239">
        <v>0.2</v>
      </c>
      <c r="D239" t="inlineStr">
        <is>
          <t>E</t>
        </is>
      </c>
      <c r="E239" t="inlineStr">
        <is>
          <t>SR 1525</t>
        </is>
      </c>
      <c r="F239" t="inlineStr">
        <is>
          <t>SR 1513</t>
        </is>
      </c>
      <c r="G239" t="inlineStr">
        <is>
          <t>SR 1522</t>
        </is>
      </c>
      <c r="H239">
        <v>2.684</v>
      </c>
      <c r="J239">
        <v>108407980</v>
      </c>
      <c r="K239" s="2">
        <v>46071</v>
      </c>
      <c r="L239">
        <v>17</v>
      </c>
      <c r="M239">
        <v>1</v>
      </c>
      <c r="N239">
        <v>0</v>
      </c>
      <c r="O239">
        <v>5</v>
      </c>
      <c r="P239" t="inlineStr">
        <is>
          <t>O</t>
        </is>
      </c>
    </row>
    <row r="240">
      <c r="A240" t="inlineStr">
        <is>
          <t>RURAL</t>
        </is>
      </c>
      <c r="B240" t="inlineStr">
        <is>
          <t>SR 1522</t>
        </is>
      </c>
      <c r="C240">
        <v>0.2</v>
      </c>
      <c r="D240" t="inlineStr">
        <is>
          <t>S</t>
        </is>
      </c>
      <c r="E240" t="inlineStr">
        <is>
          <t>SR 1521</t>
        </is>
      </c>
      <c r="F240" t="inlineStr">
        <is>
          <t>SR 1525</t>
        </is>
      </c>
      <c r="G240" t="inlineStr">
        <is>
          <t>SR 1522</t>
        </is>
      </c>
      <c r="H240">
        <v>2.904</v>
      </c>
      <c r="J240">
        <v>107935293</v>
      </c>
      <c r="K240" s="2">
        <v>45619</v>
      </c>
      <c r="L240">
        <v>17</v>
      </c>
      <c r="M240">
        <v>1</v>
      </c>
      <c r="N240">
        <v>0</v>
      </c>
      <c r="O240">
        <v>1</v>
      </c>
      <c r="P240" t="inlineStr">
        <is>
          <t>O</t>
        </is>
      </c>
    </row>
    <row r="241">
      <c r="A241" t="inlineStr">
        <is>
          <t>RURAL</t>
        </is>
      </c>
      <c r="B241" t="inlineStr">
        <is>
          <t>SR 1522</t>
        </is>
      </c>
      <c r="C241">
        <v>0.1</v>
      </c>
      <c r="D241" t="inlineStr">
        <is>
          <t>W</t>
        </is>
      </c>
      <c r="E241" t="inlineStr">
        <is>
          <t>SR 1521</t>
        </is>
      </c>
      <c r="F241" t="inlineStr">
        <is>
          <t>SR 1533</t>
        </is>
      </c>
      <c r="G241" t="inlineStr">
        <is>
          <t>SR 1522</t>
        </is>
      </c>
      <c r="H241">
        <v>3.004</v>
      </c>
      <c r="J241">
        <v>106533831</v>
      </c>
      <c r="K241" s="2">
        <v>44283</v>
      </c>
      <c r="L241">
        <v>19</v>
      </c>
      <c r="M241">
        <v>1</v>
      </c>
      <c r="N241">
        <v>0</v>
      </c>
      <c r="O241">
        <v>5</v>
      </c>
      <c r="P241" t="inlineStr">
        <is>
          <t>O</t>
        </is>
      </c>
    </row>
    <row r="242">
      <c r="A242" t="inlineStr">
        <is>
          <t>RURAL</t>
        </is>
      </c>
      <c r="B242" t="inlineStr">
        <is>
          <t>SR 1522</t>
        </is>
      </c>
      <c r="C242">
        <v>0.29</v>
      </c>
      <c r="D242" t="inlineStr">
        <is>
          <t>E</t>
        </is>
      </c>
      <c r="E242" t="inlineStr">
        <is>
          <t>SR 1521</t>
        </is>
      </c>
      <c r="F242" t="inlineStr">
        <is>
          <t>SR 1533</t>
        </is>
      </c>
      <c r="G242" t="inlineStr">
        <is>
          <t>SR 1522</t>
        </is>
      </c>
      <c r="H242">
        <v>3.394</v>
      </c>
      <c r="J242">
        <v>108530730</v>
      </c>
      <c r="K242" s="2">
        <v>46187</v>
      </c>
      <c r="L242">
        <v>19</v>
      </c>
      <c r="M242">
        <v>1</v>
      </c>
      <c r="N242">
        <v>0</v>
      </c>
      <c r="O242">
        <v>1</v>
      </c>
      <c r="P242" t="inlineStr">
        <is>
          <t>B</t>
        </is>
      </c>
    </row>
    <row r="243">
      <c r="A243" t="inlineStr">
        <is>
          <t>RURAL</t>
        </is>
      </c>
      <c r="B243" t="inlineStr">
        <is>
          <t>SR 1522</t>
        </is>
      </c>
      <c r="C243">
        <v>0.29</v>
      </c>
      <c r="D243" t="inlineStr">
        <is>
          <t>E</t>
        </is>
      </c>
      <c r="E243" t="inlineStr">
        <is>
          <t>SR 1521</t>
        </is>
      </c>
      <c r="F243" t="inlineStr">
        <is>
          <t>SR 1533</t>
        </is>
      </c>
      <c r="G243" t="inlineStr">
        <is>
          <t>SR 1522</t>
        </is>
      </c>
      <c r="H243">
        <v>3.394</v>
      </c>
      <c r="J243">
        <v>108532682</v>
      </c>
      <c r="K243" s="2">
        <v>46187</v>
      </c>
      <c r="L243">
        <v>31</v>
      </c>
      <c r="M243">
        <v>1</v>
      </c>
      <c r="N243">
        <v>0</v>
      </c>
      <c r="O243">
        <v>1</v>
      </c>
      <c r="P243" t="inlineStr">
        <is>
          <t>O</t>
        </is>
      </c>
    </row>
    <row r="244">
      <c r="A244" t="inlineStr">
        <is>
          <t>RURAL</t>
        </is>
      </c>
      <c r="B244" t="inlineStr">
        <is>
          <t>SR 1522</t>
        </is>
      </c>
      <c r="C244">
        <v>0.3</v>
      </c>
      <c r="D244" t="inlineStr">
        <is>
          <t>E</t>
        </is>
      </c>
      <c r="E244" t="inlineStr">
        <is>
          <t>SR 1521</t>
        </is>
      </c>
      <c r="F244" t="inlineStr">
        <is>
          <t>SR 1526</t>
        </is>
      </c>
      <c r="G244" t="inlineStr">
        <is>
          <t>SR 1522</t>
        </is>
      </c>
      <c r="H244">
        <v>3.404</v>
      </c>
      <c r="J244">
        <v>105890878</v>
      </c>
      <c r="K244" s="2">
        <v>43622</v>
      </c>
      <c r="L244">
        <v>27</v>
      </c>
      <c r="M244">
        <v>1</v>
      </c>
      <c r="N244">
        <v>0</v>
      </c>
      <c r="O244">
        <v>1</v>
      </c>
      <c r="P244" t="inlineStr">
        <is>
          <t>B</t>
        </is>
      </c>
    </row>
    <row r="245">
      <c r="A245" t="inlineStr">
        <is>
          <t>RURAL</t>
        </is>
      </c>
      <c r="B245" t="inlineStr">
        <is>
          <t>SR 1522</t>
        </is>
      </c>
      <c r="C245">
        <v>0.3</v>
      </c>
      <c r="D245" t="inlineStr">
        <is>
          <t>NE</t>
        </is>
      </c>
      <c r="E245" t="inlineStr">
        <is>
          <t>SR 1521</t>
        </is>
      </c>
      <c r="F245" t="inlineStr">
        <is>
          <t>SR 1533</t>
        </is>
      </c>
      <c r="G245" t="inlineStr">
        <is>
          <t>SR 1522</t>
        </is>
      </c>
      <c r="H245">
        <v>3.404</v>
      </c>
      <c r="J245">
        <v>106224797</v>
      </c>
      <c r="K245" s="2">
        <v>43964</v>
      </c>
      <c r="L245">
        <v>17</v>
      </c>
      <c r="M245">
        <v>1</v>
      </c>
      <c r="N245">
        <v>0</v>
      </c>
      <c r="O245">
        <v>1</v>
      </c>
      <c r="P245" t="inlineStr">
        <is>
          <t>O</t>
        </is>
      </c>
    </row>
    <row r="246">
      <c r="A246" t="inlineStr">
        <is>
          <t>RURAL</t>
        </is>
      </c>
      <c r="B246" t="inlineStr">
        <is>
          <t>SR 1522</t>
        </is>
      </c>
      <c r="C246">
        <v>0.3</v>
      </c>
      <c r="D246" t="inlineStr">
        <is>
          <t>W</t>
        </is>
      </c>
      <c r="E246" t="inlineStr">
        <is>
          <t>SR 1533</t>
        </is>
      </c>
      <c r="F246" t="inlineStr">
        <is>
          <t>SR 1521</t>
        </is>
      </c>
      <c r="G246" t="inlineStr">
        <is>
          <t>SR 1522</t>
        </is>
      </c>
      <c r="H246">
        <v>3.806</v>
      </c>
      <c r="J246">
        <v>106189866</v>
      </c>
      <c r="K246" s="2">
        <v>43911</v>
      </c>
      <c r="L246">
        <v>19</v>
      </c>
      <c r="M246">
        <v>1</v>
      </c>
      <c r="N246">
        <v>0</v>
      </c>
      <c r="O246">
        <v>1</v>
      </c>
      <c r="P246" t="inlineStr">
        <is>
          <t>B</t>
        </is>
      </c>
    </row>
    <row r="247">
      <c r="A247" t="inlineStr">
        <is>
          <t>RURAL</t>
        </is>
      </c>
      <c r="B247" t="inlineStr">
        <is>
          <t>SR 1522</t>
        </is>
      </c>
      <c r="C247">
        <v>0.2</v>
      </c>
      <c r="D247" t="inlineStr">
        <is>
          <t>W</t>
        </is>
      </c>
      <c r="E247" t="inlineStr">
        <is>
          <t>SR 1533</t>
        </is>
      </c>
      <c r="F247" t="inlineStr">
        <is>
          <t>SR 1521</t>
        </is>
      </c>
      <c r="G247" t="inlineStr">
        <is>
          <t>SR 1522</t>
        </is>
      </c>
      <c r="H247">
        <v>3.906</v>
      </c>
      <c r="J247">
        <v>108190403</v>
      </c>
      <c r="K247" s="2">
        <v>45871</v>
      </c>
      <c r="L247">
        <v>1</v>
      </c>
      <c r="M247">
        <v>1</v>
      </c>
      <c r="N247">
        <v>0</v>
      </c>
      <c r="O247">
        <v>1</v>
      </c>
      <c r="P247" t="inlineStr">
        <is>
          <t>O</t>
        </is>
      </c>
    </row>
    <row r="248">
      <c r="A248" t="inlineStr">
        <is>
          <t>OXFORD</t>
        </is>
      </c>
      <c r="B248" t="inlineStr">
        <is>
          <t>SR 1522</t>
        </is>
      </c>
      <c r="C248">
        <v>0.2</v>
      </c>
      <c r="D248" t="inlineStr">
        <is>
          <t>W</t>
        </is>
      </c>
      <c r="E248" t="inlineStr">
        <is>
          <t>SR 1533</t>
        </is>
      </c>
      <c r="F248" t="inlineStr">
        <is>
          <t>SR 1521</t>
        </is>
      </c>
      <c r="G248" t="inlineStr">
        <is>
          <t>SR 1522</t>
        </is>
      </c>
      <c r="H248">
        <v>3.906</v>
      </c>
      <c r="J248">
        <v>107996289</v>
      </c>
      <c r="K248" s="2">
        <v>45670</v>
      </c>
      <c r="L248">
        <v>19</v>
      </c>
      <c r="M248">
        <v>2</v>
      </c>
      <c r="N248">
        <v>0</v>
      </c>
      <c r="O248">
        <v>5</v>
      </c>
    </row>
    <row r="249">
      <c r="A249" t="inlineStr">
        <is>
          <t>OXFORD</t>
        </is>
      </c>
      <c r="B249" t="inlineStr">
        <is>
          <t>SR 1522</t>
        </is>
      </c>
      <c r="C249">
        <v>0.17</v>
      </c>
      <c r="D249" t="inlineStr">
        <is>
          <t>W</t>
        </is>
      </c>
      <c r="E249" t="inlineStr">
        <is>
          <t>SR 1533</t>
        </is>
      </c>
      <c r="F249" t="inlineStr">
        <is>
          <t>SR 1521</t>
        </is>
      </c>
      <c r="G249" t="inlineStr">
        <is>
          <t>SR 1522</t>
        </is>
      </c>
      <c r="H249">
        <v>3.936</v>
      </c>
      <c r="J249">
        <v>108035183</v>
      </c>
      <c r="K249" s="2">
        <v>45699</v>
      </c>
      <c r="L249">
        <v>5</v>
      </c>
      <c r="M249">
        <v>2</v>
      </c>
      <c r="N249">
        <v>0</v>
      </c>
      <c r="O249">
        <v>1</v>
      </c>
      <c r="P249" t="inlineStr">
        <is>
          <t>B</t>
        </is>
      </c>
    </row>
    <row r="250">
      <c r="A250" t="inlineStr">
        <is>
          <t>RURAL</t>
        </is>
      </c>
      <c r="B250" t="inlineStr">
        <is>
          <t>SR 1522</t>
        </is>
      </c>
      <c r="C250">
        <v>0.17</v>
      </c>
      <c r="D250" t="inlineStr">
        <is>
          <t>W</t>
        </is>
      </c>
      <c r="E250" t="inlineStr">
        <is>
          <t>SR 1533</t>
        </is>
      </c>
      <c r="F250" t="inlineStr">
        <is>
          <t>US 158</t>
        </is>
      </c>
      <c r="G250" t="inlineStr">
        <is>
          <t>SR 1522</t>
        </is>
      </c>
      <c r="H250">
        <v>3.936</v>
      </c>
      <c r="J250">
        <v>108172669</v>
      </c>
      <c r="K250" s="2">
        <v>45848</v>
      </c>
      <c r="L250">
        <v>19</v>
      </c>
      <c r="M250">
        <v>1</v>
      </c>
      <c r="N250">
        <v>0</v>
      </c>
      <c r="O250">
        <v>1</v>
      </c>
      <c r="P250" t="inlineStr">
        <is>
          <t>O</t>
        </is>
      </c>
    </row>
    <row r="251">
      <c r="A251" t="inlineStr">
        <is>
          <t>RURAL</t>
        </is>
      </c>
      <c r="B251" t="inlineStr">
        <is>
          <t>SR 1522</t>
        </is>
      </c>
      <c r="C251">
        <v>0.1</v>
      </c>
      <c r="D251" t="inlineStr">
        <is>
          <t>W</t>
        </is>
      </c>
      <c r="E251" t="inlineStr">
        <is>
          <t>SR 1533</t>
        </is>
      </c>
      <c r="F251" t="inlineStr">
        <is>
          <t>SR 1304</t>
        </is>
      </c>
      <c r="G251" t="inlineStr">
        <is>
          <t>SR 1522</t>
        </is>
      </c>
      <c r="H251">
        <v>4.006</v>
      </c>
      <c r="J251">
        <v>107216920</v>
      </c>
      <c r="K251" s="2">
        <v>44943</v>
      </c>
      <c r="L251">
        <v>19</v>
      </c>
      <c r="M251">
        <v>3</v>
      </c>
      <c r="N251">
        <v>0</v>
      </c>
      <c r="O251">
        <v>5</v>
      </c>
      <c r="P251" t="inlineStr">
        <is>
          <t>O</t>
        </is>
      </c>
    </row>
    <row r="252">
      <c r="A252" t="inlineStr">
        <is>
          <t>RURAL</t>
        </is>
      </c>
      <c r="B252" t="inlineStr">
        <is>
          <t>SR 1522</t>
        </is>
      </c>
      <c r="C252">
        <v>1.2</v>
      </c>
      <c r="D252" t="inlineStr">
        <is>
          <t>N</t>
        </is>
      </c>
      <c r="E252" t="inlineStr">
        <is>
          <t>SR 1521</t>
        </is>
      </c>
      <c r="F252" t="inlineStr">
        <is>
          <t>SR 1520</t>
        </is>
      </c>
      <c r="G252" t="inlineStr">
        <is>
          <t>SR 1522</t>
        </is>
      </c>
      <c r="H252">
        <v>4.304</v>
      </c>
      <c r="J252">
        <v>106014443</v>
      </c>
      <c r="K252" s="2">
        <v>43741</v>
      </c>
      <c r="L252">
        <v>28</v>
      </c>
      <c r="M252">
        <v>1</v>
      </c>
      <c r="N252">
        <v>0</v>
      </c>
      <c r="O252">
        <v>1</v>
      </c>
      <c r="P252" t="inlineStr">
        <is>
          <t>O</t>
        </is>
      </c>
    </row>
    <row r="253">
      <c r="A253" t="inlineStr">
        <is>
          <t>RURAL</t>
        </is>
      </c>
      <c r="B253" t="inlineStr">
        <is>
          <t>SR 1522</t>
        </is>
      </c>
      <c r="C253">
        <v>0.2</v>
      </c>
      <c r="D253" t="inlineStr">
        <is>
          <t>E</t>
        </is>
      </c>
      <c r="E253" t="inlineStr">
        <is>
          <t>SR 1533</t>
        </is>
      </c>
      <c r="F253" t="inlineStr">
        <is>
          <t>CL-VANCE</t>
        </is>
      </c>
      <c r="G253" t="inlineStr">
        <is>
          <t>SR 1522</t>
        </is>
      </c>
      <c r="H253">
        <v>4.306</v>
      </c>
      <c r="J253">
        <v>108411395</v>
      </c>
      <c r="K253" s="2">
        <v>46076</v>
      </c>
      <c r="L253">
        <v>19</v>
      </c>
      <c r="M253">
        <v>1</v>
      </c>
      <c r="N253">
        <v>5</v>
      </c>
      <c r="O253">
        <v>3</v>
      </c>
      <c r="P253" t="inlineStr">
        <is>
          <t>O</t>
        </is>
      </c>
    </row>
    <row r="254">
      <c r="A254" t="inlineStr">
        <is>
          <t>RURAL</t>
        </is>
      </c>
      <c r="B254" t="inlineStr">
        <is>
          <t>SR 1522</t>
        </is>
      </c>
      <c r="C254">
        <v>0.2</v>
      </c>
      <c r="D254" t="inlineStr">
        <is>
          <t>NE</t>
        </is>
      </c>
      <c r="E254" t="inlineStr">
        <is>
          <t>SR 1533</t>
        </is>
      </c>
      <c r="F254" t="inlineStr">
        <is>
          <t>CL-VANCE</t>
        </is>
      </c>
      <c r="G254" t="inlineStr">
        <is>
          <t>SR 1522</t>
        </is>
      </c>
      <c r="H254">
        <v>4.306</v>
      </c>
      <c r="J254">
        <v>108288938</v>
      </c>
      <c r="K254" s="2">
        <v>45962</v>
      </c>
      <c r="L254">
        <v>5</v>
      </c>
      <c r="M254">
        <v>1</v>
      </c>
      <c r="N254">
        <v>0</v>
      </c>
      <c r="O254">
        <v>1</v>
      </c>
      <c r="P254" t="inlineStr">
        <is>
          <t>O</t>
        </is>
      </c>
    </row>
    <row r="255">
      <c r="A255" t="inlineStr">
        <is>
          <t>RURAL</t>
        </is>
      </c>
      <c r="B255" t="inlineStr">
        <is>
          <t>SR 1522</t>
        </is>
      </c>
      <c r="C255">
        <v>0.5</v>
      </c>
      <c r="D255" t="inlineStr">
        <is>
          <t>E</t>
        </is>
      </c>
      <c r="E255" t="inlineStr">
        <is>
          <t>SR 1533</t>
        </is>
      </c>
      <c r="F255" t="inlineStr">
        <is>
          <t>CL-VANCE</t>
        </is>
      </c>
      <c r="G255" t="inlineStr">
        <is>
          <t>SR 1522</t>
        </is>
      </c>
      <c r="H255">
        <v>4.606</v>
      </c>
      <c r="J255">
        <v>107534530</v>
      </c>
      <c r="K255" s="2">
        <v>45249</v>
      </c>
      <c r="L255">
        <v>19</v>
      </c>
      <c r="M255">
        <v>1</v>
      </c>
      <c r="N255">
        <v>0</v>
      </c>
      <c r="O255">
        <v>1</v>
      </c>
      <c r="P255" t="inlineStr">
        <is>
          <t>O</t>
        </is>
      </c>
    </row>
    <row r="256">
      <c r="A256" t="inlineStr">
        <is>
          <t>RURAL</t>
        </is>
      </c>
      <c r="B256" t="inlineStr">
        <is>
          <t>SR 1522</t>
        </is>
      </c>
      <c r="C256">
        <v>0.25</v>
      </c>
      <c r="D256" t="inlineStr">
        <is>
          <t>W</t>
        </is>
      </c>
      <c r="E256" t="inlineStr">
        <is>
          <t>CL-VANCE</t>
        </is>
      </c>
      <c r="F256" t="inlineStr">
        <is>
          <t>AIRPORT</t>
        </is>
      </c>
      <c r="G256" t="inlineStr">
        <is>
          <t>SR 1522</t>
        </is>
      </c>
      <c r="H256">
        <v>4.761</v>
      </c>
      <c r="J256">
        <v>108195324</v>
      </c>
      <c r="K256" s="2">
        <v>45875</v>
      </c>
      <c r="L256">
        <v>19</v>
      </c>
      <c r="M256">
        <v>2</v>
      </c>
      <c r="N256">
        <v>0</v>
      </c>
      <c r="O256">
        <v>1</v>
      </c>
      <c r="P256" t="inlineStr">
        <is>
          <t>O</t>
        </is>
      </c>
    </row>
    <row r="257">
      <c r="A257" t="inlineStr">
        <is>
          <t>RURAL</t>
        </is>
      </c>
      <c r="B257" t="inlineStr">
        <is>
          <t>SR 1522</t>
        </is>
      </c>
      <c r="C257">
        <v>0.1</v>
      </c>
      <c r="D257" t="inlineStr">
        <is>
          <t>W</t>
        </is>
      </c>
      <c r="E257" t="inlineStr">
        <is>
          <t>SR 1126</t>
        </is>
      </c>
      <c r="F257" t="inlineStr">
        <is>
          <t>SR 1533</t>
        </is>
      </c>
      <c r="G257" t="inlineStr">
        <is>
          <t>SR 1522</t>
        </is>
      </c>
      <c r="H257">
        <v>999.999</v>
      </c>
      <c r="J257">
        <v>108090079</v>
      </c>
      <c r="K257" s="2">
        <v>45771</v>
      </c>
      <c r="L257">
        <v>19</v>
      </c>
      <c r="M257">
        <v>1</v>
      </c>
      <c r="N257">
        <v>0</v>
      </c>
      <c r="O257">
        <v>1</v>
      </c>
      <c r="P257" t="inlineStr">
        <is>
          <t>C</t>
        </is>
      </c>
    </row>
    <row r="258">
      <c r="A258" t="inlineStr">
        <is>
          <t>RURAL</t>
        </is>
      </c>
      <c r="B258" t="inlineStr">
        <is>
          <t>SR 1522</t>
        </is>
      </c>
      <c r="C258">
        <v>0.0</v>
      </c>
      <c r="E258" t="inlineStr">
        <is>
          <t>SR 1146</t>
        </is>
      </c>
      <c r="F258" t="inlineStr">
        <is>
          <t>SR 1523</t>
        </is>
      </c>
      <c r="G258" t="inlineStr">
        <is>
          <t>SR 1522</t>
        </is>
      </c>
      <c r="H258">
        <v>999.999</v>
      </c>
      <c r="J258">
        <v>105865220</v>
      </c>
      <c r="K258" s="2">
        <v>43599</v>
      </c>
      <c r="L258">
        <v>30</v>
      </c>
      <c r="M258">
        <v>1</v>
      </c>
      <c r="N258">
        <v>7</v>
      </c>
      <c r="O258">
        <v>1</v>
      </c>
      <c r="P258" t="inlineStr">
        <is>
          <t>B</t>
        </is>
      </c>
    </row>
    <row r="259">
      <c r="A259" t="inlineStr">
        <is>
          <t>OXFORD</t>
        </is>
      </c>
      <c r="B259" t="inlineStr">
        <is>
          <t>SR 1522</t>
        </is>
      </c>
      <c r="C259">
        <v>0.0</v>
      </c>
      <c r="E259" t="inlineStr">
        <is>
          <t>SR 1195</t>
        </is>
      </c>
      <c r="F259" t="inlineStr">
        <is>
          <t>US 15</t>
        </is>
      </c>
      <c r="G259" t="inlineStr">
        <is>
          <t>SR 1522</t>
        </is>
      </c>
      <c r="H259">
        <v>999.999</v>
      </c>
      <c r="J259">
        <v>108097246</v>
      </c>
      <c r="K259" s="2">
        <v>45765</v>
      </c>
      <c r="L259">
        <v>30</v>
      </c>
      <c r="M259">
        <v>1</v>
      </c>
      <c r="N259">
        <v>0</v>
      </c>
      <c r="O259">
        <v>1</v>
      </c>
      <c r="P259" t="inlineStr">
        <is>
          <t>O</t>
        </is>
      </c>
    </row>
    <row r="260">
      <c r="A260" t="inlineStr">
        <is>
          <t>RURAL</t>
        </is>
      </c>
      <c r="B260" t="inlineStr">
        <is>
          <t>SR 1522</t>
        </is>
      </c>
      <c r="C260">
        <v>0.0</v>
      </c>
      <c r="E260" t="inlineStr">
        <is>
          <t>SR 1195</t>
        </is>
      </c>
      <c r="F260" t="inlineStr">
        <is>
          <t>US 15</t>
        </is>
      </c>
      <c r="G260" t="inlineStr">
        <is>
          <t>SR 1522</t>
        </is>
      </c>
      <c r="H260">
        <v>999.999</v>
      </c>
      <c r="J260">
        <v>107609658</v>
      </c>
      <c r="K260" s="2">
        <v>45321</v>
      </c>
      <c r="L260">
        <v>21</v>
      </c>
      <c r="M260">
        <v>1</v>
      </c>
      <c r="N260">
        <v>7</v>
      </c>
      <c r="O260">
        <v>1</v>
      </c>
      <c r="P260" t="inlineStr">
        <is>
          <t>C</t>
        </is>
      </c>
    </row>
    <row r="261">
      <c r="A261" t="inlineStr">
        <is>
          <t>OXFORD</t>
        </is>
      </c>
      <c r="B261" t="inlineStr">
        <is>
          <t>SR 1522</t>
        </is>
      </c>
      <c r="C261">
        <v>0.0</v>
      </c>
      <c r="D261" t="inlineStr">
        <is>
          <t>S</t>
        </is>
      </c>
      <c r="E261" t="inlineStr">
        <is>
          <t>SR 1195</t>
        </is>
      </c>
      <c r="F261" t="inlineStr">
        <is>
          <t>US 158</t>
        </is>
      </c>
      <c r="G261" t="inlineStr">
        <is>
          <t>SR 1522</t>
        </is>
      </c>
      <c r="H261">
        <v>999.999</v>
      </c>
      <c r="J261">
        <v>107219393</v>
      </c>
      <c r="K261" s="2">
        <v>44943</v>
      </c>
      <c r="L261">
        <v>21</v>
      </c>
      <c r="M261">
        <v>2</v>
      </c>
      <c r="N261">
        <v>7</v>
      </c>
      <c r="O261">
        <v>1</v>
      </c>
      <c r="P261" t="inlineStr">
        <is>
          <t>C</t>
        </is>
      </c>
    </row>
    <row r="262">
      <c r="A262" t="inlineStr">
        <is>
          <t>RURAL</t>
        </is>
      </c>
      <c r="B262" t="inlineStr">
        <is>
          <t>SR 1522</t>
        </is>
      </c>
      <c r="C262">
        <v>0.2</v>
      </c>
      <c r="D262" t="inlineStr">
        <is>
          <t>E</t>
        </is>
      </c>
      <c r="E262" t="inlineStr">
        <is>
          <t>SR 1646</t>
        </is>
      </c>
      <c r="F262" t="inlineStr">
        <is>
          <t>SR 1523</t>
        </is>
      </c>
      <c r="G262" t="inlineStr">
        <is>
          <t>SR 1522</t>
        </is>
      </c>
      <c r="H262">
        <v>999.999</v>
      </c>
      <c r="J262">
        <v>105058532</v>
      </c>
      <c r="K262" s="2">
        <v>42823</v>
      </c>
      <c r="L262">
        <v>21</v>
      </c>
      <c r="M262">
        <v>1</v>
      </c>
      <c r="N262">
        <v>0</v>
      </c>
      <c r="O262">
        <v>1</v>
      </c>
      <c r="P262" t="inlineStr">
        <is>
          <t>C</t>
        </is>
      </c>
    </row>
    <row r="263">
      <c r="A263" t="inlineStr">
        <is>
          <t>RURAL</t>
        </is>
      </c>
      <c r="B263" t="inlineStr">
        <is>
          <t>SR 1522</t>
        </is>
      </c>
      <c r="C263">
        <v>0.2</v>
      </c>
      <c r="D263" t="inlineStr">
        <is>
          <t>E</t>
        </is>
      </c>
      <c r="E263" t="inlineStr">
        <is>
          <t>SR 1662</t>
        </is>
      </c>
      <c r="F263" t="inlineStr">
        <is>
          <t>CL-VANCE</t>
        </is>
      </c>
      <c r="G263" t="inlineStr">
        <is>
          <t>SR 1522</t>
        </is>
      </c>
      <c r="H263">
        <v>999.999</v>
      </c>
      <c r="J263">
        <v>105123982</v>
      </c>
      <c r="K263" s="2">
        <v>42888</v>
      </c>
      <c r="L263">
        <v>23</v>
      </c>
      <c r="M263">
        <v>1</v>
      </c>
      <c r="N263">
        <v>5</v>
      </c>
      <c r="O263">
        <v>1</v>
      </c>
      <c r="P263" t="inlineStr">
        <is>
          <t>C</t>
        </is>
      </c>
    </row>
    <row r="264">
      <c r="A264" t="inlineStr">
        <is>
          <t>RURAL</t>
        </is>
      </c>
      <c r="B264" t="inlineStr">
        <is>
          <t>SR 1602</t>
        </is>
      </c>
      <c r="C264">
        <v>0.6</v>
      </c>
      <c r="D264" t="inlineStr">
        <is>
          <t>S</t>
        </is>
      </c>
      <c r="E264" t="inlineStr">
        <is>
          <t>US 158</t>
        </is>
      </c>
      <c r="F264" t="inlineStr">
        <is>
          <t>SR 1650</t>
        </is>
      </c>
      <c r="G264" t="inlineStr">
        <is>
          <t>SR 1602</t>
        </is>
      </c>
      <c r="H264">
        <v>0.904</v>
      </c>
      <c r="J264">
        <v>105563645</v>
      </c>
      <c r="K264" s="2">
        <v>43315</v>
      </c>
      <c r="L264">
        <v>21</v>
      </c>
      <c r="M264">
        <v>2</v>
      </c>
      <c r="N264">
        <v>4</v>
      </c>
      <c r="O264">
        <v>1</v>
      </c>
      <c r="P264" t="inlineStr">
        <is>
          <t>O</t>
        </is>
      </c>
    </row>
    <row r="265">
      <c r="A265" t="inlineStr">
        <is>
          <t>OXFORD</t>
        </is>
      </c>
      <c r="B265" t="inlineStr">
        <is>
          <t>FRONT</t>
        </is>
      </c>
      <c r="C265">
        <v>0.01</v>
      </c>
      <c r="D265" t="inlineStr">
        <is>
          <t>E</t>
        </is>
      </c>
      <c r="E265" t="inlineStr">
        <is>
          <t>MAIN</t>
        </is>
      </c>
      <c r="F265" t="inlineStr">
        <is>
          <t>COGGESHALL</t>
        </is>
      </c>
      <c r="G265" t="inlineStr">
        <is>
          <t>SR 1602</t>
        </is>
      </c>
      <c r="H265">
        <v>1.139</v>
      </c>
      <c r="J265">
        <v>106785794</v>
      </c>
      <c r="K265" s="2">
        <v>44501</v>
      </c>
      <c r="L265">
        <v>1</v>
      </c>
      <c r="M265">
        <v>1</v>
      </c>
      <c r="N265">
        <v>0</v>
      </c>
      <c r="O265">
        <v>1</v>
      </c>
      <c r="P265" t="inlineStr">
        <is>
          <t>O</t>
        </is>
      </c>
    </row>
    <row r="266">
      <c r="A266" t="inlineStr">
        <is>
          <t>OXFORD</t>
        </is>
      </c>
      <c r="B266" t="inlineStr">
        <is>
          <t>FRONT</t>
        </is>
      </c>
      <c r="C266">
        <v>0.0</v>
      </c>
      <c r="E266" t="inlineStr">
        <is>
          <t>MAIN</t>
        </is>
      </c>
      <c r="F266" t="inlineStr">
        <is>
          <t>MARTIN LUTHER KING</t>
        </is>
      </c>
      <c r="G266" t="inlineStr">
        <is>
          <t>SR 1602</t>
        </is>
      </c>
      <c r="H266">
        <v>1.149</v>
      </c>
      <c r="J266">
        <v>108127473</v>
      </c>
      <c r="K266" s="2">
        <v>45808</v>
      </c>
      <c r="L266">
        <v>31</v>
      </c>
      <c r="M266">
        <v>1</v>
      </c>
      <c r="N266">
        <v>0</v>
      </c>
      <c r="O266">
        <v>1</v>
      </c>
      <c r="P266" t="inlineStr">
        <is>
          <t>O</t>
        </is>
      </c>
    </row>
    <row r="267">
      <c r="A267" t="inlineStr">
        <is>
          <t>OXFORD</t>
        </is>
      </c>
      <c r="B267" t="inlineStr">
        <is>
          <t>MAIN</t>
        </is>
      </c>
      <c r="C267">
        <v>0.0</v>
      </c>
      <c r="E267" t="inlineStr">
        <is>
          <t>FRONT</t>
        </is>
      </c>
      <c r="F267" t="inlineStr">
        <is>
          <t>MAIN</t>
        </is>
      </c>
      <c r="G267" t="inlineStr">
        <is>
          <t>SR 1602</t>
        </is>
      </c>
      <c r="H267">
        <v>1.149</v>
      </c>
      <c r="J267">
        <v>108324306</v>
      </c>
      <c r="K267" s="2">
        <v>45992</v>
      </c>
      <c r="L267">
        <v>1</v>
      </c>
      <c r="M267">
        <v>1</v>
      </c>
      <c r="N267">
        <v>0</v>
      </c>
      <c r="O267">
        <v>1</v>
      </c>
    </row>
    <row r="268">
      <c r="A268" t="inlineStr">
        <is>
          <t>OXFORD</t>
        </is>
      </c>
      <c r="B268" t="inlineStr">
        <is>
          <t>MAIN</t>
        </is>
      </c>
      <c r="C268">
        <v>0.0</v>
      </c>
      <c r="D268" t="inlineStr">
        <is>
          <t>E</t>
        </is>
      </c>
      <c r="E268" t="inlineStr">
        <is>
          <t>FRONT</t>
        </is>
      </c>
      <c r="F268" t="inlineStr">
        <is>
          <t>MAIN</t>
        </is>
      </c>
      <c r="G268" t="inlineStr">
        <is>
          <t>SR 1602</t>
        </is>
      </c>
      <c r="H268">
        <v>1.149</v>
      </c>
      <c r="J268">
        <v>106307253</v>
      </c>
      <c r="K268" s="2">
        <v>44053</v>
      </c>
      <c r="L268">
        <v>1</v>
      </c>
      <c r="M268">
        <v>1</v>
      </c>
      <c r="N268">
        <v>0</v>
      </c>
      <c r="O268">
        <v>1</v>
      </c>
      <c r="P268" t="inlineStr">
        <is>
          <t>O</t>
        </is>
      </c>
    </row>
    <row r="269">
      <c r="A269" t="inlineStr">
        <is>
          <t>OXFORD</t>
        </is>
      </c>
      <c r="B269" t="inlineStr">
        <is>
          <t>MAIN</t>
        </is>
      </c>
      <c r="C269">
        <v>0.019</v>
      </c>
      <c r="D269" t="inlineStr">
        <is>
          <t>S</t>
        </is>
      </c>
      <c r="E269" t="inlineStr">
        <is>
          <t>FRONT</t>
        </is>
      </c>
      <c r="F269" t="inlineStr">
        <is>
          <t>WILLIAMSBORO</t>
        </is>
      </c>
      <c r="G269" t="inlineStr">
        <is>
          <t>SR 1602</t>
        </is>
      </c>
      <c r="H269">
        <v>1.149</v>
      </c>
      <c r="J269">
        <v>105034371</v>
      </c>
      <c r="K269" s="2">
        <v>42804</v>
      </c>
      <c r="L269">
        <v>31</v>
      </c>
      <c r="M269">
        <v>1</v>
      </c>
      <c r="N269">
        <v>0</v>
      </c>
      <c r="O269">
        <v>1</v>
      </c>
      <c r="P269" t="inlineStr">
        <is>
          <t>O</t>
        </is>
      </c>
    </row>
    <row r="270">
      <c r="A270" t="inlineStr">
        <is>
          <t>OXFORD</t>
        </is>
      </c>
      <c r="B270" t="inlineStr">
        <is>
          <t>MAIN</t>
        </is>
      </c>
      <c r="C270">
        <v>0.019</v>
      </c>
      <c r="D270" t="inlineStr">
        <is>
          <t>S</t>
        </is>
      </c>
      <c r="E270" t="inlineStr">
        <is>
          <t>HIGH</t>
        </is>
      </c>
      <c r="F270" t="inlineStr">
        <is>
          <t>FRONT</t>
        </is>
      </c>
      <c r="G270" t="inlineStr">
        <is>
          <t>SR 1602</t>
        </is>
      </c>
      <c r="H270">
        <v>1.214</v>
      </c>
      <c r="J270">
        <v>105988532</v>
      </c>
      <c r="K270" s="2">
        <v>43722</v>
      </c>
      <c r="L270">
        <v>30</v>
      </c>
      <c r="M270">
        <v>1</v>
      </c>
      <c r="N270">
        <v>0</v>
      </c>
      <c r="O270">
        <v>1</v>
      </c>
      <c r="P270" t="inlineStr">
        <is>
          <t>O</t>
        </is>
      </c>
    </row>
    <row r="271">
      <c r="A271" t="inlineStr">
        <is>
          <t>OXFORD</t>
        </is>
      </c>
      <c r="B271" t="inlineStr">
        <is>
          <t>MAIN</t>
        </is>
      </c>
      <c r="C271">
        <v>0.019</v>
      </c>
      <c r="D271" t="inlineStr">
        <is>
          <t>N</t>
        </is>
      </c>
      <c r="E271" t="inlineStr">
        <is>
          <t>SYCAMORE</t>
        </is>
      </c>
      <c r="F271" t="inlineStr">
        <is>
          <t>MAIN</t>
        </is>
      </c>
      <c r="G271" t="inlineStr">
        <is>
          <t>SR 1602</t>
        </is>
      </c>
      <c r="H271">
        <v>1.275</v>
      </c>
      <c r="J271">
        <v>106352948</v>
      </c>
      <c r="K271" s="2">
        <v>44096</v>
      </c>
      <c r="L271">
        <v>20</v>
      </c>
      <c r="M271">
        <v>1</v>
      </c>
      <c r="N271">
        <v>0</v>
      </c>
      <c r="O271">
        <v>1</v>
      </c>
      <c r="P271" t="inlineStr">
        <is>
          <t>O</t>
        </is>
      </c>
    </row>
    <row r="272">
      <c r="A272" t="inlineStr">
        <is>
          <t>OXFORD</t>
        </is>
      </c>
      <c r="B272" t="inlineStr">
        <is>
          <t>MAIN</t>
        </is>
      </c>
      <c r="C272">
        <v>0.0</v>
      </c>
      <c r="E272" t="inlineStr">
        <is>
          <t>SPRING</t>
        </is>
      </c>
      <c r="F272" t="inlineStr">
        <is>
          <t>WALL</t>
        </is>
      </c>
      <c r="G272" t="inlineStr">
        <is>
          <t>SR 1602</t>
        </is>
      </c>
      <c r="H272">
        <v>1.36</v>
      </c>
      <c r="J272">
        <v>107863132</v>
      </c>
      <c r="K272" s="2">
        <v>45555</v>
      </c>
      <c r="L272">
        <v>28</v>
      </c>
      <c r="M272">
        <v>1</v>
      </c>
      <c r="N272">
        <v>10</v>
      </c>
      <c r="O272">
        <v>1</v>
      </c>
      <c r="P272" t="inlineStr">
        <is>
          <t>O</t>
        </is>
      </c>
    </row>
    <row r="273">
      <c r="A273" t="inlineStr">
        <is>
          <t>OXFORD</t>
        </is>
      </c>
      <c r="B273" t="inlineStr">
        <is>
          <t>MAIN</t>
        </is>
      </c>
      <c r="C273">
        <v>0.0</v>
      </c>
      <c r="E273" t="inlineStr">
        <is>
          <t>SPRING</t>
        </is>
      </c>
      <c r="F273" t="inlineStr">
        <is>
          <t>SPRING</t>
        </is>
      </c>
      <c r="G273" t="inlineStr">
        <is>
          <t>SR 1602</t>
        </is>
      </c>
      <c r="H273">
        <v>1.36</v>
      </c>
      <c r="J273">
        <v>107674222</v>
      </c>
      <c r="K273" s="2">
        <v>45384</v>
      </c>
      <c r="L273">
        <v>30</v>
      </c>
      <c r="M273">
        <v>1</v>
      </c>
      <c r="N273">
        <v>0</v>
      </c>
      <c r="O273">
        <v>1</v>
      </c>
      <c r="P273" t="inlineStr">
        <is>
          <t>O</t>
        </is>
      </c>
    </row>
    <row r="274">
      <c r="A274" t="inlineStr">
        <is>
          <t>OXFORD</t>
        </is>
      </c>
      <c r="B274" t="inlineStr">
        <is>
          <t>MAIN</t>
        </is>
      </c>
      <c r="C274">
        <v>0.0</v>
      </c>
      <c r="E274" t="inlineStr">
        <is>
          <t>SPRING</t>
        </is>
      </c>
      <c r="F274" t="inlineStr">
        <is>
          <t>SPRING</t>
        </is>
      </c>
      <c r="G274" t="inlineStr">
        <is>
          <t>SR 1602</t>
        </is>
      </c>
      <c r="H274">
        <v>1.36</v>
      </c>
      <c r="J274">
        <v>107479858</v>
      </c>
      <c r="K274" s="2">
        <v>45191</v>
      </c>
      <c r="L274">
        <v>31</v>
      </c>
      <c r="M274">
        <v>1</v>
      </c>
      <c r="N274">
        <v>0</v>
      </c>
      <c r="O274">
        <v>1</v>
      </c>
      <c r="P274" t="inlineStr">
        <is>
          <t>O</t>
        </is>
      </c>
    </row>
    <row r="275">
      <c r="A275" t="inlineStr">
        <is>
          <t>OXFORD</t>
        </is>
      </c>
      <c r="B275" t="inlineStr">
        <is>
          <t>MAIN</t>
        </is>
      </c>
      <c r="C275">
        <v>0.0</v>
      </c>
      <c r="E275" t="inlineStr">
        <is>
          <t>SPRING</t>
        </is>
      </c>
      <c r="F275" t="inlineStr">
        <is>
          <t>WILLIAMSBORO</t>
        </is>
      </c>
      <c r="G275" t="inlineStr">
        <is>
          <t>SR 1602</t>
        </is>
      </c>
      <c r="H275">
        <v>1.36</v>
      </c>
      <c r="J275">
        <v>106594525</v>
      </c>
      <c r="K275" s="2">
        <v>44342</v>
      </c>
      <c r="L275">
        <v>23</v>
      </c>
      <c r="M275">
        <v>1</v>
      </c>
      <c r="N275">
        <v>8</v>
      </c>
      <c r="O275">
        <v>1</v>
      </c>
      <c r="P275" t="inlineStr">
        <is>
          <t>O</t>
        </is>
      </c>
    </row>
    <row r="276">
      <c r="A276" t="inlineStr">
        <is>
          <t>OXFORD</t>
        </is>
      </c>
      <c r="B276" t="inlineStr">
        <is>
          <t>MAIN</t>
        </is>
      </c>
      <c r="C276">
        <v>0.0</v>
      </c>
      <c r="E276" t="inlineStr">
        <is>
          <t>SPRING</t>
        </is>
      </c>
      <c r="F276" t="inlineStr">
        <is>
          <t>MARTIN LUTHER KING</t>
        </is>
      </c>
      <c r="G276" t="inlineStr">
        <is>
          <t>SR 1602</t>
        </is>
      </c>
      <c r="H276">
        <v>1.36</v>
      </c>
      <c r="J276">
        <v>106412908</v>
      </c>
      <c r="K276" s="2">
        <v>44152</v>
      </c>
      <c r="L276">
        <v>20</v>
      </c>
      <c r="M276">
        <v>1</v>
      </c>
      <c r="N276">
        <v>0</v>
      </c>
      <c r="O276">
        <v>1</v>
      </c>
    </row>
    <row r="277">
      <c r="A277" t="inlineStr">
        <is>
          <t>OXFORD</t>
        </is>
      </c>
      <c r="B277" t="inlineStr">
        <is>
          <t>MAIN</t>
        </is>
      </c>
      <c r="C277">
        <v>0.0</v>
      </c>
      <c r="E277" t="inlineStr">
        <is>
          <t>SPRING</t>
        </is>
      </c>
      <c r="F277" t="inlineStr">
        <is>
          <t>WILLIAMSBORO</t>
        </is>
      </c>
      <c r="G277" t="inlineStr">
        <is>
          <t>SR 1602</t>
        </is>
      </c>
      <c r="H277">
        <v>1.36</v>
      </c>
      <c r="J277">
        <v>108089406</v>
      </c>
      <c r="K277" s="2">
        <v>45771</v>
      </c>
      <c r="L277">
        <v>31</v>
      </c>
      <c r="M277">
        <v>1</v>
      </c>
      <c r="N277">
        <v>0</v>
      </c>
      <c r="O277">
        <v>1</v>
      </c>
      <c r="P277" t="inlineStr">
        <is>
          <t>O</t>
        </is>
      </c>
    </row>
    <row r="278">
      <c r="A278" t="inlineStr">
        <is>
          <t>OXFORD</t>
        </is>
      </c>
      <c r="B278" t="inlineStr">
        <is>
          <t>MAIN</t>
        </is>
      </c>
      <c r="C278">
        <v>0.0</v>
      </c>
      <c r="E278" t="inlineStr">
        <is>
          <t>SPRING</t>
        </is>
      </c>
      <c r="F278" t="inlineStr">
        <is>
          <t>LITTLE JOHN</t>
        </is>
      </c>
      <c r="G278" t="inlineStr">
        <is>
          <t>SR 1602</t>
        </is>
      </c>
      <c r="H278">
        <v>1.36</v>
      </c>
      <c r="J278">
        <v>105478298</v>
      </c>
      <c r="K278" s="2">
        <v>43234</v>
      </c>
      <c r="L278">
        <v>20</v>
      </c>
      <c r="M278">
        <v>1</v>
      </c>
      <c r="N278">
        <v>0</v>
      </c>
      <c r="O278">
        <v>1</v>
      </c>
      <c r="P278" t="inlineStr">
        <is>
          <t>O</t>
        </is>
      </c>
    </row>
    <row r="279">
      <c r="A279" t="inlineStr">
        <is>
          <t>OXFORD</t>
        </is>
      </c>
      <c r="B279" t="inlineStr">
        <is>
          <t>MAIN</t>
        </is>
      </c>
      <c r="C279">
        <v>0.0</v>
      </c>
      <c r="E279" t="inlineStr">
        <is>
          <t>SPRING</t>
        </is>
      </c>
      <c r="F279" t="inlineStr">
        <is>
          <t>MARTIN LUTHER KING</t>
        </is>
      </c>
      <c r="G279" t="inlineStr">
        <is>
          <t>SR 1602</t>
        </is>
      </c>
      <c r="H279">
        <v>1.36</v>
      </c>
      <c r="J279">
        <v>107982237</v>
      </c>
      <c r="K279" s="2">
        <v>45665</v>
      </c>
      <c r="L279">
        <v>26</v>
      </c>
      <c r="M279">
        <v>1</v>
      </c>
      <c r="N279">
        <v>10</v>
      </c>
      <c r="O279">
        <v>1</v>
      </c>
    </row>
    <row r="280">
      <c r="A280" t="inlineStr">
        <is>
          <t>OXFORD</t>
        </is>
      </c>
      <c r="B280" t="inlineStr">
        <is>
          <t>MAIN</t>
        </is>
      </c>
      <c r="C280">
        <v>0.0</v>
      </c>
      <c r="E280" t="inlineStr">
        <is>
          <t>SPRING</t>
        </is>
      </c>
      <c r="F280" t="inlineStr">
        <is>
          <t>WILLIAMSBORO</t>
        </is>
      </c>
      <c r="G280" t="inlineStr">
        <is>
          <t>SR 1602</t>
        </is>
      </c>
      <c r="H280">
        <v>1.36</v>
      </c>
      <c r="J280">
        <v>105329673</v>
      </c>
      <c r="K280" s="2">
        <v>43089</v>
      </c>
      <c r="L280">
        <v>30</v>
      </c>
      <c r="M280">
        <v>2</v>
      </c>
      <c r="N280">
        <v>7</v>
      </c>
      <c r="O280">
        <v>1</v>
      </c>
      <c r="P280" t="inlineStr">
        <is>
          <t>O</t>
        </is>
      </c>
    </row>
    <row r="281">
      <c r="A281" t="inlineStr">
        <is>
          <t>OXFORD</t>
        </is>
      </c>
      <c r="B281" t="inlineStr">
        <is>
          <t>MAIN</t>
        </is>
      </c>
      <c r="C281">
        <v>0.0</v>
      </c>
      <c r="E281" t="inlineStr">
        <is>
          <t>SPRING</t>
        </is>
      </c>
      <c r="F281" t="inlineStr">
        <is>
          <t>MAIN</t>
        </is>
      </c>
      <c r="G281" t="inlineStr">
        <is>
          <t>SR 1602</t>
        </is>
      </c>
      <c r="H281">
        <v>1.36</v>
      </c>
      <c r="J281">
        <v>107817083</v>
      </c>
      <c r="K281" s="2">
        <v>45505</v>
      </c>
      <c r="L281">
        <v>21</v>
      </c>
      <c r="M281">
        <v>1</v>
      </c>
      <c r="N281">
        <v>0</v>
      </c>
      <c r="O281">
        <v>1</v>
      </c>
      <c r="P281" t="inlineStr">
        <is>
          <t>O</t>
        </is>
      </c>
    </row>
    <row r="282">
      <c r="A282" t="inlineStr">
        <is>
          <t>OXFORD</t>
        </is>
      </c>
      <c r="B282" t="inlineStr">
        <is>
          <t>PVA MAIN ST</t>
        </is>
      </c>
      <c r="C282">
        <v>0.0</v>
      </c>
      <c r="E282" t="inlineStr">
        <is>
          <t>PVA W SPRING ST</t>
        </is>
      </c>
      <c r="F282" t="inlineStr">
        <is>
          <t>SPRING</t>
        </is>
      </c>
      <c r="G282" t="inlineStr">
        <is>
          <t>SR 1602</t>
        </is>
      </c>
      <c r="H282">
        <v>1.36</v>
      </c>
      <c r="J282">
        <v>107433763</v>
      </c>
      <c r="K282" s="2">
        <v>45162</v>
      </c>
      <c r="L282">
        <v>31</v>
      </c>
      <c r="M282">
        <v>1</v>
      </c>
      <c r="N282">
        <v>0</v>
      </c>
      <c r="O282">
        <v>1</v>
      </c>
    </row>
    <row r="283">
      <c r="A283" t="inlineStr">
        <is>
          <t>OXFORD</t>
        </is>
      </c>
      <c r="B283" t="inlineStr">
        <is>
          <t>MAIN</t>
        </is>
      </c>
      <c r="C283">
        <v>0.019</v>
      </c>
      <c r="D283" t="inlineStr">
        <is>
          <t>N</t>
        </is>
      </c>
      <c r="E283" t="inlineStr">
        <is>
          <t>SPRING</t>
        </is>
      </c>
      <c r="F283" t="inlineStr">
        <is>
          <t>MAIN</t>
        </is>
      </c>
      <c r="G283" t="inlineStr">
        <is>
          <t>SR 1602</t>
        </is>
      </c>
      <c r="H283">
        <v>1.379</v>
      </c>
      <c r="J283">
        <v>105774815</v>
      </c>
      <c r="K283" s="2">
        <v>43511</v>
      </c>
      <c r="L283">
        <v>31</v>
      </c>
      <c r="M283">
        <v>1</v>
      </c>
      <c r="N283">
        <v>0</v>
      </c>
      <c r="O283">
        <v>1</v>
      </c>
      <c r="P283" t="inlineStr">
        <is>
          <t>O</t>
        </is>
      </c>
    </row>
    <row r="284">
      <c r="A284" t="inlineStr">
        <is>
          <t>OXFORD</t>
        </is>
      </c>
      <c r="B284" t="inlineStr">
        <is>
          <t>MAIN</t>
        </is>
      </c>
      <c r="C284">
        <v>0.019</v>
      </c>
      <c r="D284" t="inlineStr">
        <is>
          <t>NW</t>
        </is>
      </c>
      <c r="E284" t="inlineStr">
        <is>
          <t>SPRING</t>
        </is>
      </c>
      <c r="F284" t="inlineStr">
        <is>
          <t>LITTLE JOHN</t>
        </is>
      </c>
      <c r="G284" t="inlineStr">
        <is>
          <t>SR 1602</t>
        </is>
      </c>
      <c r="H284">
        <v>1.379</v>
      </c>
      <c r="J284">
        <v>108004793</v>
      </c>
      <c r="K284" s="2">
        <v>45682</v>
      </c>
      <c r="L284">
        <v>30</v>
      </c>
      <c r="M284">
        <v>1</v>
      </c>
      <c r="N284">
        <v>0</v>
      </c>
      <c r="O284">
        <v>1</v>
      </c>
      <c r="P284" t="inlineStr">
        <is>
          <t>O</t>
        </is>
      </c>
    </row>
    <row r="285">
      <c r="A285" t="inlineStr">
        <is>
          <t>OXFORD</t>
        </is>
      </c>
      <c r="B285" t="inlineStr">
        <is>
          <t>MAIN</t>
        </is>
      </c>
      <c r="C285">
        <v>0.095</v>
      </c>
      <c r="D285" t="inlineStr">
        <is>
          <t>S</t>
        </is>
      </c>
      <c r="E285" t="inlineStr">
        <is>
          <t>COURT</t>
        </is>
      </c>
      <c r="F285" t="inlineStr">
        <is>
          <t>LITTLE JOHN</t>
        </is>
      </c>
      <c r="G285" t="inlineStr">
        <is>
          <t>SR 1602</t>
        </is>
      </c>
      <c r="H285">
        <v>1.382</v>
      </c>
      <c r="J285">
        <v>107020234</v>
      </c>
      <c r="K285" s="2">
        <v>44756</v>
      </c>
      <c r="L285">
        <v>31</v>
      </c>
      <c r="M285">
        <v>1</v>
      </c>
      <c r="N285">
        <v>0</v>
      </c>
      <c r="O285">
        <v>1</v>
      </c>
      <c r="P285" t="inlineStr">
        <is>
          <t>O</t>
        </is>
      </c>
    </row>
    <row r="286">
      <c r="A286" t="inlineStr">
        <is>
          <t>OXFORD</t>
        </is>
      </c>
      <c r="B286" t="inlineStr">
        <is>
          <t>MAIN</t>
        </is>
      </c>
      <c r="C286">
        <v>0.114</v>
      </c>
      <c r="D286" t="inlineStr">
        <is>
          <t>S</t>
        </is>
      </c>
      <c r="E286" t="inlineStr">
        <is>
          <t>WILLIAMSBORO</t>
        </is>
      </c>
      <c r="F286" t="inlineStr">
        <is>
          <t>SPRING</t>
        </is>
      </c>
      <c r="G286" t="inlineStr">
        <is>
          <t>SR 1602</t>
        </is>
      </c>
      <c r="H286">
        <v>1.39</v>
      </c>
      <c r="J286">
        <v>105255322</v>
      </c>
      <c r="K286" s="2">
        <v>43025</v>
      </c>
      <c r="L286">
        <v>31</v>
      </c>
      <c r="M286">
        <v>1</v>
      </c>
      <c r="N286">
        <v>0</v>
      </c>
      <c r="O286">
        <v>1</v>
      </c>
      <c r="P286" t="inlineStr">
        <is>
          <t>O</t>
        </is>
      </c>
    </row>
    <row r="287">
      <c r="A287" t="inlineStr">
        <is>
          <t>OXFORD</t>
        </is>
      </c>
      <c r="B287" t="inlineStr">
        <is>
          <t>MAIN</t>
        </is>
      </c>
      <c r="C287">
        <v>0.038</v>
      </c>
      <c r="D287" t="inlineStr">
        <is>
          <t>N</t>
        </is>
      </c>
      <c r="E287" t="inlineStr">
        <is>
          <t>SPRING</t>
        </is>
      </c>
      <c r="F287" t="inlineStr">
        <is>
          <t>LITTLE JOHN</t>
        </is>
      </c>
      <c r="G287" t="inlineStr">
        <is>
          <t>SR 1602</t>
        </is>
      </c>
      <c r="H287">
        <v>1.398</v>
      </c>
      <c r="J287">
        <v>105555859</v>
      </c>
      <c r="K287" s="2">
        <v>43311</v>
      </c>
      <c r="L287">
        <v>20</v>
      </c>
      <c r="M287">
        <v>1</v>
      </c>
      <c r="N287">
        <v>0</v>
      </c>
      <c r="O287">
        <v>1</v>
      </c>
    </row>
    <row r="288">
      <c r="A288" t="inlineStr">
        <is>
          <t>RURAL</t>
        </is>
      </c>
      <c r="B288" t="inlineStr">
        <is>
          <t>SR 1602</t>
        </is>
      </c>
      <c r="C288">
        <v>0.1</v>
      </c>
      <c r="D288" t="inlineStr">
        <is>
          <t>E</t>
        </is>
      </c>
      <c r="E288" t="inlineStr">
        <is>
          <t>US 158</t>
        </is>
      </c>
      <c r="F288" t="inlineStr">
        <is>
          <t>MALULI</t>
        </is>
      </c>
      <c r="G288" t="inlineStr">
        <is>
          <t>SR 1602</t>
        </is>
      </c>
      <c r="H288">
        <v>1.404</v>
      </c>
      <c r="J288">
        <v>107150708</v>
      </c>
      <c r="K288" s="2">
        <v>44880</v>
      </c>
      <c r="L288">
        <v>19</v>
      </c>
      <c r="M288">
        <v>1</v>
      </c>
      <c r="N288">
        <v>0</v>
      </c>
      <c r="O288">
        <v>4</v>
      </c>
    </row>
    <row r="289">
      <c r="A289" t="inlineStr">
        <is>
          <t>OXFORD</t>
        </is>
      </c>
      <c r="B289" t="inlineStr">
        <is>
          <t>MAIN</t>
        </is>
      </c>
      <c r="C289">
        <v>0.0</v>
      </c>
      <c r="E289" t="inlineStr">
        <is>
          <t>LITTLE JOHN</t>
        </is>
      </c>
      <c r="F289" t="inlineStr">
        <is>
          <t>LITTLE JOHN</t>
        </is>
      </c>
      <c r="G289" t="inlineStr">
        <is>
          <t>SR 1602</t>
        </is>
      </c>
      <c r="H289">
        <v>1.421</v>
      </c>
      <c r="J289">
        <v>106915254</v>
      </c>
      <c r="K289" s="2">
        <v>44572</v>
      </c>
      <c r="L289">
        <v>18</v>
      </c>
      <c r="M289">
        <v>1</v>
      </c>
      <c r="N289">
        <v>0</v>
      </c>
      <c r="O289">
        <v>1</v>
      </c>
    </row>
    <row r="290">
      <c r="A290" t="inlineStr">
        <is>
          <t>OXFORD</t>
        </is>
      </c>
      <c r="B290" t="inlineStr">
        <is>
          <t>MAIN</t>
        </is>
      </c>
      <c r="C290">
        <v>0.0</v>
      </c>
      <c r="E290" t="inlineStr">
        <is>
          <t>LITTLE JOHN</t>
        </is>
      </c>
      <c r="F290" t="inlineStr">
        <is>
          <t>SPRING</t>
        </is>
      </c>
      <c r="G290" t="inlineStr">
        <is>
          <t>SR 1602</t>
        </is>
      </c>
      <c r="H290">
        <v>1.421</v>
      </c>
      <c r="J290">
        <v>106197362</v>
      </c>
      <c r="K290" s="2">
        <v>43915</v>
      </c>
      <c r="L290">
        <v>21</v>
      </c>
      <c r="M290">
        <v>2</v>
      </c>
      <c r="N290">
        <v>8</v>
      </c>
      <c r="O290">
        <v>1</v>
      </c>
      <c r="P290" t="inlineStr">
        <is>
          <t>O</t>
        </is>
      </c>
    </row>
    <row r="291">
      <c r="A291" t="inlineStr">
        <is>
          <t>OXFORD</t>
        </is>
      </c>
      <c r="B291" t="inlineStr">
        <is>
          <t>MAIN</t>
        </is>
      </c>
      <c r="C291">
        <v>0.0</v>
      </c>
      <c r="E291" t="inlineStr">
        <is>
          <t>LITTLE JOHN</t>
        </is>
      </c>
      <c r="F291" t="inlineStr">
        <is>
          <t>SPRING</t>
        </is>
      </c>
      <c r="G291" t="inlineStr">
        <is>
          <t>SR 1602</t>
        </is>
      </c>
      <c r="H291">
        <v>1.421</v>
      </c>
      <c r="J291">
        <v>105733123</v>
      </c>
      <c r="K291" s="2">
        <v>43467</v>
      </c>
      <c r="L291">
        <v>30</v>
      </c>
      <c r="M291">
        <v>1</v>
      </c>
      <c r="N291">
        <v>0</v>
      </c>
      <c r="O291">
        <v>1</v>
      </c>
      <c r="P291" t="inlineStr">
        <is>
          <t>O</t>
        </is>
      </c>
    </row>
    <row r="292">
      <c r="A292" t="inlineStr">
        <is>
          <t>OXFORD</t>
        </is>
      </c>
      <c r="B292" t="inlineStr">
        <is>
          <t>MAIN</t>
        </is>
      </c>
      <c r="C292">
        <v>0.0</v>
      </c>
      <c r="E292" t="inlineStr">
        <is>
          <t>LITTLE JOHN</t>
        </is>
      </c>
      <c r="F292" t="inlineStr">
        <is>
          <t>WILLIAMSBORO</t>
        </is>
      </c>
      <c r="G292" t="inlineStr">
        <is>
          <t>SR 1602</t>
        </is>
      </c>
      <c r="H292">
        <v>1.421</v>
      </c>
      <c r="J292">
        <v>105481992</v>
      </c>
      <c r="K292" s="2">
        <v>43236</v>
      </c>
      <c r="L292">
        <v>28</v>
      </c>
      <c r="M292">
        <v>10</v>
      </c>
      <c r="N292">
        <v>0</v>
      </c>
      <c r="O292">
        <v>1</v>
      </c>
    </row>
    <row r="293">
      <c r="A293" t="inlineStr">
        <is>
          <t>OXFORD</t>
        </is>
      </c>
      <c r="B293" t="inlineStr">
        <is>
          <t>MAIN</t>
        </is>
      </c>
      <c r="C293">
        <v>0.0</v>
      </c>
      <c r="E293" t="inlineStr">
        <is>
          <t>LITTLE JOHN</t>
        </is>
      </c>
      <c r="F293" t="inlineStr">
        <is>
          <t>MAIN</t>
        </is>
      </c>
      <c r="G293" t="inlineStr">
        <is>
          <t>SR 1602</t>
        </is>
      </c>
      <c r="H293">
        <v>1.421</v>
      </c>
      <c r="J293">
        <v>107470908</v>
      </c>
      <c r="K293" s="2">
        <v>45196</v>
      </c>
      <c r="L293">
        <v>21</v>
      </c>
      <c r="M293">
        <v>1</v>
      </c>
      <c r="N293">
        <v>0</v>
      </c>
      <c r="O293">
        <v>1</v>
      </c>
      <c r="P293" t="inlineStr">
        <is>
          <t>O</t>
        </is>
      </c>
    </row>
    <row r="294">
      <c r="A294" t="inlineStr">
        <is>
          <t>OXFORD</t>
        </is>
      </c>
      <c r="B294" t="inlineStr">
        <is>
          <t>MAIN</t>
        </is>
      </c>
      <c r="C294">
        <v>0.028</v>
      </c>
      <c r="D294" t="inlineStr">
        <is>
          <t>N</t>
        </is>
      </c>
      <c r="E294" t="inlineStr">
        <is>
          <t>LITTLE JOHN</t>
        </is>
      </c>
      <c r="F294" t="inlineStr">
        <is>
          <t>SPRING</t>
        </is>
      </c>
      <c r="G294" t="inlineStr">
        <is>
          <t>SR 1602</t>
        </is>
      </c>
      <c r="H294">
        <v>1.449</v>
      </c>
      <c r="J294">
        <v>107343387</v>
      </c>
      <c r="K294" s="2">
        <v>45063</v>
      </c>
      <c r="L294">
        <v>30</v>
      </c>
      <c r="M294">
        <v>1</v>
      </c>
      <c r="N294">
        <v>0</v>
      </c>
      <c r="O294">
        <v>1</v>
      </c>
    </row>
    <row r="295">
      <c r="A295" t="inlineStr">
        <is>
          <t>OXFORD</t>
        </is>
      </c>
      <c r="B295" t="inlineStr">
        <is>
          <t>MAIN</t>
        </is>
      </c>
      <c r="C295">
        <v>0.095</v>
      </c>
      <c r="D295" t="inlineStr">
        <is>
          <t>N</t>
        </is>
      </c>
      <c r="E295" t="inlineStr">
        <is>
          <t>SPRING</t>
        </is>
      </c>
      <c r="F295" t="inlineStr">
        <is>
          <t>SYCAMORE</t>
        </is>
      </c>
      <c r="G295" t="inlineStr">
        <is>
          <t>SR 1602</t>
        </is>
      </c>
      <c r="H295">
        <v>1.455</v>
      </c>
      <c r="J295">
        <v>106038134</v>
      </c>
      <c r="K295" s="2">
        <v>43763</v>
      </c>
      <c r="L295">
        <v>31</v>
      </c>
      <c r="M295">
        <v>1</v>
      </c>
      <c r="N295">
        <v>0</v>
      </c>
      <c r="O295">
        <v>1</v>
      </c>
      <c r="P295" t="inlineStr">
        <is>
          <t>O</t>
        </is>
      </c>
    </row>
    <row r="296">
      <c r="A296" t="inlineStr">
        <is>
          <t>OXFORD</t>
        </is>
      </c>
      <c r="B296" t="inlineStr">
        <is>
          <t>MAIN</t>
        </is>
      </c>
      <c r="C296">
        <v>0.006</v>
      </c>
      <c r="D296" t="inlineStr">
        <is>
          <t>S</t>
        </is>
      </c>
      <c r="E296" t="inlineStr">
        <is>
          <t>COURT</t>
        </is>
      </c>
      <c r="F296" t="inlineStr">
        <is>
          <t>COURT</t>
        </is>
      </c>
      <c r="G296" t="inlineStr">
        <is>
          <t>SR 1602</t>
        </is>
      </c>
      <c r="H296">
        <v>1.471</v>
      </c>
      <c r="J296">
        <v>106346459</v>
      </c>
      <c r="K296" s="2">
        <v>44097</v>
      </c>
      <c r="L296">
        <v>30</v>
      </c>
      <c r="M296">
        <v>1</v>
      </c>
      <c r="N296">
        <v>0</v>
      </c>
      <c r="O296">
        <v>1</v>
      </c>
    </row>
    <row r="297">
      <c r="A297" t="inlineStr">
        <is>
          <t>OXFORD</t>
        </is>
      </c>
      <c r="B297" t="inlineStr">
        <is>
          <t>MAIN</t>
        </is>
      </c>
      <c r="C297">
        <v>0.028</v>
      </c>
      <c r="D297" t="inlineStr">
        <is>
          <t>S</t>
        </is>
      </c>
      <c r="E297" t="inlineStr">
        <is>
          <t>WILLIAMSBORO</t>
        </is>
      </c>
      <c r="F297" t="inlineStr">
        <is>
          <t>COURT</t>
        </is>
      </c>
      <c r="G297" t="inlineStr">
        <is>
          <t>SR 1602</t>
        </is>
      </c>
      <c r="H297">
        <v>1.476</v>
      </c>
      <c r="J297">
        <v>105799613</v>
      </c>
      <c r="K297" s="2">
        <v>43535</v>
      </c>
      <c r="L297">
        <v>31</v>
      </c>
      <c r="M297">
        <v>1</v>
      </c>
      <c r="N297">
        <v>0</v>
      </c>
      <c r="O297">
        <v>1</v>
      </c>
      <c r="P297" t="inlineStr">
        <is>
          <t>O</t>
        </is>
      </c>
    </row>
    <row r="298">
      <c r="A298" t="inlineStr">
        <is>
          <t>OXFORD</t>
        </is>
      </c>
      <c r="B298" t="inlineStr">
        <is>
          <t>MAIN</t>
        </is>
      </c>
      <c r="C298">
        <v>0.0</v>
      </c>
      <c r="E298" t="inlineStr">
        <is>
          <t>COURT</t>
        </is>
      </c>
      <c r="F298" t="inlineStr">
        <is>
          <t>COURT</t>
        </is>
      </c>
      <c r="G298" t="inlineStr">
        <is>
          <t>SR 1602</t>
        </is>
      </c>
      <c r="H298">
        <v>1.477</v>
      </c>
      <c r="J298">
        <v>108466832</v>
      </c>
      <c r="K298" s="2">
        <v>46128</v>
      </c>
      <c r="L298">
        <v>3</v>
      </c>
      <c r="M298">
        <v>1</v>
      </c>
      <c r="N298">
        <v>7</v>
      </c>
      <c r="O298">
        <v>1</v>
      </c>
      <c r="P298" t="inlineStr">
        <is>
          <t>O</t>
        </is>
      </c>
    </row>
    <row r="299">
      <c r="A299" t="inlineStr">
        <is>
          <t>OXFORD</t>
        </is>
      </c>
      <c r="B299" t="inlineStr">
        <is>
          <t>MAIN</t>
        </is>
      </c>
      <c r="C299">
        <v>0.0</v>
      </c>
      <c r="E299" t="inlineStr">
        <is>
          <t>COURT</t>
        </is>
      </c>
      <c r="F299" t="inlineStr">
        <is>
          <t>WILLIAMSBORO</t>
        </is>
      </c>
      <c r="G299" t="inlineStr">
        <is>
          <t>SR 1602</t>
        </is>
      </c>
      <c r="H299">
        <v>1.477</v>
      </c>
      <c r="J299">
        <v>107361796</v>
      </c>
      <c r="K299" s="2">
        <v>45087</v>
      </c>
      <c r="L299">
        <v>21</v>
      </c>
      <c r="M299">
        <v>1</v>
      </c>
      <c r="N299">
        <v>0</v>
      </c>
      <c r="O299">
        <v>1</v>
      </c>
    </row>
    <row r="300">
      <c r="A300" t="inlineStr">
        <is>
          <t>OXFORD</t>
        </is>
      </c>
      <c r="B300" t="inlineStr">
        <is>
          <t>MAIN</t>
        </is>
      </c>
      <c r="C300">
        <v>0.0</v>
      </c>
      <c r="E300" t="inlineStr">
        <is>
          <t>COURT</t>
        </is>
      </c>
      <c r="F300" t="inlineStr">
        <is>
          <t>WILLIAMSBORO</t>
        </is>
      </c>
      <c r="G300" t="inlineStr">
        <is>
          <t>SR 1602</t>
        </is>
      </c>
      <c r="H300">
        <v>1.477</v>
      </c>
      <c r="J300">
        <v>107223842</v>
      </c>
      <c r="K300" s="2">
        <v>44951</v>
      </c>
      <c r="L300">
        <v>31</v>
      </c>
      <c r="M300">
        <v>2</v>
      </c>
      <c r="N300">
        <v>0</v>
      </c>
      <c r="O300">
        <v>1</v>
      </c>
      <c r="P300" t="inlineStr">
        <is>
          <t>O</t>
        </is>
      </c>
    </row>
    <row r="301">
      <c r="A301" t="inlineStr">
        <is>
          <t>OXFORD</t>
        </is>
      </c>
      <c r="B301" t="inlineStr">
        <is>
          <t>PVA COURT ST</t>
        </is>
      </c>
      <c r="C301">
        <v>0.0</v>
      </c>
      <c r="E301" t="inlineStr">
        <is>
          <t>MAIN</t>
        </is>
      </c>
      <c r="F301" t="inlineStr">
        <is>
          <t>MAIN</t>
        </is>
      </c>
      <c r="G301" t="inlineStr">
        <is>
          <t>SR 1602</t>
        </is>
      </c>
      <c r="H301">
        <v>1.477</v>
      </c>
      <c r="J301">
        <v>107358296</v>
      </c>
      <c r="K301" s="2">
        <v>45071</v>
      </c>
      <c r="L301">
        <v>20</v>
      </c>
      <c r="M301">
        <v>1</v>
      </c>
      <c r="N301">
        <v>0</v>
      </c>
      <c r="O301">
        <v>1</v>
      </c>
    </row>
    <row r="302">
      <c r="A302" t="inlineStr">
        <is>
          <t>OXFORD</t>
        </is>
      </c>
      <c r="B302" t="inlineStr">
        <is>
          <t>MAIN</t>
        </is>
      </c>
      <c r="C302">
        <v>0.011</v>
      </c>
      <c r="D302" t="inlineStr">
        <is>
          <t>S</t>
        </is>
      </c>
      <c r="E302" t="inlineStr">
        <is>
          <t>WILLIAMSBORO</t>
        </is>
      </c>
      <c r="F302" t="inlineStr">
        <is>
          <t>MAIN</t>
        </is>
      </c>
      <c r="G302" t="inlineStr">
        <is>
          <t>SR 1602</t>
        </is>
      </c>
      <c r="H302">
        <v>1.493</v>
      </c>
      <c r="J302">
        <v>105803061</v>
      </c>
      <c r="K302" s="2">
        <v>43540</v>
      </c>
      <c r="L302">
        <v>32</v>
      </c>
      <c r="M302">
        <v>1</v>
      </c>
      <c r="N302">
        <v>0</v>
      </c>
      <c r="O302">
        <v>1</v>
      </c>
      <c r="P302" t="inlineStr">
        <is>
          <t>O</t>
        </is>
      </c>
    </row>
    <row r="303">
      <c r="A303" t="inlineStr">
        <is>
          <t>RURAL</t>
        </is>
      </c>
      <c r="B303" t="inlineStr">
        <is>
          <t>SR 1602</t>
        </is>
      </c>
      <c r="C303">
        <v>0.009</v>
      </c>
      <c r="D303" t="inlineStr">
        <is>
          <t>S</t>
        </is>
      </c>
      <c r="E303" t="inlineStr">
        <is>
          <t>US 158</t>
        </is>
      </c>
      <c r="F303" t="inlineStr">
        <is>
          <t>SR 1650</t>
        </is>
      </c>
      <c r="G303" t="inlineStr">
        <is>
          <t>SR 1602</t>
        </is>
      </c>
      <c r="H303">
        <v>1.495</v>
      </c>
      <c r="J303">
        <v>105220466</v>
      </c>
      <c r="K303" s="2">
        <v>42991</v>
      </c>
      <c r="L303">
        <v>21</v>
      </c>
      <c r="M303">
        <v>1</v>
      </c>
      <c r="N303">
        <v>7</v>
      </c>
      <c r="O303">
        <v>1</v>
      </c>
      <c r="P303" t="inlineStr">
        <is>
          <t>O</t>
        </is>
      </c>
    </row>
    <row r="304">
      <c r="A304" t="inlineStr">
        <is>
          <t>OXFORD</t>
        </is>
      </c>
      <c r="B304" t="inlineStr">
        <is>
          <t>MAIN</t>
        </is>
      </c>
      <c r="C304">
        <v>0.0</v>
      </c>
      <c r="D304" t="inlineStr">
        <is>
          <t>E</t>
        </is>
      </c>
      <c r="E304" t="inlineStr">
        <is>
          <t>WILLIAMSBORO</t>
        </is>
      </c>
      <c r="F304" t="inlineStr">
        <is>
          <t>SPRING</t>
        </is>
      </c>
      <c r="G304" t="inlineStr">
        <is>
          <t>SR 1602</t>
        </is>
      </c>
      <c r="H304">
        <v>1.504</v>
      </c>
      <c r="J304">
        <v>105471861</v>
      </c>
      <c r="K304" s="2">
        <v>43228</v>
      </c>
      <c r="L304">
        <v>18</v>
      </c>
      <c r="M304">
        <v>1</v>
      </c>
      <c r="N304">
        <v>0</v>
      </c>
      <c r="O304">
        <v>1</v>
      </c>
      <c r="P304" t="inlineStr">
        <is>
          <t>O</t>
        </is>
      </c>
    </row>
    <row r="305">
      <c r="A305" t="inlineStr">
        <is>
          <t>OXFORD</t>
        </is>
      </c>
      <c r="B305" t="inlineStr">
        <is>
          <t>MAIN</t>
        </is>
      </c>
      <c r="C305">
        <v>0.019</v>
      </c>
      <c r="D305" t="inlineStr">
        <is>
          <t>N</t>
        </is>
      </c>
      <c r="E305" t="inlineStr">
        <is>
          <t>WILLIAMSBORO</t>
        </is>
      </c>
      <c r="F305" t="inlineStr">
        <is>
          <t>WILLIAMSBORO</t>
        </is>
      </c>
      <c r="G305" t="inlineStr">
        <is>
          <t>SR 1602</t>
        </is>
      </c>
      <c r="H305">
        <v>1.504</v>
      </c>
      <c r="J305">
        <v>106990903</v>
      </c>
      <c r="K305" s="2">
        <v>44729</v>
      </c>
      <c r="L305">
        <v>31</v>
      </c>
      <c r="M305">
        <v>1</v>
      </c>
      <c r="N305">
        <v>0</v>
      </c>
      <c r="O305">
        <v>1</v>
      </c>
      <c r="P305" t="inlineStr">
        <is>
          <t>O</t>
        </is>
      </c>
    </row>
    <row r="306">
      <c r="A306" t="inlineStr">
        <is>
          <t>RURAL</t>
        </is>
      </c>
      <c r="B306" t="inlineStr">
        <is>
          <t>SR 1602</t>
        </is>
      </c>
      <c r="C306">
        <v>0.23</v>
      </c>
      <c r="D306" t="inlineStr">
        <is>
          <t>N</t>
        </is>
      </c>
      <c r="E306" t="inlineStr">
        <is>
          <t>MALULI</t>
        </is>
      </c>
      <c r="F306" t="inlineStr">
        <is>
          <t>US 158</t>
        </is>
      </c>
      <c r="G306" t="inlineStr">
        <is>
          <t>SR 1602</t>
        </is>
      </c>
      <c r="H306">
        <v>999.999</v>
      </c>
      <c r="J306">
        <v>108357712</v>
      </c>
      <c r="K306" s="2">
        <v>46020</v>
      </c>
      <c r="L306">
        <v>28</v>
      </c>
      <c r="M306">
        <v>1</v>
      </c>
      <c r="N306">
        <v>0</v>
      </c>
      <c r="O306">
        <v>1</v>
      </c>
      <c r="P306" t="inlineStr">
        <is>
          <t>O</t>
        </is>
      </c>
      <c r="Q306">
        <v>36.309411</v>
      </c>
      <c r="R306">
        <v>-78.55524</v>
      </c>
      <c r="S306" t="inlineStr">
        <is>
          <t>DMV349CLEANED</t>
        </is>
      </c>
    </row>
    <row r="307">
      <c r="A307" t="inlineStr">
        <is>
          <t>RURAL</t>
        </is>
      </c>
      <c r="B307" t="inlineStr">
        <is>
          <t>SR 1602</t>
        </is>
      </c>
      <c r="C307">
        <v>1.0</v>
      </c>
      <c r="D307" t="inlineStr">
        <is>
          <t>S</t>
        </is>
      </c>
      <c r="E307" t="inlineStr">
        <is>
          <t>SR 1613</t>
        </is>
      </c>
      <c r="F307" t="inlineStr">
        <is>
          <t>SR 1617</t>
        </is>
      </c>
      <c r="G307" t="inlineStr">
        <is>
          <t>SR 1602</t>
        </is>
      </c>
      <c r="H307">
        <v>999.999</v>
      </c>
      <c r="J307">
        <v>107663764</v>
      </c>
      <c r="K307" s="2">
        <v>45367</v>
      </c>
      <c r="L307">
        <v>28</v>
      </c>
      <c r="M307">
        <v>1</v>
      </c>
      <c r="N307">
        <v>0</v>
      </c>
      <c r="O307">
        <v>1</v>
      </c>
      <c r="P307" t="inlineStr">
        <is>
          <t>C</t>
        </is>
      </c>
      <c r="Q307">
        <v>36.2388</v>
      </c>
      <c r="R307">
        <v>-78.55445</v>
      </c>
      <c r="S307" t="inlineStr">
        <is>
          <t>DMV349CLEANED</t>
        </is>
      </c>
    </row>
    <row r="308">
      <c r="A308" t="inlineStr">
        <is>
          <t>CREEDMOOR</t>
        </is>
      </c>
      <c r="B308" t="inlineStr">
        <is>
          <t>MAIN</t>
        </is>
      </c>
      <c r="C308">
        <v>0.095</v>
      </c>
      <c r="D308" t="inlineStr">
        <is>
          <t>N</t>
        </is>
      </c>
      <c r="E308" t="inlineStr">
        <is>
          <t>WILTON</t>
        </is>
      </c>
      <c r="F308" t="inlineStr">
        <is>
          <t>MOSS</t>
        </is>
      </c>
      <c r="G308" t="inlineStr">
        <is>
          <t>SR 1639</t>
        </is>
      </c>
      <c r="H308">
        <v>0.095</v>
      </c>
      <c r="J308">
        <v>106258582</v>
      </c>
      <c r="K308" s="2">
        <v>44001</v>
      </c>
      <c r="L308">
        <v>21</v>
      </c>
      <c r="M308">
        <v>1</v>
      </c>
      <c r="N308">
        <v>0</v>
      </c>
      <c r="O308">
        <v>1</v>
      </c>
      <c r="P308" t="inlineStr">
        <is>
          <t>O</t>
        </is>
      </c>
    </row>
    <row r="309">
      <c r="A309" t="inlineStr">
        <is>
          <t>CREEDMOOR</t>
        </is>
      </c>
      <c r="B309" t="inlineStr">
        <is>
          <t>MAIN</t>
        </is>
      </c>
      <c r="C309">
        <v>0.0</v>
      </c>
      <c r="E309" t="inlineStr">
        <is>
          <t>HOLLY CREEK</t>
        </is>
      </c>
      <c r="F309" t="inlineStr">
        <is>
          <t>NC 56</t>
        </is>
      </c>
      <c r="G309" t="inlineStr">
        <is>
          <t>SR 1639</t>
        </is>
      </c>
      <c r="H309">
        <v>0.11</v>
      </c>
      <c r="J309">
        <v>105053295</v>
      </c>
      <c r="K309" s="2">
        <v>42815</v>
      </c>
      <c r="L309">
        <v>17</v>
      </c>
      <c r="M309">
        <v>1</v>
      </c>
      <c r="N309">
        <v>0</v>
      </c>
      <c r="O309">
        <v>1</v>
      </c>
      <c r="P309" t="inlineStr">
        <is>
          <t>O</t>
        </is>
      </c>
    </row>
    <row r="310">
      <c r="A310" t="inlineStr">
        <is>
          <t>CREEDMOOR</t>
        </is>
      </c>
      <c r="B310" t="inlineStr">
        <is>
          <t>MAIN</t>
        </is>
      </c>
      <c r="C310">
        <v>0.066</v>
      </c>
      <c r="D310" t="inlineStr">
        <is>
          <t>SW</t>
        </is>
      </c>
      <c r="E310" t="inlineStr">
        <is>
          <t>MOSS</t>
        </is>
      </c>
      <c r="F310" t="inlineStr">
        <is>
          <t>*LCL HOLLY CREEK LANDING</t>
        </is>
      </c>
      <c r="G310" t="inlineStr">
        <is>
          <t>SR 1639</t>
        </is>
      </c>
      <c r="H310">
        <v>0.359</v>
      </c>
      <c r="J310">
        <v>108196362</v>
      </c>
      <c r="K310" s="2">
        <v>45874</v>
      </c>
      <c r="L310">
        <v>18</v>
      </c>
      <c r="M310">
        <v>1</v>
      </c>
      <c r="N310">
        <v>0</v>
      </c>
      <c r="O310">
        <v>1</v>
      </c>
      <c r="P310" t="inlineStr">
        <is>
          <t>C</t>
        </is>
      </c>
    </row>
    <row r="311">
      <c r="A311" t="inlineStr">
        <is>
          <t>CREEDMOOR</t>
        </is>
      </c>
      <c r="B311" t="inlineStr">
        <is>
          <t>MAIN</t>
        </is>
      </c>
      <c r="C311">
        <v>0.063</v>
      </c>
      <c r="D311" t="inlineStr">
        <is>
          <t>S</t>
        </is>
      </c>
      <c r="E311" t="inlineStr">
        <is>
          <t>MOSS</t>
        </is>
      </c>
      <c r="F311" t="inlineStr">
        <is>
          <t>MANGUM</t>
        </is>
      </c>
      <c r="G311" t="inlineStr">
        <is>
          <t>SR 1639</t>
        </is>
      </c>
      <c r="H311">
        <v>0.362</v>
      </c>
      <c r="J311">
        <v>106064139</v>
      </c>
      <c r="K311" s="2">
        <v>43774</v>
      </c>
      <c r="L311">
        <v>17</v>
      </c>
      <c r="M311">
        <v>1</v>
      </c>
      <c r="N311">
        <v>0</v>
      </c>
      <c r="O311">
        <v>4</v>
      </c>
      <c r="P311" t="inlineStr">
        <is>
          <t>O</t>
        </is>
      </c>
    </row>
    <row r="312">
      <c r="A312" t="inlineStr">
        <is>
          <t>CREEDMOOR</t>
        </is>
      </c>
      <c r="B312" t="inlineStr">
        <is>
          <t>MAIN</t>
        </is>
      </c>
      <c r="C312">
        <v>0.047</v>
      </c>
      <c r="D312" t="inlineStr">
        <is>
          <t>N</t>
        </is>
      </c>
      <c r="E312" t="inlineStr">
        <is>
          <t>MOSS</t>
        </is>
      </c>
      <c r="F312" t="inlineStr">
        <is>
          <t>DURHAM</t>
        </is>
      </c>
      <c r="G312" t="inlineStr">
        <is>
          <t>SR 1639</t>
        </is>
      </c>
      <c r="H312">
        <v>0.472</v>
      </c>
      <c r="J312">
        <v>105984781</v>
      </c>
      <c r="K312" s="2">
        <v>43427</v>
      </c>
      <c r="L312">
        <v>17</v>
      </c>
      <c r="M312">
        <v>1</v>
      </c>
      <c r="O312">
        <v>4</v>
      </c>
      <c r="P312" t="inlineStr">
        <is>
          <t>O</t>
        </is>
      </c>
    </row>
    <row r="313">
      <c r="A313" t="inlineStr">
        <is>
          <t>CREEDMOOR</t>
        </is>
      </c>
      <c r="B313" t="inlineStr">
        <is>
          <t>MAIN</t>
        </is>
      </c>
      <c r="C313">
        <v>0.057</v>
      </c>
      <c r="D313" t="inlineStr">
        <is>
          <t>N</t>
        </is>
      </c>
      <c r="E313" t="inlineStr">
        <is>
          <t>DURHAM</t>
        </is>
      </c>
      <c r="F313" t="inlineStr">
        <is>
          <t>MAIN</t>
        </is>
      </c>
      <c r="G313" t="inlineStr">
        <is>
          <t>SR 1639</t>
        </is>
      </c>
      <c r="H313">
        <v>0.535</v>
      </c>
      <c r="J313">
        <v>105269639</v>
      </c>
      <c r="K313" s="2">
        <v>43035</v>
      </c>
      <c r="L313">
        <v>21</v>
      </c>
      <c r="M313">
        <v>1</v>
      </c>
      <c r="N313">
        <v>0</v>
      </c>
      <c r="O313">
        <v>1</v>
      </c>
      <c r="P313" t="inlineStr">
        <is>
          <t>O</t>
        </is>
      </c>
    </row>
    <row r="314">
      <c r="A314" t="inlineStr">
        <is>
          <t>CREEDMOOR</t>
        </is>
      </c>
      <c r="B314" t="inlineStr">
        <is>
          <t>MAIN</t>
        </is>
      </c>
      <c r="C314">
        <v>0.0</v>
      </c>
      <c r="E314" t="inlineStr">
        <is>
          <t>US 15</t>
        </is>
      </c>
      <c r="F314" t="inlineStr">
        <is>
          <t>SAM MOSS-HAYES</t>
        </is>
      </c>
      <c r="G314" t="inlineStr">
        <is>
          <t>SR 1639</t>
        </is>
      </c>
      <c r="H314">
        <v>0.535</v>
      </c>
      <c r="J314">
        <v>106782773</v>
      </c>
      <c r="K314" s="2">
        <v>44524</v>
      </c>
      <c r="L314">
        <v>21</v>
      </c>
      <c r="M314">
        <v>1</v>
      </c>
      <c r="N314">
        <v>9</v>
      </c>
      <c r="O314">
        <v>1</v>
      </c>
      <c r="P314" t="inlineStr">
        <is>
          <t>O</t>
        </is>
      </c>
    </row>
    <row r="315">
      <c r="A315" t="inlineStr">
        <is>
          <t>CREEDMOOR</t>
        </is>
      </c>
      <c r="B315" t="inlineStr">
        <is>
          <t>MAIN</t>
        </is>
      </c>
      <c r="C315">
        <v>0.0</v>
      </c>
      <c r="E315" t="inlineStr">
        <is>
          <t>US 15</t>
        </is>
      </c>
      <c r="F315" t="inlineStr">
        <is>
          <t>OAK</t>
        </is>
      </c>
      <c r="G315" t="inlineStr">
        <is>
          <t>SR 1639</t>
        </is>
      </c>
      <c r="H315">
        <v>0.535</v>
      </c>
      <c r="J315">
        <v>106427602</v>
      </c>
      <c r="K315" s="2">
        <v>44169</v>
      </c>
      <c r="L315">
        <v>21</v>
      </c>
      <c r="M315">
        <v>1</v>
      </c>
      <c r="N315">
        <v>8</v>
      </c>
      <c r="O315">
        <v>1</v>
      </c>
      <c r="P315" t="inlineStr">
        <is>
          <t>O</t>
        </is>
      </c>
    </row>
    <row r="316">
      <c r="A316" t="inlineStr">
        <is>
          <t>STOVALL</t>
        </is>
      </c>
      <c r="B316" t="inlineStr">
        <is>
          <t>MAIN</t>
        </is>
      </c>
      <c r="C316">
        <v>1.0</v>
      </c>
      <c r="D316" t="inlineStr">
        <is>
          <t>E</t>
        </is>
      </c>
      <c r="E316" t="inlineStr">
        <is>
          <t>US 15</t>
        </is>
      </c>
      <c r="F316" t="inlineStr">
        <is>
          <t>SR 1415</t>
        </is>
      </c>
      <c r="G316" t="inlineStr">
        <is>
          <t>SR 1639</t>
        </is>
      </c>
      <c r="H316">
        <v>0.535</v>
      </c>
      <c r="J316">
        <v>106269194</v>
      </c>
      <c r="K316" s="2">
        <v>44015</v>
      </c>
      <c r="L316">
        <v>21</v>
      </c>
      <c r="M316">
        <v>1</v>
      </c>
      <c r="N316">
        <v>5</v>
      </c>
      <c r="O316">
        <v>1</v>
      </c>
      <c r="P316" t="inlineStr">
        <is>
          <t>O</t>
        </is>
      </c>
    </row>
    <row r="317">
      <c r="A317" t="inlineStr">
        <is>
          <t>CREEDMOOR</t>
        </is>
      </c>
      <c r="B317" t="inlineStr">
        <is>
          <t>CHURCH</t>
        </is>
      </c>
      <c r="C317">
        <v>0.0</v>
      </c>
      <c r="E317" t="inlineStr">
        <is>
          <t>MAIN</t>
        </is>
      </c>
      <c r="F317" t="inlineStr">
        <is>
          <t>MAIN</t>
        </is>
      </c>
      <c r="G317" t="inlineStr">
        <is>
          <t>SR 1700</t>
        </is>
      </c>
      <c r="H317">
        <v>6.985</v>
      </c>
      <c r="J317">
        <v>106205409</v>
      </c>
      <c r="K317" s="2">
        <v>43937</v>
      </c>
      <c r="L317">
        <v>24</v>
      </c>
      <c r="M317">
        <v>1</v>
      </c>
      <c r="N317">
        <v>0</v>
      </c>
      <c r="O317">
        <v>1</v>
      </c>
      <c r="P317" t="inlineStr">
        <is>
          <t>O</t>
        </is>
      </c>
    </row>
    <row r="318">
      <c r="A318" t="inlineStr">
        <is>
          <t>CREEDMOOR</t>
        </is>
      </c>
      <c r="B318" t="inlineStr">
        <is>
          <t>LION</t>
        </is>
      </c>
      <c r="C318">
        <v>0.0</v>
      </c>
      <c r="E318" t="inlineStr">
        <is>
          <t>MAIN</t>
        </is>
      </c>
      <c r="F318" t="inlineStr">
        <is>
          <t>COZART</t>
        </is>
      </c>
      <c r="G318" t="inlineStr">
        <is>
          <t>SR 1724</t>
        </is>
      </c>
      <c r="H318">
        <v>0.0</v>
      </c>
      <c r="J318">
        <v>107943710</v>
      </c>
      <c r="K318" s="2">
        <v>45586</v>
      </c>
      <c r="L318">
        <v>31</v>
      </c>
      <c r="M318">
        <v>1</v>
      </c>
      <c r="N318">
        <v>0</v>
      </c>
      <c r="O318">
        <v>1</v>
      </c>
      <c r="P318" t="inlineStr">
        <is>
          <t>O</t>
        </is>
      </c>
    </row>
    <row r="319">
      <c r="A319" t="inlineStr">
        <is>
          <t>OXFORD</t>
        </is>
      </c>
      <c r="B319" t="inlineStr">
        <is>
          <t>LEWIS</t>
        </is>
      </c>
      <c r="C319">
        <v>0.0</v>
      </c>
      <c r="E319" t="inlineStr">
        <is>
          <t>SPRING</t>
        </is>
      </c>
      <c r="F319" t="inlineStr">
        <is>
          <t>INDUSTRY</t>
        </is>
      </c>
      <c r="G319" t="inlineStr">
        <is>
          <t>US 15</t>
        </is>
      </c>
      <c r="H319">
        <v>20.498</v>
      </c>
      <c r="J319">
        <v>108561053</v>
      </c>
      <c r="K319" s="2">
        <v>46214</v>
      </c>
      <c r="L319">
        <v>32</v>
      </c>
      <c r="M319">
        <v>1</v>
      </c>
      <c r="N319">
        <v>0</v>
      </c>
      <c r="O319">
        <v>1</v>
      </c>
      <c r="P319" t="inlineStr">
        <is>
          <t>C</t>
        </is>
      </c>
    </row>
    <row r="320">
      <c r="A320" t="inlineStr">
        <is>
          <t>OXFORD</t>
        </is>
      </c>
      <c r="B320" t="inlineStr">
        <is>
          <t>LEWIS</t>
        </is>
      </c>
      <c r="C320">
        <v>0.0</v>
      </c>
      <c r="E320" t="inlineStr">
        <is>
          <t>SPRING</t>
        </is>
      </c>
      <c r="F320" t="inlineStr">
        <is>
          <t>LEWIS</t>
        </is>
      </c>
      <c r="G320" t="inlineStr">
        <is>
          <t>US 15</t>
        </is>
      </c>
      <c r="H320">
        <v>20.498</v>
      </c>
      <c r="J320">
        <v>108498369</v>
      </c>
      <c r="K320" s="2">
        <v>46144</v>
      </c>
      <c r="L320">
        <v>30</v>
      </c>
      <c r="M320">
        <v>1</v>
      </c>
      <c r="N320">
        <v>0</v>
      </c>
      <c r="O320">
        <v>1</v>
      </c>
      <c r="P320" t="inlineStr">
        <is>
          <t>O</t>
        </is>
      </c>
    </row>
    <row r="321">
      <c r="A321" t="inlineStr">
        <is>
          <t>OXFORD</t>
        </is>
      </c>
      <c r="B321" t="inlineStr">
        <is>
          <t>LEWIS</t>
        </is>
      </c>
      <c r="C321">
        <v>0.0</v>
      </c>
      <c r="E321" t="inlineStr">
        <is>
          <t>SPRING</t>
        </is>
      </c>
      <c r="F321" t="inlineStr">
        <is>
          <t>MAPLE</t>
        </is>
      </c>
      <c r="G321" t="inlineStr">
        <is>
          <t>US 15</t>
        </is>
      </c>
      <c r="H321">
        <v>20.498</v>
      </c>
      <c r="J321">
        <v>108168651</v>
      </c>
      <c r="K321" s="2">
        <v>45850</v>
      </c>
      <c r="L321">
        <v>30</v>
      </c>
      <c r="M321">
        <v>1</v>
      </c>
      <c r="N321">
        <v>0</v>
      </c>
      <c r="O321">
        <v>1</v>
      </c>
      <c r="P321" t="inlineStr">
        <is>
          <t>C</t>
        </is>
      </c>
    </row>
    <row r="322">
      <c r="A322" t="inlineStr">
        <is>
          <t>OXFORD</t>
        </is>
      </c>
      <c r="B322" t="inlineStr">
        <is>
          <t>LEWIS</t>
        </is>
      </c>
      <c r="C322">
        <v>0.0</v>
      </c>
      <c r="E322" t="inlineStr">
        <is>
          <t>SPRING</t>
        </is>
      </c>
      <c r="F322" t="inlineStr">
        <is>
          <t>LEWIS</t>
        </is>
      </c>
      <c r="G322" t="inlineStr">
        <is>
          <t>US 15</t>
        </is>
      </c>
      <c r="H322">
        <v>20.498</v>
      </c>
      <c r="J322">
        <v>107914606</v>
      </c>
      <c r="K322" s="2">
        <v>45605</v>
      </c>
      <c r="L322">
        <v>30</v>
      </c>
      <c r="M322">
        <v>1</v>
      </c>
      <c r="N322">
        <v>0</v>
      </c>
      <c r="O322">
        <v>1</v>
      </c>
      <c r="P322" t="inlineStr">
        <is>
          <t>O</t>
        </is>
      </c>
    </row>
    <row r="323">
      <c r="A323" t="inlineStr">
        <is>
          <t>OXFORD</t>
        </is>
      </c>
      <c r="B323" t="inlineStr">
        <is>
          <t>LEWIS</t>
        </is>
      </c>
      <c r="C323">
        <v>0.0</v>
      </c>
      <c r="E323" t="inlineStr">
        <is>
          <t>SPRING</t>
        </is>
      </c>
      <c r="F323" t="inlineStr">
        <is>
          <t>LEWIS</t>
        </is>
      </c>
      <c r="G323" t="inlineStr">
        <is>
          <t>US 15</t>
        </is>
      </c>
      <c r="H323">
        <v>20.498</v>
      </c>
      <c r="J323">
        <v>107537539</v>
      </c>
      <c r="K323" s="2">
        <v>45248</v>
      </c>
      <c r="L323">
        <v>27</v>
      </c>
      <c r="M323">
        <v>1</v>
      </c>
      <c r="N323">
        <v>0</v>
      </c>
      <c r="O323">
        <v>4</v>
      </c>
      <c r="P323" t="inlineStr">
        <is>
          <t>C</t>
        </is>
      </c>
    </row>
    <row r="324">
      <c r="A324" t="inlineStr">
        <is>
          <t>OXFORD</t>
        </is>
      </c>
      <c r="B324" t="inlineStr">
        <is>
          <t>LEWIS</t>
        </is>
      </c>
      <c r="C324">
        <v>0.0</v>
      </c>
      <c r="E324" t="inlineStr">
        <is>
          <t>SPRING</t>
        </is>
      </c>
      <c r="F324" t="inlineStr">
        <is>
          <t>HILLSBORO</t>
        </is>
      </c>
      <c r="G324" t="inlineStr">
        <is>
          <t>US 15</t>
        </is>
      </c>
      <c r="H324">
        <v>20.498</v>
      </c>
      <c r="J324">
        <v>107155534</v>
      </c>
      <c r="K324" s="2">
        <v>44887</v>
      </c>
      <c r="L324">
        <v>30</v>
      </c>
      <c r="M324">
        <v>1</v>
      </c>
      <c r="N324">
        <v>0</v>
      </c>
      <c r="O324">
        <v>1</v>
      </c>
      <c r="P324" t="inlineStr">
        <is>
          <t>O</t>
        </is>
      </c>
    </row>
    <row r="325">
      <c r="A325" t="inlineStr">
        <is>
          <t>OXFORD</t>
        </is>
      </c>
      <c r="B325" t="inlineStr">
        <is>
          <t>LEWIS</t>
        </is>
      </c>
      <c r="C325">
        <v>0.0</v>
      </c>
      <c r="E325" t="inlineStr">
        <is>
          <t>SPRING</t>
        </is>
      </c>
      <c r="F325" t="inlineStr">
        <is>
          <t>HILLSBORO</t>
        </is>
      </c>
      <c r="G325" t="inlineStr">
        <is>
          <t>US 15</t>
        </is>
      </c>
      <c r="H325">
        <v>20.498</v>
      </c>
      <c r="J325">
        <v>107036690</v>
      </c>
      <c r="K325" s="2">
        <v>44733</v>
      </c>
      <c r="L325">
        <v>21</v>
      </c>
      <c r="M325">
        <v>1</v>
      </c>
      <c r="N325">
        <v>0</v>
      </c>
      <c r="O325">
        <v>1</v>
      </c>
      <c r="P325" t="inlineStr">
        <is>
          <t>O</t>
        </is>
      </c>
    </row>
    <row r="326">
      <c r="A326" t="inlineStr">
        <is>
          <t>OXFORD</t>
        </is>
      </c>
      <c r="B326" t="inlineStr">
        <is>
          <t>LEWIS</t>
        </is>
      </c>
      <c r="C326">
        <v>0.0</v>
      </c>
      <c r="E326" t="inlineStr">
        <is>
          <t>SPRING</t>
        </is>
      </c>
      <c r="F326" t="inlineStr">
        <is>
          <t>HILLSBORO</t>
        </is>
      </c>
      <c r="G326" t="inlineStr">
        <is>
          <t>US 15</t>
        </is>
      </c>
      <c r="H326">
        <v>20.498</v>
      </c>
      <c r="J326">
        <v>106464531</v>
      </c>
      <c r="K326" s="2">
        <v>44206</v>
      </c>
      <c r="L326">
        <v>30</v>
      </c>
      <c r="M326">
        <v>1</v>
      </c>
      <c r="N326">
        <v>0</v>
      </c>
      <c r="O326">
        <v>1</v>
      </c>
      <c r="P326" t="inlineStr">
        <is>
          <t>C</t>
        </is>
      </c>
    </row>
    <row r="327">
      <c r="A327" t="inlineStr">
        <is>
          <t>OXFORD</t>
        </is>
      </c>
      <c r="B327" t="inlineStr">
        <is>
          <t>LEWIS</t>
        </is>
      </c>
      <c r="C327">
        <v>0.0</v>
      </c>
      <c r="E327" t="inlineStr">
        <is>
          <t>SPRING</t>
        </is>
      </c>
      <c r="F327" t="inlineStr">
        <is>
          <t>HILLSBORO</t>
        </is>
      </c>
      <c r="G327" t="inlineStr">
        <is>
          <t>US 15</t>
        </is>
      </c>
      <c r="H327">
        <v>20.498</v>
      </c>
      <c r="J327">
        <v>105468703</v>
      </c>
      <c r="K327" s="2">
        <v>43218</v>
      </c>
      <c r="L327">
        <v>30</v>
      </c>
      <c r="M327">
        <v>1</v>
      </c>
      <c r="N327">
        <v>7</v>
      </c>
      <c r="O327">
        <v>1</v>
      </c>
      <c r="P327" t="inlineStr">
        <is>
          <t>O</t>
        </is>
      </c>
    </row>
    <row r="328">
      <c r="A328" t="inlineStr">
        <is>
          <t>OXFORD</t>
        </is>
      </c>
      <c r="B328" t="inlineStr">
        <is>
          <t>LEWIS</t>
        </is>
      </c>
      <c r="C328">
        <v>0.0</v>
      </c>
      <c r="E328" t="inlineStr">
        <is>
          <t>SPRING</t>
        </is>
      </c>
      <c r="F328" t="inlineStr">
        <is>
          <t>ORANGE</t>
        </is>
      </c>
      <c r="G328" t="inlineStr">
        <is>
          <t>US 15</t>
        </is>
      </c>
      <c r="H328">
        <v>20.498</v>
      </c>
      <c r="J328">
        <v>105180482</v>
      </c>
      <c r="K328" s="2">
        <v>42953</v>
      </c>
      <c r="L328">
        <v>30</v>
      </c>
      <c r="M328">
        <v>1</v>
      </c>
      <c r="N328">
        <v>7</v>
      </c>
      <c r="O328">
        <v>5</v>
      </c>
      <c r="P328" t="inlineStr">
        <is>
          <t>O</t>
        </is>
      </c>
    </row>
    <row r="329">
      <c r="A329" t="inlineStr">
        <is>
          <t>OXFORD</t>
        </is>
      </c>
      <c r="B329" t="inlineStr">
        <is>
          <t>LEWIS</t>
        </is>
      </c>
      <c r="C329">
        <v>0.0</v>
      </c>
      <c r="E329" t="inlineStr">
        <is>
          <t>SPRING</t>
        </is>
      </c>
      <c r="F329" t="inlineStr">
        <is>
          <t>SPRING</t>
        </is>
      </c>
      <c r="G329" t="inlineStr">
        <is>
          <t>US 15</t>
        </is>
      </c>
      <c r="H329">
        <v>20.498</v>
      </c>
      <c r="J329">
        <v>107528341</v>
      </c>
      <c r="K329" s="2">
        <v>45237</v>
      </c>
      <c r="L329">
        <v>24</v>
      </c>
      <c r="M329">
        <v>1</v>
      </c>
      <c r="N329">
        <v>7</v>
      </c>
      <c r="O329">
        <v>1</v>
      </c>
      <c r="P329" t="inlineStr">
        <is>
          <t>O</t>
        </is>
      </c>
    </row>
    <row r="330">
      <c r="A330" t="inlineStr">
        <is>
          <t>RURAL</t>
        </is>
      </c>
      <c r="B330" t="inlineStr">
        <is>
          <t>US 158</t>
        </is>
      </c>
      <c r="C330">
        <v>0.021</v>
      </c>
      <c r="D330" t="inlineStr">
        <is>
          <t>W</t>
        </is>
      </c>
      <c r="E330" t="inlineStr">
        <is>
          <t>SR 1522</t>
        </is>
      </c>
      <c r="F330" t="inlineStr">
        <is>
          <t>US 15</t>
        </is>
      </c>
      <c r="G330" t="inlineStr">
        <is>
          <t>US 158</t>
        </is>
      </c>
      <c r="H330">
        <v>14.034</v>
      </c>
      <c r="J330">
        <v>106194763</v>
      </c>
      <c r="K330" s="2">
        <v>43917</v>
      </c>
      <c r="L330">
        <v>5</v>
      </c>
      <c r="M330">
        <v>1</v>
      </c>
      <c r="N330">
        <v>7</v>
      </c>
      <c r="O330">
        <v>5</v>
      </c>
      <c r="P330" t="inlineStr">
        <is>
          <t>O</t>
        </is>
      </c>
    </row>
    <row r="331">
      <c r="A331" t="inlineStr">
        <is>
          <t>RURAL</t>
        </is>
      </c>
      <c r="B331" t="inlineStr">
        <is>
          <t>US 158</t>
        </is>
      </c>
      <c r="C331">
        <v>0.01</v>
      </c>
      <c r="D331" t="inlineStr">
        <is>
          <t>W</t>
        </is>
      </c>
      <c r="E331" t="inlineStr">
        <is>
          <t>SR 1522</t>
        </is>
      </c>
      <c r="F331" t="inlineStr">
        <is>
          <t>US 15</t>
        </is>
      </c>
      <c r="G331" t="inlineStr">
        <is>
          <t>US 158</t>
        </is>
      </c>
      <c r="H331">
        <v>14.045</v>
      </c>
      <c r="J331">
        <v>105790343</v>
      </c>
      <c r="K331" s="2">
        <v>43523</v>
      </c>
      <c r="L331">
        <v>21</v>
      </c>
      <c r="M331">
        <v>1</v>
      </c>
      <c r="N331">
        <v>0</v>
      </c>
      <c r="O331">
        <v>1</v>
      </c>
      <c r="P331" t="inlineStr">
        <is>
          <t>B</t>
        </is>
      </c>
    </row>
    <row r="332">
      <c r="A332" t="inlineStr">
        <is>
          <t>OXFORD</t>
        </is>
      </c>
      <c r="B332" t="inlineStr">
        <is>
          <t>OXFORD</t>
        </is>
      </c>
      <c r="C332">
        <v>0.0</v>
      </c>
      <c r="E332" t="inlineStr">
        <is>
          <t>SALEM</t>
        </is>
      </c>
      <c r="F332" t="inlineStr">
        <is>
          <t>COLLEGE</t>
        </is>
      </c>
      <c r="G332" t="inlineStr">
        <is>
          <t>US 158</t>
        </is>
      </c>
      <c r="H332">
        <v>14.055</v>
      </c>
      <c r="J332">
        <v>106500195</v>
      </c>
      <c r="K332" s="2">
        <v>44254</v>
      </c>
      <c r="L332">
        <v>1</v>
      </c>
      <c r="M332">
        <v>2</v>
      </c>
      <c r="N332">
        <v>0</v>
      </c>
      <c r="O332">
        <v>5</v>
      </c>
      <c r="P332" t="inlineStr">
        <is>
          <t>O</t>
        </is>
      </c>
    </row>
    <row r="333">
      <c r="A333" t="inlineStr">
        <is>
          <t>RURAL</t>
        </is>
      </c>
      <c r="B333" t="inlineStr">
        <is>
          <t>US 158</t>
        </is>
      </c>
      <c r="C333">
        <v>0.0</v>
      </c>
      <c r="E333" t="inlineStr">
        <is>
          <t>SR 1522</t>
        </is>
      </c>
      <c r="G333" t="inlineStr">
        <is>
          <t>US 158</t>
        </is>
      </c>
      <c r="H333">
        <v>14.055</v>
      </c>
      <c r="J333">
        <v>108130026</v>
      </c>
      <c r="K333" s="2">
        <v>45800</v>
      </c>
      <c r="L333">
        <v>24</v>
      </c>
      <c r="M333">
        <v>1</v>
      </c>
      <c r="N333">
        <v>7</v>
      </c>
      <c r="O333">
        <v>1</v>
      </c>
      <c r="P333" t="inlineStr">
        <is>
          <t>O</t>
        </is>
      </c>
    </row>
    <row r="334">
      <c r="A334" t="inlineStr">
        <is>
          <t>RURAL</t>
        </is>
      </c>
      <c r="B334" t="inlineStr">
        <is>
          <t>US 158</t>
        </is>
      </c>
      <c r="C334">
        <v>0.0</v>
      </c>
      <c r="E334" t="inlineStr">
        <is>
          <t>SR 1522</t>
        </is>
      </c>
      <c r="F334" t="inlineStr">
        <is>
          <t>SR 1515</t>
        </is>
      </c>
      <c r="G334" t="inlineStr">
        <is>
          <t>US 158</t>
        </is>
      </c>
      <c r="H334">
        <v>14.055</v>
      </c>
      <c r="J334">
        <v>108237122</v>
      </c>
      <c r="K334" s="2">
        <v>45919</v>
      </c>
      <c r="L334">
        <v>30</v>
      </c>
      <c r="M334">
        <v>1</v>
      </c>
      <c r="N334">
        <v>7</v>
      </c>
      <c r="O334">
        <v>1</v>
      </c>
      <c r="P334" t="inlineStr">
        <is>
          <t>C</t>
        </is>
      </c>
    </row>
    <row r="335">
      <c r="A335" t="inlineStr">
        <is>
          <t>RURAL</t>
        </is>
      </c>
      <c r="B335" t="inlineStr">
        <is>
          <t>US 158</t>
        </is>
      </c>
      <c r="C335">
        <v>0.0</v>
      </c>
      <c r="E335" t="inlineStr">
        <is>
          <t>SR 1522</t>
        </is>
      </c>
      <c r="F335" t="inlineStr">
        <is>
          <t>I 85</t>
        </is>
      </c>
      <c r="G335" t="inlineStr">
        <is>
          <t>US 158</t>
        </is>
      </c>
      <c r="H335">
        <v>14.055</v>
      </c>
      <c r="J335">
        <v>107839492</v>
      </c>
      <c r="K335" s="2">
        <v>45533</v>
      </c>
      <c r="L335">
        <v>30</v>
      </c>
      <c r="M335">
        <v>1</v>
      </c>
      <c r="N335">
        <v>7</v>
      </c>
      <c r="O335">
        <v>1</v>
      </c>
      <c r="P335" t="inlineStr">
        <is>
          <t>O</t>
        </is>
      </c>
    </row>
    <row r="336">
      <c r="A336" t="inlineStr">
        <is>
          <t>RURAL</t>
        </is>
      </c>
      <c r="B336" t="inlineStr">
        <is>
          <t>US 158</t>
        </is>
      </c>
      <c r="C336">
        <v>0.0</v>
      </c>
      <c r="E336" t="inlineStr">
        <is>
          <t>SR 1522</t>
        </is>
      </c>
      <c r="F336" t="inlineStr">
        <is>
          <t>US 15</t>
        </is>
      </c>
      <c r="G336" t="inlineStr">
        <is>
          <t>US 158</t>
        </is>
      </c>
      <c r="H336">
        <v>14.055</v>
      </c>
      <c r="J336">
        <v>107684984</v>
      </c>
      <c r="K336" s="2">
        <v>45393</v>
      </c>
      <c r="L336">
        <v>21</v>
      </c>
      <c r="M336">
        <v>1</v>
      </c>
      <c r="N336">
        <v>7</v>
      </c>
      <c r="O336">
        <v>1</v>
      </c>
      <c r="P336" t="inlineStr">
        <is>
          <t>O</t>
        </is>
      </c>
    </row>
    <row r="337">
      <c r="A337" t="inlineStr">
        <is>
          <t>RURAL</t>
        </is>
      </c>
      <c r="B337" t="inlineStr">
        <is>
          <t>US 158</t>
        </is>
      </c>
      <c r="C337">
        <v>0.0</v>
      </c>
      <c r="E337" t="inlineStr">
        <is>
          <t>SR 1522</t>
        </is>
      </c>
      <c r="F337" t="inlineStr">
        <is>
          <t>SR 1515</t>
        </is>
      </c>
      <c r="G337" t="inlineStr">
        <is>
          <t>US 158</t>
        </is>
      </c>
      <c r="H337">
        <v>14.055</v>
      </c>
      <c r="J337">
        <v>107636167</v>
      </c>
      <c r="K337" s="2">
        <v>45347</v>
      </c>
      <c r="L337">
        <v>28</v>
      </c>
      <c r="M337">
        <v>1</v>
      </c>
      <c r="N337">
        <v>7</v>
      </c>
      <c r="O337">
        <v>1</v>
      </c>
      <c r="P337" t="inlineStr">
        <is>
          <t>O</t>
        </is>
      </c>
    </row>
    <row r="338">
      <c r="A338" t="inlineStr">
        <is>
          <t>RURAL</t>
        </is>
      </c>
      <c r="B338" t="inlineStr">
        <is>
          <t>US 158</t>
        </is>
      </c>
      <c r="C338">
        <v>0.0</v>
      </c>
      <c r="E338" t="inlineStr">
        <is>
          <t>SR 1522</t>
        </is>
      </c>
      <c r="F338" t="inlineStr">
        <is>
          <t>SR 1515</t>
        </is>
      </c>
      <c r="G338" t="inlineStr">
        <is>
          <t>US 158</t>
        </is>
      </c>
      <c r="H338">
        <v>14.055</v>
      </c>
      <c r="J338">
        <v>107522308</v>
      </c>
      <c r="K338" s="2">
        <v>45239</v>
      </c>
      <c r="L338">
        <v>30</v>
      </c>
      <c r="M338">
        <v>1</v>
      </c>
      <c r="N338">
        <v>7</v>
      </c>
      <c r="O338">
        <v>5</v>
      </c>
      <c r="P338" t="inlineStr">
        <is>
          <t>B</t>
        </is>
      </c>
    </row>
    <row r="339">
      <c r="A339" t="inlineStr">
        <is>
          <t>RURAL</t>
        </is>
      </c>
      <c r="B339" t="inlineStr">
        <is>
          <t>US 158</t>
        </is>
      </c>
      <c r="C339">
        <v>0.0</v>
      </c>
      <c r="E339" t="inlineStr">
        <is>
          <t>SR 1522</t>
        </is>
      </c>
      <c r="F339" t="inlineStr">
        <is>
          <t>US 15</t>
        </is>
      </c>
      <c r="G339" t="inlineStr">
        <is>
          <t>US 158</t>
        </is>
      </c>
      <c r="H339">
        <v>14.055</v>
      </c>
      <c r="J339">
        <v>106482608</v>
      </c>
      <c r="K339" s="2">
        <v>44230</v>
      </c>
      <c r="L339">
        <v>30</v>
      </c>
      <c r="M339">
        <v>1</v>
      </c>
      <c r="N339">
        <v>7</v>
      </c>
      <c r="O339">
        <v>1</v>
      </c>
      <c r="P339" t="inlineStr">
        <is>
          <t>O</t>
        </is>
      </c>
    </row>
    <row r="340">
      <c r="A340" t="inlineStr">
        <is>
          <t>RURAL</t>
        </is>
      </c>
      <c r="B340" t="inlineStr">
        <is>
          <t>US 158</t>
        </is>
      </c>
      <c r="C340">
        <v>0.0</v>
      </c>
      <c r="E340" t="inlineStr">
        <is>
          <t>SR 1522</t>
        </is>
      </c>
      <c r="F340" t="inlineStr">
        <is>
          <t>US 15</t>
        </is>
      </c>
      <c r="G340" t="inlineStr">
        <is>
          <t>US 158</t>
        </is>
      </c>
      <c r="H340">
        <v>14.055</v>
      </c>
      <c r="J340">
        <v>105890212</v>
      </c>
      <c r="K340" s="2">
        <v>43620</v>
      </c>
      <c r="L340">
        <v>30</v>
      </c>
      <c r="M340">
        <v>1</v>
      </c>
      <c r="N340">
        <v>7</v>
      </c>
      <c r="O340">
        <v>1</v>
      </c>
      <c r="P340" t="inlineStr">
        <is>
          <t>O</t>
        </is>
      </c>
    </row>
    <row r="341">
      <c r="A341" t="inlineStr">
        <is>
          <t>RURAL</t>
        </is>
      </c>
      <c r="B341" t="inlineStr">
        <is>
          <t>US 158</t>
        </is>
      </c>
      <c r="C341">
        <v>0.0</v>
      </c>
      <c r="E341" t="inlineStr">
        <is>
          <t>SR 1522</t>
        </is>
      </c>
      <c r="F341" t="inlineStr">
        <is>
          <t>SR 1515</t>
        </is>
      </c>
      <c r="G341" t="inlineStr">
        <is>
          <t>US 158</t>
        </is>
      </c>
      <c r="H341">
        <v>14.055</v>
      </c>
      <c r="J341">
        <v>107005802</v>
      </c>
      <c r="K341" s="2">
        <v>44744</v>
      </c>
      <c r="L341">
        <v>23</v>
      </c>
      <c r="M341">
        <v>1</v>
      </c>
      <c r="N341">
        <v>7</v>
      </c>
      <c r="O341">
        <v>1</v>
      </c>
      <c r="P341" t="inlineStr">
        <is>
          <t>B</t>
        </is>
      </c>
    </row>
    <row r="342">
      <c r="A342" t="inlineStr">
        <is>
          <t>RURAL</t>
        </is>
      </c>
      <c r="B342" t="inlineStr">
        <is>
          <t>US 158</t>
        </is>
      </c>
      <c r="C342">
        <v>0.0</v>
      </c>
      <c r="E342" t="inlineStr">
        <is>
          <t>SR 1522</t>
        </is>
      </c>
      <c r="F342" t="inlineStr">
        <is>
          <t>SR 1515</t>
        </is>
      </c>
      <c r="G342" t="inlineStr">
        <is>
          <t>US 158</t>
        </is>
      </c>
      <c r="H342">
        <v>14.055</v>
      </c>
      <c r="J342">
        <v>106812161</v>
      </c>
      <c r="K342" s="2">
        <v>44552</v>
      </c>
      <c r="L342">
        <v>30</v>
      </c>
      <c r="M342">
        <v>1</v>
      </c>
      <c r="N342">
        <v>7</v>
      </c>
      <c r="O342">
        <v>1</v>
      </c>
      <c r="P342" t="inlineStr">
        <is>
          <t>O</t>
        </is>
      </c>
    </row>
    <row r="343">
      <c r="A343" t="inlineStr">
        <is>
          <t>RURAL</t>
        </is>
      </c>
      <c r="B343" t="inlineStr">
        <is>
          <t>US 158</t>
        </is>
      </c>
      <c r="C343">
        <v>0.0</v>
      </c>
      <c r="E343" t="inlineStr">
        <is>
          <t>SR 1522</t>
        </is>
      </c>
      <c r="G343" t="inlineStr">
        <is>
          <t>US 158</t>
        </is>
      </c>
      <c r="H343">
        <v>14.055</v>
      </c>
      <c r="J343">
        <v>107321539</v>
      </c>
      <c r="K343" s="2">
        <v>45037</v>
      </c>
      <c r="L343">
        <v>23</v>
      </c>
      <c r="M343">
        <v>1</v>
      </c>
      <c r="N343">
        <v>7</v>
      </c>
      <c r="O343">
        <v>1</v>
      </c>
      <c r="P343" t="inlineStr">
        <is>
          <t>O</t>
        </is>
      </c>
    </row>
    <row r="344">
      <c r="A344" t="inlineStr">
        <is>
          <t>RURAL</t>
        </is>
      </c>
      <c r="B344" t="inlineStr">
        <is>
          <t>US 158</t>
        </is>
      </c>
      <c r="C344">
        <v>0.0</v>
      </c>
      <c r="E344" t="inlineStr">
        <is>
          <t>SR 1522</t>
        </is>
      </c>
      <c r="F344" t="inlineStr">
        <is>
          <t>US 15</t>
        </is>
      </c>
      <c r="G344" t="inlineStr">
        <is>
          <t>US 158</t>
        </is>
      </c>
      <c r="H344">
        <v>14.055</v>
      </c>
      <c r="J344">
        <v>106826767</v>
      </c>
      <c r="K344" s="2">
        <v>44565</v>
      </c>
      <c r="L344">
        <v>30</v>
      </c>
      <c r="M344">
        <v>1</v>
      </c>
      <c r="N344">
        <v>7</v>
      </c>
      <c r="O344">
        <v>1</v>
      </c>
      <c r="P344" t="inlineStr">
        <is>
          <t>B</t>
        </is>
      </c>
    </row>
    <row r="345">
      <c r="A345" t="inlineStr">
        <is>
          <t>RURAL</t>
        </is>
      </c>
      <c r="B345" t="inlineStr">
        <is>
          <t>US 158</t>
        </is>
      </c>
      <c r="C345">
        <v>0.0</v>
      </c>
      <c r="E345" t="inlineStr">
        <is>
          <t>SR 1522</t>
        </is>
      </c>
      <c r="F345" t="inlineStr">
        <is>
          <t>US 15</t>
        </is>
      </c>
      <c r="G345" t="inlineStr">
        <is>
          <t>US 158</t>
        </is>
      </c>
      <c r="H345">
        <v>14.055</v>
      </c>
      <c r="J345">
        <v>106854292</v>
      </c>
      <c r="K345" s="2">
        <v>44588</v>
      </c>
      <c r="L345">
        <v>30</v>
      </c>
      <c r="M345">
        <v>1</v>
      </c>
      <c r="N345">
        <v>7</v>
      </c>
      <c r="O345">
        <v>1</v>
      </c>
      <c r="P345" t="inlineStr">
        <is>
          <t>B</t>
        </is>
      </c>
    </row>
    <row r="346">
      <c r="A346" t="inlineStr">
        <is>
          <t>RURAL</t>
        </is>
      </c>
      <c r="B346" t="inlineStr">
        <is>
          <t>US 158</t>
        </is>
      </c>
      <c r="C346">
        <v>0.0</v>
      </c>
      <c r="E346" t="inlineStr">
        <is>
          <t>SR 1522</t>
        </is>
      </c>
      <c r="F346" t="inlineStr">
        <is>
          <t>SR 1515</t>
        </is>
      </c>
      <c r="G346" t="inlineStr">
        <is>
          <t>US 158</t>
        </is>
      </c>
      <c r="H346">
        <v>14.055</v>
      </c>
      <c r="J346">
        <v>107286901</v>
      </c>
      <c r="K346" s="2">
        <v>45013</v>
      </c>
      <c r="L346">
        <v>30</v>
      </c>
      <c r="M346">
        <v>1</v>
      </c>
      <c r="N346">
        <v>7</v>
      </c>
      <c r="O346">
        <v>1</v>
      </c>
      <c r="P346" t="inlineStr">
        <is>
          <t>B</t>
        </is>
      </c>
    </row>
    <row r="347">
      <c r="A347" t="inlineStr">
        <is>
          <t>RURAL</t>
        </is>
      </c>
      <c r="B347" t="inlineStr">
        <is>
          <t>US 158</t>
        </is>
      </c>
      <c r="C347">
        <v>0.0</v>
      </c>
      <c r="E347" t="inlineStr">
        <is>
          <t>SR 1522</t>
        </is>
      </c>
      <c r="F347" t="inlineStr">
        <is>
          <t>US 15</t>
        </is>
      </c>
      <c r="G347" t="inlineStr">
        <is>
          <t>US 158</t>
        </is>
      </c>
      <c r="H347">
        <v>14.055</v>
      </c>
      <c r="J347">
        <v>106508286</v>
      </c>
      <c r="K347" s="2">
        <v>44260</v>
      </c>
      <c r="L347">
        <v>30</v>
      </c>
      <c r="M347">
        <v>1</v>
      </c>
      <c r="N347">
        <v>7</v>
      </c>
      <c r="O347">
        <v>5</v>
      </c>
      <c r="P347" t="inlineStr">
        <is>
          <t>B</t>
        </is>
      </c>
    </row>
    <row r="348">
      <c r="A348" t="inlineStr">
        <is>
          <t>OXFORD</t>
        </is>
      </c>
      <c r="B348" t="inlineStr">
        <is>
          <t>US 158</t>
        </is>
      </c>
      <c r="C348">
        <v>0.0</v>
      </c>
      <c r="E348" t="inlineStr">
        <is>
          <t>SR 1522</t>
        </is>
      </c>
      <c r="F348" t="inlineStr">
        <is>
          <t>US 15</t>
        </is>
      </c>
      <c r="G348" t="inlineStr">
        <is>
          <t>US 158</t>
        </is>
      </c>
      <c r="H348">
        <v>14.055</v>
      </c>
      <c r="J348">
        <v>106471444</v>
      </c>
      <c r="K348" s="2">
        <v>44219</v>
      </c>
      <c r="L348">
        <v>30</v>
      </c>
      <c r="M348">
        <v>1</v>
      </c>
      <c r="N348">
        <v>7</v>
      </c>
      <c r="O348">
        <v>5</v>
      </c>
      <c r="P348" t="inlineStr">
        <is>
          <t>O</t>
        </is>
      </c>
    </row>
    <row r="349">
      <c r="A349" t="inlineStr">
        <is>
          <t>RURAL</t>
        </is>
      </c>
      <c r="B349" t="inlineStr">
        <is>
          <t>US 158</t>
        </is>
      </c>
      <c r="C349">
        <v>0.0</v>
      </c>
      <c r="E349" t="inlineStr">
        <is>
          <t>SR 1522</t>
        </is>
      </c>
      <c r="F349" t="inlineStr">
        <is>
          <t>US 15</t>
        </is>
      </c>
      <c r="G349" t="inlineStr">
        <is>
          <t>US 158</t>
        </is>
      </c>
      <c r="H349">
        <v>14.055</v>
      </c>
      <c r="J349">
        <v>106435224</v>
      </c>
      <c r="K349" s="2">
        <v>44176</v>
      </c>
      <c r="L349">
        <v>19</v>
      </c>
      <c r="M349">
        <v>1</v>
      </c>
      <c r="N349">
        <v>7</v>
      </c>
      <c r="O349">
        <v>1</v>
      </c>
      <c r="P349" t="inlineStr">
        <is>
          <t>O</t>
        </is>
      </c>
    </row>
    <row r="350">
      <c r="A350" t="inlineStr">
        <is>
          <t>RURAL</t>
        </is>
      </c>
      <c r="B350" t="inlineStr">
        <is>
          <t>US 158</t>
        </is>
      </c>
      <c r="C350">
        <v>0.0</v>
      </c>
      <c r="E350" t="inlineStr">
        <is>
          <t>SR 1522</t>
        </is>
      </c>
      <c r="F350" t="inlineStr">
        <is>
          <t>US 15</t>
        </is>
      </c>
      <c r="G350" t="inlineStr">
        <is>
          <t>US 158</t>
        </is>
      </c>
      <c r="H350">
        <v>14.055</v>
      </c>
      <c r="J350">
        <v>105930374</v>
      </c>
      <c r="K350" s="2">
        <v>43665</v>
      </c>
      <c r="L350">
        <v>30</v>
      </c>
      <c r="M350">
        <v>1</v>
      </c>
      <c r="N350">
        <v>7</v>
      </c>
      <c r="O350">
        <v>1</v>
      </c>
      <c r="P350" t="inlineStr">
        <is>
          <t>O</t>
        </is>
      </c>
    </row>
    <row r="351">
      <c r="A351" t="inlineStr">
        <is>
          <t>RURAL</t>
        </is>
      </c>
      <c r="B351" t="inlineStr">
        <is>
          <t>US 158</t>
        </is>
      </c>
      <c r="C351">
        <v>0.0</v>
      </c>
      <c r="E351" t="inlineStr">
        <is>
          <t>SR 1522</t>
        </is>
      </c>
      <c r="F351" t="inlineStr">
        <is>
          <t>SR 1515</t>
        </is>
      </c>
      <c r="G351" t="inlineStr">
        <is>
          <t>US 158</t>
        </is>
      </c>
      <c r="H351">
        <v>14.055</v>
      </c>
      <c r="J351">
        <v>105665237</v>
      </c>
      <c r="K351" s="2">
        <v>43404</v>
      </c>
      <c r="L351">
        <v>23</v>
      </c>
      <c r="M351">
        <v>1</v>
      </c>
      <c r="N351">
        <v>7</v>
      </c>
      <c r="O351">
        <v>1</v>
      </c>
      <c r="P351" t="inlineStr">
        <is>
          <t>C</t>
        </is>
      </c>
    </row>
    <row r="352">
      <c r="A352" t="inlineStr">
        <is>
          <t>RURAL</t>
        </is>
      </c>
      <c r="B352" t="inlineStr">
        <is>
          <t>US 158</t>
        </is>
      </c>
      <c r="C352">
        <v>0.0</v>
      </c>
      <c r="E352" t="inlineStr">
        <is>
          <t>SR 1522</t>
        </is>
      </c>
      <c r="F352" t="inlineStr">
        <is>
          <t>PVA EDGEWOOD DR</t>
        </is>
      </c>
      <c r="G352" t="inlineStr">
        <is>
          <t>US 158</t>
        </is>
      </c>
      <c r="H352">
        <v>14.055</v>
      </c>
      <c r="J352">
        <v>105142851</v>
      </c>
      <c r="K352" s="2">
        <v>42892</v>
      </c>
      <c r="L352">
        <v>24</v>
      </c>
      <c r="M352">
        <v>1</v>
      </c>
      <c r="N352">
        <v>4</v>
      </c>
      <c r="O352">
        <v>1</v>
      </c>
      <c r="P352" t="inlineStr">
        <is>
          <t>B</t>
        </is>
      </c>
    </row>
    <row r="353">
      <c r="A353" t="inlineStr">
        <is>
          <t>RURAL</t>
        </is>
      </c>
      <c r="B353" t="inlineStr">
        <is>
          <t>US 158</t>
        </is>
      </c>
      <c r="C353">
        <v>0.0</v>
      </c>
      <c r="E353" t="inlineStr">
        <is>
          <t>SR 1522</t>
        </is>
      </c>
      <c r="F353" t="inlineStr">
        <is>
          <t>SR 1523</t>
        </is>
      </c>
      <c r="G353" t="inlineStr">
        <is>
          <t>US 158</t>
        </is>
      </c>
      <c r="H353">
        <v>14.055</v>
      </c>
      <c r="J353">
        <v>107892257</v>
      </c>
      <c r="K353" s="2">
        <v>45583</v>
      </c>
      <c r="L353">
        <v>30</v>
      </c>
      <c r="M353">
        <v>1</v>
      </c>
      <c r="N353">
        <v>7</v>
      </c>
      <c r="O353">
        <v>1</v>
      </c>
      <c r="P353" t="inlineStr">
        <is>
          <t>C</t>
        </is>
      </c>
    </row>
    <row r="354">
      <c r="A354" t="inlineStr">
        <is>
          <t>RURAL</t>
        </is>
      </c>
      <c r="B354" t="inlineStr">
        <is>
          <t>US 158</t>
        </is>
      </c>
      <c r="C354">
        <v>0.0</v>
      </c>
      <c r="E354" t="inlineStr">
        <is>
          <t>SR 1522</t>
        </is>
      </c>
      <c r="G354" t="inlineStr">
        <is>
          <t>US 158</t>
        </is>
      </c>
      <c r="H354">
        <v>14.055</v>
      </c>
      <c r="J354">
        <v>107364884</v>
      </c>
      <c r="K354" s="2">
        <v>45084</v>
      </c>
      <c r="L354">
        <v>26</v>
      </c>
      <c r="M354">
        <v>2</v>
      </c>
      <c r="N354">
        <v>7</v>
      </c>
      <c r="O354">
        <v>1</v>
      </c>
      <c r="P354" t="inlineStr">
        <is>
          <t>O</t>
        </is>
      </c>
    </row>
    <row r="355">
      <c r="A355" t="inlineStr">
        <is>
          <t>RURAL</t>
        </is>
      </c>
      <c r="B355" t="inlineStr">
        <is>
          <t>US 158</t>
        </is>
      </c>
      <c r="C355">
        <v>0.0</v>
      </c>
      <c r="E355" t="inlineStr">
        <is>
          <t>SR 1522</t>
        </is>
      </c>
      <c r="F355" t="inlineStr">
        <is>
          <t>SR 1515</t>
        </is>
      </c>
      <c r="G355" t="inlineStr">
        <is>
          <t>US 158</t>
        </is>
      </c>
      <c r="H355">
        <v>14.055</v>
      </c>
      <c r="J355">
        <v>107279987</v>
      </c>
      <c r="K355" s="2">
        <v>45007</v>
      </c>
      <c r="L355">
        <v>23</v>
      </c>
      <c r="M355">
        <v>1</v>
      </c>
      <c r="N355">
        <v>7</v>
      </c>
      <c r="O355">
        <v>1</v>
      </c>
      <c r="P355" t="inlineStr">
        <is>
          <t>O</t>
        </is>
      </c>
    </row>
    <row r="356">
      <c r="A356" t="inlineStr">
        <is>
          <t>RURAL</t>
        </is>
      </c>
      <c r="B356" t="inlineStr">
        <is>
          <t>US 158</t>
        </is>
      </c>
      <c r="C356">
        <v>0.019</v>
      </c>
      <c r="D356" t="inlineStr">
        <is>
          <t>S</t>
        </is>
      </c>
      <c r="E356" t="inlineStr">
        <is>
          <t>SR 1522</t>
        </is>
      </c>
      <c r="F356" t="inlineStr">
        <is>
          <t>SR 1646</t>
        </is>
      </c>
      <c r="G356" t="inlineStr">
        <is>
          <t>US 158</t>
        </is>
      </c>
      <c r="H356">
        <v>14.074</v>
      </c>
      <c r="J356">
        <v>107980034</v>
      </c>
      <c r="K356" s="2">
        <v>45661</v>
      </c>
      <c r="L356">
        <v>21</v>
      </c>
      <c r="M356">
        <v>1</v>
      </c>
      <c r="N356">
        <v>7</v>
      </c>
      <c r="O356">
        <v>1</v>
      </c>
      <c r="P356" t="inlineStr">
        <is>
          <t>O</t>
        </is>
      </c>
    </row>
    <row r="357">
      <c r="A357" t="inlineStr">
        <is>
          <t>RURAL</t>
        </is>
      </c>
      <c r="B357" t="inlineStr">
        <is>
          <t>US 158</t>
        </is>
      </c>
      <c r="C357">
        <v>0.019</v>
      </c>
      <c r="D357" t="inlineStr">
        <is>
          <t>S</t>
        </is>
      </c>
      <c r="E357" t="inlineStr">
        <is>
          <t>SR 1522</t>
        </is>
      </c>
      <c r="F357" t="inlineStr">
        <is>
          <t>I 85</t>
        </is>
      </c>
      <c r="G357" t="inlineStr">
        <is>
          <t>US 158</t>
        </is>
      </c>
      <c r="H357">
        <v>14.074</v>
      </c>
      <c r="J357">
        <v>107935430</v>
      </c>
      <c r="K357" s="2">
        <v>45605</v>
      </c>
      <c r="L357">
        <v>19</v>
      </c>
      <c r="M357">
        <v>2</v>
      </c>
      <c r="N357">
        <v>0</v>
      </c>
      <c r="O357">
        <v>4</v>
      </c>
      <c r="P357" t="inlineStr">
        <is>
          <t>O</t>
        </is>
      </c>
    </row>
    <row r="358">
      <c r="A358" t="inlineStr">
        <is>
          <t>RURAL</t>
        </is>
      </c>
      <c r="B358" t="inlineStr">
        <is>
          <t>US 158</t>
        </is>
      </c>
      <c r="C358">
        <v>0.0</v>
      </c>
      <c r="E358" t="inlineStr">
        <is>
          <t>SR 1602</t>
        </is>
      </c>
      <c r="F358" t="inlineStr">
        <is>
          <t>I 85</t>
        </is>
      </c>
      <c r="G358" t="inlineStr">
        <is>
          <t>US 158</t>
        </is>
      </c>
      <c r="H358">
        <v>999.999</v>
      </c>
      <c r="J358">
        <v>107862265</v>
      </c>
      <c r="K358" s="2">
        <v>45554</v>
      </c>
      <c r="L358">
        <v>24</v>
      </c>
      <c r="M358">
        <v>1</v>
      </c>
      <c r="N358">
        <v>7</v>
      </c>
      <c r="O358">
        <v>1</v>
      </c>
      <c r="P358" t="inlineStr">
        <is>
          <t>C</t>
        </is>
      </c>
      <c r="Q358">
        <v>36.313448</v>
      </c>
      <c r="R358">
        <v>-78.55273</v>
      </c>
      <c r="S358" t="inlineStr">
        <is>
          <t>DMV349CLEANED</t>
        </is>
      </c>
    </row>
    <row r="359">
      <c r="A359" t="inlineStr">
        <is>
          <t>RURAL</t>
        </is>
      </c>
      <c r="B359" t="inlineStr">
        <is>
          <t>US 158</t>
        </is>
      </c>
      <c r="C359">
        <v>0.0</v>
      </c>
      <c r="E359" t="inlineStr">
        <is>
          <t>SR 1602</t>
        </is>
      </c>
      <c r="F359" t="inlineStr">
        <is>
          <t>I 85</t>
        </is>
      </c>
      <c r="G359" t="inlineStr">
        <is>
          <t>US 158</t>
        </is>
      </c>
      <c r="H359">
        <v>999.999</v>
      </c>
      <c r="J359">
        <v>107375014</v>
      </c>
      <c r="K359" s="2">
        <v>45096</v>
      </c>
      <c r="L359">
        <v>23</v>
      </c>
      <c r="M359">
        <v>2</v>
      </c>
      <c r="N359">
        <v>7</v>
      </c>
      <c r="O359">
        <v>1</v>
      </c>
      <c r="P359" t="inlineStr">
        <is>
          <t>O</t>
        </is>
      </c>
      <c r="Q359">
        <v>36.31334</v>
      </c>
      <c r="R359">
        <v>-78.55296</v>
      </c>
      <c r="S359" t="inlineStr">
        <is>
          <t>DMV349CLEANED</t>
        </is>
      </c>
    </row>
    <row r="360">
      <c r="A360" t="inlineStr">
        <is>
          <t>RURAL</t>
        </is>
      </c>
      <c r="B360" t="inlineStr">
        <is>
          <t>US 158</t>
        </is>
      </c>
      <c r="C360">
        <v>0.0</v>
      </c>
      <c r="E360" t="inlineStr">
        <is>
          <t>SR 1602</t>
        </is>
      </c>
      <c r="F360" t="inlineStr">
        <is>
          <t>US 158BUS</t>
        </is>
      </c>
      <c r="G360" t="inlineStr">
        <is>
          <t>US 158</t>
        </is>
      </c>
      <c r="H360">
        <v>999.999</v>
      </c>
      <c r="J360">
        <v>107219725</v>
      </c>
      <c r="K360" s="2">
        <v>44946</v>
      </c>
      <c r="L360">
        <v>30</v>
      </c>
      <c r="M360">
        <v>1</v>
      </c>
      <c r="N360">
        <v>7</v>
      </c>
      <c r="O360">
        <v>1</v>
      </c>
      <c r="P360" t="inlineStr">
        <is>
          <t>O</t>
        </is>
      </c>
      <c r="Q360">
        <v>36.31287</v>
      </c>
      <c r="R360">
        <v>-78.55065</v>
      </c>
      <c r="S360" t="inlineStr">
        <is>
          <t>DMV349CLEANED</t>
        </is>
      </c>
    </row>
    <row r="361">
      <c r="A361" t="inlineStr">
        <is>
          <t>RURAL</t>
        </is>
      </c>
      <c r="B361" t="inlineStr">
        <is>
          <t>US 158</t>
        </is>
      </c>
      <c r="C361">
        <v>0.0</v>
      </c>
      <c r="E361" t="inlineStr">
        <is>
          <t>SR 1602</t>
        </is>
      </c>
      <c r="F361" t="inlineStr">
        <is>
          <t>I 85</t>
        </is>
      </c>
      <c r="G361" t="inlineStr">
        <is>
          <t>US 158</t>
        </is>
      </c>
      <c r="H361">
        <v>999.999</v>
      </c>
      <c r="J361">
        <v>107197910</v>
      </c>
      <c r="K361" s="2">
        <v>44924</v>
      </c>
      <c r="L361">
        <v>23</v>
      </c>
      <c r="M361">
        <v>1</v>
      </c>
      <c r="N361">
        <v>7</v>
      </c>
      <c r="O361">
        <v>5</v>
      </c>
      <c r="P361" t="inlineStr">
        <is>
          <t>O</t>
        </is>
      </c>
      <c r="Q361">
        <v>36.31332</v>
      </c>
      <c r="R361">
        <v>-78.55304</v>
      </c>
      <c r="S361" t="inlineStr">
        <is>
          <t>DMV349CLEANED</t>
        </is>
      </c>
    </row>
    <row r="362">
      <c r="A362" t="inlineStr">
        <is>
          <t>RURAL</t>
        </is>
      </c>
      <c r="B362" t="inlineStr">
        <is>
          <t>US 158</t>
        </is>
      </c>
      <c r="C362">
        <v>0.0</v>
      </c>
      <c r="E362" t="inlineStr">
        <is>
          <t>SR 1602</t>
        </is>
      </c>
      <c r="F362" t="inlineStr">
        <is>
          <t>MALULI</t>
        </is>
      </c>
      <c r="G362" t="inlineStr">
        <is>
          <t>US 158</t>
        </is>
      </c>
      <c r="H362">
        <v>999.999</v>
      </c>
      <c r="J362">
        <v>106619014</v>
      </c>
      <c r="K362" s="2">
        <v>44363</v>
      </c>
      <c r="L362">
        <v>30</v>
      </c>
      <c r="M362">
        <v>1</v>
      </c>
      <c r="N362">
        <v>7</v>
      </c>
      <c r="O362">
        <v>4</v>
      </c>
      <c r="P362" t="inlineStr">
        <is>
          <t>O</t>
        </is>
      </c>
    </row>
    <row r="363">
      <c r="A363" t="inlineStr">
        <is>
          <t>RURAL</t>
        </is>
      </c>
      <c r="B363" t="inlineStr">
        <is>
          <t>US 158</t>
        </is>
      </c>
      <c r="C363">
        <v>0.0</v>
      </c>
      <c r="E363" t="inlineStr">
        <is>
          <t>SR 1602</t>
        </is>
      </c>
      <c r="F363" t="inlineStr">
        <is>
          <t>SR 1522</t>
        </is>
      </c>
      <c r="G363" t="inlineStr">
        <is>
          <t>US 158</t>
        </is>
      </c>
      <c r="H363">
        <v>999.999</v>
      </c>
      <c r="J363">
        <v>105825638</v>
      </c>
      <c r="K363" s="2">
        <v>43562</v>
      </c>
      <c r="L363">
        <v>23</v>
      </c>
      <c r="M363">
        <v>1</v>
      </c>
      <c r="N363">
        <v>7</v>
      </c>
      <c r="O363">
        <v>1</v>
      </c>
      <c r="P363" t="inlineStr">
        <is>
          <t>B</t>
        </is>
      </c>
    </row>
    <row r="364">
      <c r="A364" t="inlineStr">
        <is>
          <t>RURAL</t>
        </is>
      </c>
      <c r="B364" t="inlineStr">
        <is>
          <t>US 158</t>
        </is>
      </c>
      <c r="C364">
        <v>0.0</v>
      </c>
      <c r="E364" t="inlineStr">
        <is>
          <t>SR 1602</t>
        </is>
      </c>
      <c r="F364" t="inlineStr">
        <is>
          <t>SR 1521</t>
        </is>
      </c>
      <c r="G364" t="inlineStr">
        <is>
          <t>US 158</t>
        </is>
      </c>
      <c r="H364">
        <v>999.999</v>
      </c>
      <c r="J364">
        <v>108205786</v>
      </c>
      <c r="K364" s="2">
        <v>45880</v>
      </c>
      <c r="L364">
        <v>23</v>
      </c>
      <c r="M364">
        <v>1</v>
      </c>
      <c r="N364">
        <v>7</v>
      </c>
      <c r="O364">
        <v>1</v>
      </c>
      <c r="P364" t="inlineStr">
        <is>
          <t>C</t>
        </is>
      </c>
      <c r="Q364">
        <v>36.313276</v>
      </c>
      <c r="R364">
        <v>-78.55295</v>
      </c>
      <c r="S364" t="inlineStr">
        <is>
          <t>DMV349CLEANED</t>
        </is>
      </c>
    </row>
    <row r="365">
      <c r="A365" t="inlineStr">
        <is>
          <t>RURAL</t>
        </is>
      </c>
      <c r="B365" t="inlineStr">
        <is>
          <t>US 158</t>
        </is>
      </c>
      <c r="C365">
        <v>0.0</v>
      </c>
      <c r="E365" t="inlineStr">
        <is>
          <t>SR 1602</t>
        </is>
      </c>
      <c r="F365" t="inlineStr">
        <is>
          <t>SR 1521</t>
        </is>
      </c>
      <c r="G365" t="inlineStr">
        <is>
          <t>US 158</t>
        </is>
      </c>
      <c r="H365">
        <v>999.999</v>
      </c>
      <c r="J365">
        <v>107573677</v>
      </c>
      <c r="K365" s="2">
        <v>45276</v>
      </c>
      <c r="L365">
        <v>30</v>
      </c>
      <c r="M365">
        <v>1</v>
      </c>
      <c r="N365">
        <v>7</v>
      </c>
      <c r="O365">
        <v>1</v>
      </c>
      <c r="P365" t="inlineStr">
        <is>
          <t>B</t>
        </is>
      </c>
      <c r="Q365">
        <v>36.31333</v>
      </c>
      <c r="R365">
        <v>-78.55307</v>
      </c>
      <c r="S365" t="inlineStr">
        <is>
          <t>DMV349CLEANED</t>
        </is>
      </c>
    </row>
    <row r="366">
      <c r="A366" t="inlineStr">
        <is>
          <t>RURAL</t>
        </is>
      </c>
      <c r="B366" t="inlineStr">
        <is>
          <t>US 158</t>
        </is>
      </c>
      <c r="C366">
        <v>0.004</v>
      </c>
      <c r="D366" t="inlineStr">
        <is>
          <t>E</t>
        </is>
      </c>
      <c r="E366" t="inlineStr">
        <is>
          <t>SR 1602</t>
        </is>
      </c>
      <c r="F366" t="inlineStr">
        <is>
          <t>I 85</t>
        </is>
      </c>
      <c r="G366" t="inlineStr">
        <is>
          <t>US 158</t>
        </is>
      </c>
      <c r="H366">
        <v>999.999</v>
      </c>
      <c r="J366">
        <v>106048164</v>
      </c>
      <c r="K366" s="2">
        <v>43768</v>
      </c>
      <c r="L366">
        <v>21</v>
      </c>
      <c r="M366">
        <v>1</v>
      </c>
      <c r="N366">
        <v>0</v>
      </c>
      <c r="O366">
        <v>5</v>
      </c>
      <c r="P366" t="inlineStr">
        <is>
          <t>O</t>
        </is>
      </c>
    </row>
    <row r="367">
      <c r="A367" t="inlineStr">
        <is>
          <t>RURAL</t>
        </is>
      </c>
      <c r="B367" t="inlineStr">
        <is>
          <t>US 158</t>
        </is>
      </c>
      <c r="C367">
        <v>0.009</v>
      </c>
      <c r="D367" t="inlineStr">
        <is>
          <t>E</t>
        </is>
      </c>
      <c r="E367" t="inlineStr">
        <is>
          <t>SR 1602</t>
        </is>
      </c>
      <c r="F367" t="inlineStr">
        <is>
          <t>SR 1521</t>
        </is>
      </c>
      <c r="G367" t="inlineStr">
        <is>
          <t>US 158</t>
        </is>
      </c>
      <c r="H367">
        <v>999.999</v>
      </c>
      <c r="J367">
        <v>108254741</v>
      </c>
      <c r="K367" s="2">
        <v>45931</v>
      </c>
      <c r="L367">
        <v>24</v>
      </c>
      <c r="M367">
        <v>1</v>
      </c>
      <c r="N367">
        <v>7</v>
      </c>
      <c r="O367">
        <v>1</v>
      </c>
      <c r="P367" t="inlineStr">
        <is>
          <t>O</t>
        </is>
      </c>
      <c r="Q367">
        <v>36.313406</v>
      </c>
      <c r="R367">
        <v>-78.55273</v>
      </c>
      <c r="S367" t="inlineStr">
        <is>
          <t>DMV349CLEANED</t>
        </is>
      </c>
    </row>
    <row r="368">
      <c r="A368" t="inlineStr">
        <is>
          <t>RURAL</t>
        </is>
      </c>
      <c r="B368" t="inlineStr">
        <is>
          <t>US 158</t>
        </is>
      </c>
      <c r="C368">
        <v>0.026</v>
      </c>
      <c r="D368" t="inlineStr">
        <is>
          <t>E</t>
        </is>
      </c>
      <c r="E368" t="inlineStr">
        <is>
          <t>SR 1602</t>
        </is>
      </c>
      <c r="F368" t="inlineStr">
        <is>
          <t>SR 1521</t>
        </is>
      </c>
      <c r="G368" t="inlineStr">
        <is>
          <t>US 158</t>
        </is>
      </c>
      <c r="H368">
        <v>999.999</v>
      </c>
      <c r="J368">
        <v>107445952</v>
      </c>
      <c r="K368" s="2">
        <v>45170</v>
      </c>
      <c r="L368">
        <v>28</v>
      </c>
      <c r="M368">
        <v>1</v>
      </c>
      <c r="N368">
        <v>0</v>
      </c>
      <c r="O368">
        <v>1</v>
      </c>
      <c r="P368" t="inlineStr">
        <is>
          <t>O</t>
        </is>
      </c>
      <c r="Q368">
        <v>36.31347</v>
      </c>
      <c r="R368">
        <v>-78.55239</v>
      </c>
      <c r="S368" t="inlineStr">
        <is>
          <t>DMV349CLEANED</t>
        </is>
      </c>
    </row>
    <row r="369">
      <c r="A369" t="inlineStr">
        <is>
          <t>RURAL</t>
        </is>
      </c>
      <c r="B369" t="inlineStr">
        <is>
          <t>US 158</t>
        </is>
      </c>
      <c r="C369">
        <v>0.027</v>
      </c>
      <c r="D369" t="inlineStr">
        <is>
          <t>N</t>
        </is>
      </c>
      <c r="E369" t="inlineStr">
        <is>
          <t>SR 1602</t>
        </is>
      </c>
      <c r="F369" t="inlineStr">
        <is>
          <t>SR 1522</t>
        </is>
      </c>
      <c r="G369" t="inlineStr">
        <is>
          <t>US 158</t>
        </is>
      </c>
      <c r="H369">
        <v>999.999</v>
      </c>
      <c r="J369">
        <v>108231920</v>
      </c>
      <c r="K369" s="2">
        <v>45909</v>
      </c>
      <c r="L369">
        <v>28</v>
      </c>
      <c r="M369">
        <v>1</v>
      </c>
      <c r="N369">
        <v>0</v>
      </c>
      <c r="O369">
        <v>1</v>
      </c>
      <c r="P369" t="inlineStr">
        <is>
          <t>O</t>
        </is>
      </c>
      <c r="Q369">
        <v>36.313816</v>
      </c>
      <c r="R369">
        <v>-78.55307</v>
      </c>
      <c r="S369" t="inlineStr">
        <is>
          <t>DMV349CLEANED</t>
        </is>
      </c>
    </row>
    <row r="370">
      <c r="A370" t="inlineStr">
        <is>
          <t>OXFORD</t>
        </is>
      </c>
      <c r="B370" t="inlineStr">
        <is>
          <t>WILLIAMSBORO</t>
        </is>
      </c>
      <c r="C370">
        <v>0.004</v>
      </c>
      <c r="D370" t="inlineStr">
        <is>
          <t>W</t>
        </is>
      </c>
      <c r="E370" t="inlineStr">
        <is>
          <t>MAIN</t>
        </is>
      </c>
      <c r="F370" t="inlineStr">
        <is>
          <t>WILLIAMSBORO</t>
        </is>
      </c>
      <c r="G370" t="inlineStr">
        <is>
          <t>US 158BUS</t>
        </is>
      </c>
      <c r="H370">
        <v>2.051</v>
      </c>
      <c r="J370">
        <v>106463140</v>
      </c>
      <c r="K370" s="2">
        <v>44201</v>
      </c>
      <c r="L370">
        <v>31</v>
      </c>
      <c r="M370">
        <v>1</v>
      </c>
      <c r="N370">
        <v>0</v>
      </c>
      <c r="O370">
        <v>1</v>
      </c>
      <c r="P370" t="inlineStr">
        <is>
          <t>O</t>
        </is>
      </c>
    </row>
    <row r="371">
      <c r="A371" t="inlineStr">
        <is>
          <t>OXFORD</t>
        </is>
      </c>
      <c r="B371" t="inlineStr">
        <is>
          <t>WILLIAMSBORO</t>
        </is>
      </c>
      <c r="C371">
        <v>0.0</v>
      </c>
      <c r="E371" t="inlineStr">
        <is>
          <t>MAIN</t>
        </is>
      </c>
      <c r="F371" t="inlineStr">
        <is>
          <t>MAIN</t>
        </is>
      </c>
      <c r="G371" t="inlineStr">
        <is>
          <t>US 158BUS</t>
        </is>
      </c>
      <c r="H371">
        <v>2.055</v>
      </c>
      <c r="J371">
        <v>106762748</v>
      </c>
      <c r="K371" s="2">
        <v>44510</v>
      </c>
      <c r="L371">
        <v>31</v>
      </c>
      <c r="M371">
        <v>1</v>
      </c>
      <c r="N371">
        <v>0</v>
      </c>
      <c r="O371">
        <v>1</v>
      </c>
      <c r="P371" t="inlineStr">
        <is>
          <t>O</t>
        </is>
      </c>
    </row>
    <row r="372">
      <c r="A372" t="inlineStr">
        <is>
          <t>OXFORD</t>
        </is>
      </c>
      <c r="B372" t="inlineStr">
        <is>
          <t>WILLIAMSBORO</t>
        </is>
      </c>
      <c r="C372">
        <v>0.0</v>
      </c>
      <c r="E372" t="inlineStr">
        <is>
          <t>MAIN</t>
        </is>
      </c>
      <c r="F372" t="inlineStr">
        <is>
          <t>COLLEGE</t>
        </is>
      </c>
      <c r="G372" t="inlineStr">
        <is>
          <t>US 158BUS</t>
        </is>
      </c>
      <c r="H372">
        <v>2.055</v>
      </c>
      <c r="J372">
        <v>106342283</v>
      </c>
      <c r="K372" s="2">
        <v>44076</v>
      </c>
      <c r="L372">
        <v>21</v>
      </c>
      <c r="M372">
        <v>1</v>
      </c>
      <c r="N372">
        <v>0</v>
      </c>
      <c r="O372">
        <v>1</v>
      </c>
      <c r="P372" t="inlineStr">
        <is>
          <t>O</t>
        </is>
      </c>
    </row>
    <row r="373">
      <c r="A373" t="inlineStr">
        <is>
          <t>OXFORD</t>
        </is>
      </c>
      <c r="B373" t="inlineStr">
        <is>
          <t>WILLIAMSBORO</t>
        </is>
      </c>
      <c r="C373">
        <v>0.0</v>
      </c>
      <c r="E373" t="inlineStr">
        <is>
          <t>MAIN</t>
        </is>
      </c>
      <c r="G373" t="inlineStr">
        <is>
          <t>US 158BUS</t>
        </is>
      </c>
      <c r="H373">
        <v>2.055</v>
      </c>
      <c r="J373">
        <v>105849892</v>
      </c>
      <c r="K373" s="2">
        <v>43587</v>
      </c>
      <c r="L373">
        <v>21</v>
      </c>
      <c r="M373">
        <v>1</v>
      </c>
      <c r="N373">
        <v>0</v>
      </c>
      <c r="O373">
        <v>1</v>
      </c>
      <c r="P373" t="inlineStr">
        <is>
          <t>O</t>
        </is>
      </c>
    </row>
    <row r="374">
      <c r="A374" t="inlineStr">
        <is>
          <t>OXFORD</t>
        </is>
      </c>
      <c r="B374" t="inlineStr">
        <is>
          <t>WILLIAMSBORO</t>
        </is>
      </c>
      <c r="C374">
        <v>0.0</v>
      </c>
      <c r="E374" t="inlineStr">
        <is>
          <t>MAIN</t>
        </is>
      </c>
      <c r="F374" t="inlineStr">
        <is>
          <t>COLLEGE</t>
        </is>
      </c>
      <c r="G374" t="inlineStr">
        <is>
          <t>US 158BUS</t>
        </is>
      </c>
      <c r="H374">
        <v>2.055</v>
      </c>
      <c r="J374">
        <v>105552281</v>
      </c>
      <c r="K374" s="2">
        <v>43291</v>
      </c>
      <c r="L374">
        <v>21</v>
      </c>
      <c r="M374">
        <v>1</v>
      </c>
      <c r="N374">
        <v>8</v>
      </c>
      <c r="O374">
        <v>1</v>
      </c>
      <c r="P374" t="inlineStr">
        <is>
          <t>O</t>
        </is>
      </c>
    </row>
    <row r="375">
      <c r="A375" t="inlineStr">
        <is>
          <t>OXFORD</t>
        </is>
      </c>
      <c r="B375" t="inlineStr">
        <is>
          <t>WILLIAMSBORO</t>
        </is>
      </c>
      <c r="C375">
        <v>0.0</v>
      </c>
      <c r="E375" t="inlineStr">
        <is>
          <t>MAIN</t>
        </is>
      </c>
      <c r="F375" t="inlineStr">
        <is>
          <t>NEW COLLEGE</t>
        </is>
      </c>
      <c r="G375" t="inlineStr">
        <is>
          <t>US 158BUS</t>
        </is>
      </c>
      <c r="H375">
        <v>2.055</v>
      </c>
      <c r="J375">
        <v>105164921</v>
      </c>
      <c r="K375" s="2">
        <v>42852</v>
      </c>
      <c r="L375">
        <v>21</v>
      </c>
      <c r="M375">
        <v>1</v>
      </c>
      <c r="N375">
        <v>0</v>
      </c>
      <c r="O375">
        <v>1</v>
      </c>
      <c r="P375" t="inlineStr">
        <is>
          <t>O</t>
        </is>
      </c>
    </row>
    <row r="376">
      <c r="A376" t="inlineStr">
        <is>
          <t>OXFORD</t>
        </is>
      </c>
      <c r="B376" t="inlineStr">
        <is>
          <t>WILLIAMSBORO</t>
        </is>
      </c>
      <c r="C376">
        <v>0.0</v>
      </c>
      <c r="D376" t="inlineStr">
        <is>
          <t>W</t>
        </is>
      </c>
      <c r="E376" t="inlineStr">
        <is>
          <t>MAIN</t>
        </is>
      </c>
      <c r="F376" t="inlineStr">
        <is>
          <t>SPRING</t>
        </is>
      </c>
      <c r="G376" t="inlineStr">
        <is>
          <t>US 158BUS</t>
        </is>
      </c>
      <c r="H376">
        <v>2.055</v>
      </c>
      <c r="J376">
        <v>105247665</v>
      </c>
      <c r="K376" s="2">
        <v>43018</v>
      </c>
      <c r="L376">
        <v>23</v>
      </c>
      <c r="M376">
        <v>1</v>
      </c>
      <c r="N376">
        <v>7</v>
      </c>
      <c r="O376">
        <v>1</v>
      </c>
      <c r="P376" t="inlineStr">
        <is>
          <t>O</t>
        </is>
      </c>
    </row>
    <row r="377">
      <c r="A377" t="inlineStr">
        <is>
          <t>OXFORD</t>
        </is>
      </c>
      <c r="B377" t="inlineStr">
        <is>
          <t>WILLIAMSBORO</t>
        </is>
      </c>
      <c r="C377">
        <v>0.019</v>
      </c>
      <c r="D377" t="inlineStr">
        <is>
          <t>E</t>
        </is>
      </c>
      <c r="E377" t="inlineStr">
        <is>
          <t>MAIN</t>
        </is>
      </c>
      <c r="F377" t="inlineStr">
        <is>
          <t>GILLIAM</t>
        </is>
      </c>
      <c r="G377" t="inlineStr">
        <is>
          <t>US 158BUS</t>
        </is>
      </c>
      <c r="H377">
        <v>2.074</v>
      </c>
      <c r="J377">
        <v>105684376</v>
      </c>
      <c r="K377" s="2">
        <v>43420</v>
      </c>
      <c r="L377">
        <v>20</v>
      </c>
      <c r="M377">
        <v>1</v>
      </c>
      <c r="N377">
        <v>0</v>
      </c>
      <c r="O377">
        <v>2</v>
      </c>
      <c r="P377" t="inlineStr">
        <is>
          <t>O</t>
        </is>
      </c>
    </row>
    <row r="378">
      <c r="A378" t="inlineStr">
        <is>
          <t>OXFORD</t>
        </is>
      </c>
      <c r="B378" t="inlineStr">
        <is>
          <t>SALEM</t>
        </is>
      </c>
      <c r="C378">
        <v>0.0</v>
      </c>
      <c r="E378" t="inlineStr">
        <is>
          <t>WILLIAMSBORO</t>
        </is>
      </c>
      <c r="F378" t="inlineStr">
        <is>
          <t>SPRING</t>
        </is>
      </c>
      <c r="G378" t="inlineStr">
        <is>
          <t>US 158BUS</t>
        </is>
      </c>
      <c r="H378">
        <v>2.685</v>
      </c>
      <c r="J378">
        <v>105650743</v>
      </c>
      <c r="K378" s="2">
        <v>43399</v>
      </c>
      <c r="L378">
        <v>18</v>
      </c>
      <c r="M378">
        <v>2</v>
      </c>
      <c r="N378">
        <v>0</v>
      </c>
      <c r="O378">
        <v>5</v>
      </c>
      <c r="P378" t="inlineStr">
        <is>
          <t>O</t>
        </is>
      </c>
    </row>
    <row r="379">
      <c r="A379" t="inlineStr">
        <is>
          <t>OXFORD</t>
        </is>
      </c>
      <c r="B379" t="inlineStr">
        <is>
          <t>SALEM</t>
        </is>
      </c>
      <c r="C379">
        <v>0.0</v>
      </c>
      <c r="E379" t="inlineStr">
        <is>
          <t>WILLIAMSBORO</t>
        </is>
      </c>
      <c r="F379" t="inlineStr">
        <is>
          <t>WILLIAMSBORO</t>
        </is>
      </c>
      <c r="G379" t="inlineStr">
        <is>
          <t>US 158BUS</t>
        </is>
      </c>
      <c r="H379">
        <v>2.685</v>
      </c>
      <c r="J379">
        <v>108383499</v>
      </c>
      <c r="K379" s="2">
        <v>46038</v>
      </c>
      <c r="L379">
        <v>24</v>
      </c>
      <c r="M379">
        <v>1</v>
      </c>
      <c r="N379">
        <v>7</v>
      </c>
      <c r="O379">
        <v>1</v>
      </c>
      <c r="P379" t="inlineStr">
        <is>
          <t>O</t>
        </is>
      </c>
    </row>
    <row r="380">
      <c r="A380" t="inlineStr">
        <is>
          <t>OXFORD</t>
        </is>
      </c>
      <c r="B380" t="inlineStr">
        <is>
          <t>WILLIAMSBORO</t>
        </is>
      </c>
      <c r="C380">
        <v>0.0</v>
      </c>
      <c r="E380" t="inlineStr">
        <is>
          <t>SALEM</t>
        </is>
      </c>
      <c r="F380" t="inlineStr">
        <is>
          <t>PINECONE</t>
        </is>
      </c>
      <c r="G380" t="inlineStr">
        <is>
          <t>US 158BUS</t>
        </is>
      </c>
      <c r="H380">
        <v>2.685</v>
      </c>
      <c r="J380">
        <v>105836651</v>
      </c>
      <c r="K380" s="2">
        <v>43557</v>
      </c>
      <c r="L380">
        <v>30</v>
      </c>
      <c r="M380">
        <v>2</v>
      </c>
      <c r="N380">
        <v>0</v>
      </c>
      <c r="O380">
        <v>1</v>
      </c>
      <c r="P380" t="inlineStr">
        <is>
          <t>C</t>
        </is>
      </c>
    </row>
    <row r="381">
      <c r="A381" t="inlineStr">
        <is>
          <t>OXFORD</t>
        </is>
      </c>
      <c r="B381" t="inlineStr">
        <is>
          <t>WILLIAMSBORO</t>
        </is>
      </c>
      <c r="C381">
        <v>0.0</v>
      </c>
      <c r="D381" t="inlineStr">
        <is>
          <t>S</t>
        </is>
      </c>
      <c r="E381" t="inlineStr">
        <is>
          <t>SALEM</t>
        </is>
      </c>
      <c r="F381" t="inlineStr">
        <is>
          <t>*LCL MILITARY STREET</t>
        </is>
      </c>
      <c r="G381" t="inlineStr">
        <is>
          <t>US 158BUS</t>
        </is>
      </c>
      <c r="H381">
        <v>2.685</v>
      </c>
      <c r="J381">
        <v>105765497</v>
      </c>
      <c r="K381" s="2">
        <v>43396</v>
      </c>
      <c r="L381">
        <v>18</v>
      </c>
      <c r="M381">
        <v>1</v>
      </c>
      <c r="N381">
        <v>0</v>
      </c>
      <c r="O381">
        <v>1</v>
      </c>
      <c r="P381" t="inlineStr">
        <is>
          <t>O</t>
        </is>
      </c>
    </row>
    <row r="382">
      <c r="A382" t="inlineStr">
        <is>
          <t>OXFORD</t>
        </is>
      </c>
      <c r="B382" t="inlineStr">
        <is>
          <t>WILLIAMSBORO</t>
        </is>
      </c>
      <c r="C382">
        <v>0.0</v>
      </c>
      <c r="E382" t="inlineStr">
        <is>
          <t>SPRING</t>
        </is>
      </c>
      <c r="F382" t="inlineStr">
        <is>
          <t>SPRING</t>
        </is>
      </c>
      <c r="G382" t="inlineStr">
        <is>
          <t>US 158BUS</t>
        </is>
      </c>
      <c r="H382">
        <v>2.685</v>
      </c>
      <c r="J382">
        <v>108334601</v>
      </c>
      <c r="K382" s="2">
        <v>46004</v>
      </c>
      <c r="L382">
        <v>1</v>
      </c>
      <c r="M382">
        <v>1</v>
      </c>
      <c r="N382">
        <v>0</v>
      </c>
      <c r="O382">
        <v>1</v>
      </c>
      <c r="P382" t="inlineStr">
        <is>
          <t>O</t>
        </is>
      </c>
    </row>
    <row r="383">
      <c r="A383" t="inlineStr">
        <is>
          <t>OXFORD</t>
        </is>
      </c>
      <c r="B383" t="inlineStr">
        <is>
          <t>WILLIAMSBORO</t>
        </is>
      </c>
      <c r="C383">
        <v>0.0</v>
      </c>
      <c r="E383" t="inlineStr">
        <is>
          <t>SPRING</t>
        </is>
      </c>
      <c r="F383" t="inlineStr">
        <is>
          <t>DOGWOOD</t>
        </is>
      </c>
      <c r="G383" t="inlineStr">
        <is>
          <t>US 158BUS</t>
        </is>
      </c>
      <c r="H383">
        <v>2.685</v>
      </c>
      <c r="J383">
        <v>106510965</v>
      </c>
      <c r="K383" s="2">
        <v>44265</v>
      </c>
      <c r="L383">
        <v>23</v>
      </c>
      <c r="M383">
        <v>1</v>
      </c>
      <c r="N383">
        <v>0</v>
      </c>
      <c r="O383">
        <v>1</v>
      </c>
      <c r="P383" t="inlineStr">
        <is>
          <t>C</t>
        </is>
      </c>
    </row>
    <row r="384">
      <c r="A384" t="inlineStr">
        <is>
          <t>OXFORD</t>
        </is>
      </c>
      <c r="B384" t="inlineStr">
        <is>
          <t>WILLIAMSBORO</t>
        </is>
      </c>
      <c r="C384">
        <v>0.0</v>
      </c>
      <c r="E384" t="inlineStr">
        <is>
          <t>SPRING</t>
        </is>
      </c>
      <c r="F384" t="inlineStr">
        <is>
          <t>SALEM</t>
        </is>
      </c>
      <c r="G384" t="inlineStr">
        <is>
          <t>US 158BUS</t>
        </is>
      </c>
      <c r="H384">
        <v>2.685</v>
      </c>
      <c r="J384">
        <v>105494802</v>
      </c>
      <c r="K384" s="2">
        <v>43242</v>
      </c>
      <c r="L384">
        <v>30</v>
      </c>
      <c r="M384">
        <v>1</v>
      </c>
      <c r="N384">
        <v>7</v>
      </c>
      <c r="O384">
        <v>1</v>
      </c>
      <c r="P384" t="inlineStr">
        <is>
          <t>O</t>
        </is>
      </c>
    </row>
    <row r="385">
      <c r="A385" t="inlineStr">
        <is>
          <t>OXFORD</t>
        </is>
      </c>
      <c r="B385" t="inlineStr">
        <is>
          <t>WILLIAMSBORO</t>
        </is>
      </c>
      <c r="C385">
        <v>0.0</v>
      </c>
      <c r="E385" t="inlineStr">
        <is>
          <t>SPRING</t>
        </is>
      </c>
      <c r="F385" t="inlineStr">
        <is>
          <t>DOGWOOD</t>
        </is>
      </c>
      <c r="G385" t="inlineStr">
        <is>
          <t>US 158BUS</t>
        </is>
      </c>
      <c r="H385">
        <v>2.685</v>
      </c>
      <c r="J385">
        <v>107817082</v>
      </c>
      <c r="K385" s="2">
        <v>45515</v>
      </c>
      <c r="L385">
        <v>23</v>
      </c>
      <c r="M385">
        <v>1</v>
      </c>
      <c r="N385">
        <v>0</v>
      </c>
      <c r="O385">
        <v>1</v>
      </c>
      <c r="P385" t="inlineStr">
        <is>
          <t>O</t>
        </is>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A76AE-0675-4708-A4B8-3B450A88943B}">
  <sheetPr codeName="Sheet9"/>
  <sheetViews>
    <sheetView zoomScaleNormal="100" workbookViewId="0">
      <pane ySplit="1" topLeftCell="A2" activePane="bottomLeft" state="frozen"/>
      <selection sqref="A1:N1"/>
      <selection pane="bottomLeft"/>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3.7890625" bestFit="1" customWidth="1"/>
    <col min="14" max="14" width="3.89453125" bestFit="1" customWidth="1"/>
    <col min="15" max="15" width="3.7890625" bestFit="1" customWidth="1"/>
    <col min="16" max="16" width="3.734375" bestFit="1" customWidth="1"/>
    <col min="17" max="17" width="3.7890625" bestFit="1" customWidth="1"/>
    <col min="18" max="18" width="9.62890625" bestFit="1" customWidth="1"/>
    <col min="19" max="19" width="10.62890625" bestFit="1" customWidth="1"/>
    <col min="20" max="20" width="16.62890625" bestFit="1" customWidth="1"/>
    <col min="21" max="21" width="6.1015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743</v>
      </c>
      <c r="B1" t="s">
        <v>744</v>
      </c>
      <c r="C1" t="s">
        <v>745</v>
      </c>
      <c r="D1" t="s">
        <v>746</v>
      </c>
      <c r="E1" t="s">
        <v>747</v>
      </c>
      <c r="F1" t="s">
        <v>748</v>
      </c>
      <c r="G1" t="s">
        <v>749</v>
      </c>
      <c r="H1" t="s">
        <v>750</v>
      </c>
      <c r="I1" t="s">
        <v>751</v>
      </c>
      <c r="J1" t="s">
        <v>825</v>
      </c>
      <c r="K1" t="s">
        <v>0</v>
      </c>
      <c r="L1" t="s">
        <v>1</v>
      </c>
      <c r="M1" t="s">
        <v>2</v>
      </c>
      <c r="N1" t="s">
        <v>3</v>
      </c>
      <c r="O1" t="s">
        <v>4</v>
      </c>
      <c r="P1" t="s">
        <v>5</v>
      </c>
      <c r="Q1" t="s">
        <v>6</v>
      </c>
      <c r="R1" t="s">
        <v>752</v>
      </c>
      <c r="S1" t="s">
        <v>753</v>
      </c>
      <c r="T1" t="s">
        <v>754</v>
      </c>
      <c r="U1" t="s">
        <v>367</v>
      </c>
      <c r="V1" t="s">
        <v>826</v>
      </c>
      <c r="W1" t="s">
        <v>827</v>
      </c>
      <c r="X1" t="s">
        <v>853</v>
      </c>
      <c r="Y1" t="s">
        <v>854</v>
      </c>
      <c r="Z1" t="s">
        <v>855</v>
      </c>
      <c r="AA1" t="s">
        <v>716</v>
      </c>
      <c r="AB1" t="s">
        <v>56</v>
      </c>
    </row>
    <row r="2" s="626" customFormat="1">
      <c r="A2" s="625" t="inlineStr">
        <is>
          <t>IN STUDY</t>
        </is>
      </c>
      <c r="L2" s="627"/>
    </row>
    <row r="3">
      <c r="A3" t="inlineStr">
        <is>
          <t>OXFORD</t>
        </is>
      </c>
      <c r="B3" t="inlineStr">
        <is>
          <t>SPRING</t>
        </is>
      </c>
      <c r="C3">
        <v>0.0</v>
      </c>
      <c r="E3" t="inlineStr">
        <is>
          <t>MAIN</t>
        </is>
      </c>
      <c r="F3" t="inlineStr">
        <is>
          <t>MAIN</t>
        </is>
      </c>
      <c r="G3" t="inlineStr">
        <is>
          <t>SPRING</t>
        </is>
      </c>
      <c r="H3">
        <v>0.31</v>
      </c>
      <c r="J3" s="604" t="inlineStr">
        <is>
          <t>IS</t>
        </is>
      </c>
      <c r="K3">
        <v>105172416</v>
      </c>
      <c r="L3" s="2">
        <v>42935</v>
      </c>
      <c r="M3">
        <v>31</v>
      </c>
      <c r="N3">
        <v>1</v>
      </c>
      <c r="O3">
        <v>0</v>
      </c>
      <c r="P3">
        <v>1</v>
      </c>
      <c r="Q3" t="inlineStr">
        <is>
          <t>O</t>
        </is>
      </c>
      <c r="W3" t="inlineStr">
        <is>
          <t>backing from a W Spring angled space beside the roundabout, Post Office and Library on the diagram, about 60' W of Main</t>
        </is>
      </c>
      <c r="X3" t="inlineStr">
        <is>
          <t>Other</t>
        </is>
      </c>
      <c r="Y3" t="inlineStr">
        <is>
          <t>EBT</t>
        </is>
      </c>
      <c r="Z3" t="inlineStr">
        <is>
          <t>Unk</t>
        </is>
      </c>
      <c r="AA3" t="inlineStr">
        <is>
          <t>V2</t>
        </is>
      </c>
      <c r="AB3" t="inlineStr">
        <is>
          <t>Backing: unit 2 backed from a W Spring space into EB unit 1; V2 at fault</t>
        </is>
      </c>
    </row>
    <row r="4">
      <c r="A4" t="inlineStr">
        <is>
          <t>OXFORD</t>
        </is>
      </c>
      <c r="B4" t="inlineStr">
        <is>
          <t>SPRING</t>
        </is>
      </c>
      <c r="C4">
        <v>0.0</v>
      </c>
      <c r="E4" t="inlineStr">
        <is>
          <t>MAIN</t>
        </is>
      </c>
      <c r="F4" t="inlineStr">
        <is>
          <t>WALL</t>
        </is>
      </c>
      <c r="G4" t="inlineStr">
        <is>
          <t>SPRING</t>
        </is>
      </c>
      <c r="H4">
        <v>0.31</v>
      </c>
      <c r="J4" s="604" t="inlineStr">
        <is>
          <t>IS</t>
        </is>
      </c>
      <c r="K4">
        <v>105273794</v>
      </c>
      <c r="L4" s="2">
        <v>43041</v>
      </c>
      <c r="M4">
        <v>31</v>
      </c>
      <c r="N4">
        <v>1</v>
      </c>
      <c r="O4">
        <v>0</v>
      </c>
      <c r="P4">
        <v>1</v>
      </c>
      <c r="Q4" t="inlineStr">
        <is>
          <t>O</t>
        </is>
      </c>
      <c r="W4" t="inlineStr">
        <is>
          <t>backing from an angled space on W Spring next to the Main St curb returns per diagram, unit 2 EB toward Main; within 150'</t>
        </is>
      </c>
      <c r="X4" t="inlineStr">
        <is>
          <t>Other</t>
        </is>
      </c>
      <c r="Y4" t="inlineStr">
        <is>
          <t>Unk</t>
        </is>
      </c>
      <c r="Z4" t="inlineStr">
        <is>
          <t>EBT</t>
        </is>
      </c>
      <c r="AA4" t="inlineStr">
        <is>
          <t>V1</t>
        </is>
      </c>
      <c r="AB4" t="inlineStr">
        <is>
          <t>Backing: unit 1 backed from a W Spring space into EB unit 2; V1 at fault</t>
        </is>
      </c>
    </row>
    <row r="5">
      <c r="A5" t="inlineStr">
        <is>
          <t>OXFORD</t>
        </is>
      </c>
      <c r="B5" t="inlineStr">
        <is>
          <t>MAIN</t>
        </is>
      </c>
      <c r="C5">
        <v>0.0</v>
      </c>
      <c r="E5" t="inlineStr">
        <is>
          <t>SPRING</t>
        </is>
      </c>
      <c r="F5" t="inlineStr">
        <is>
          <t>WILLIAMSBORO</t>
        </is>
      </c>
      <c r="G5" t="inlineStr">
        <is>
          <t>SR 1602</t>
        </is>
      </c>
      <c r="H5">
        <v>1.36</v>
      </c>
      <c r="J5" s="604" t="inlineStr">
        <is>
          <t>IS</t>
        </is>
      </c>
      <c r="K5">
        <v>105329673</v>
      </c>
      <c r="L5" s="2">
        <v>43089</v>
      </c>
      <c r="M5">
        <v>30</v>
      </c>
      <c r="N5">
        <v>2</v>
      </c>
      <c r="O5">
        <v>7</v>
      </c>
      <c r="P5">
        <v>1</v>
      </c>
      <c r="Q5" t="inlineStr">
        <is>
          <t>O</t>
        </is>
      </c>
      <c r="W5" t="inlineStr">
        <is>
          <t>no diagram (vehicles moved); narrative puts V2 EB on Spring through the stop sign into V1 NB on Main, at the junction</t>
        </is>
      </c>
      <c r="X5" t="inlineStr">
        <is>
          <t>Angle</t>
        </is>
      </c>
      <c r="Y5" t="inlineStr">
        <is>
          <t>NBT</t>
        </is>
      </c>
      <c r="Z5" t="inlineStr">
        <is>
          <t>EBT</t>
        </is>
      </c>
      <c r="AA5" t="inlineStr">
        <is>
          <t>V2</t>
        </is>
      </c>
      <c r="AB5" t="inlineStr">
        <is>
          <t>Angle: EB unit 2 ran the Spring St stop sign into NB unit 1; V2 at fault</t>
        </is>
      </c>
    </row>
    <row r="6">
      <c r="A6" t="inlineStr">
        <is>
          <t>OXFORD</t>
        </is>
      </c>
      <c r="B6" t="inlineStr">
        <is>
          <t>SPRING</t>
        </is>
      </c>
      <c r="C6">
        <v>0.0</v>
      </c>
      <c r="D6" t="inlineStr">
        <is>
          <t>E</t>
        </is>
      </c>
      <c r="E6" t="inlineStr">
        <is>
          <t>MAIN</t>
        </is>
      </c>
      <c r="F6" t="inlineStr">
        <is>
          <t>WILLIAMSBORO</t>
        </is>
      </c>
      <c r="G6" t="inlineStr">
        <is>
          <t>SPRING</t>
        </is>
      </c>
      <c r="H6">
        <v>0.31</v>
      </c>
      <c r="J6" s="604" t="inlineStr">
        <is>
          <t>IS</t>
        </is>
      </c>
      <c r="K6">
        <v>105532814</v>
      </c>
      <c r="L6" s="2">
        <v>43284</v>
      </c>
      <c r="M6">
        <v>32</v>
      </c>
      <c r="N6">
        <v>1</v>
      </c>
      <c r="O6">
        <v>0</v>
      </c>
      <c r="P6">
        <v>1</v>
      </c>
      <c r="Q6" t="inlineStr">
        <is>
          <t>O</t>
        </is>
      </c>
      <c r="W6" t="inlineStr">
        <is>
          <t>at Main/Spring per diagram and narrative, V1 right turn from Main onto Spring, V2 through on Spring</t>
        </is>
      </c>
      <c r="X6" t="inlineStr">
        <is>
          <t>RTDR</t>
        </is>
      </c>
      <c r="Y6" t="inlineStr">
        <is>
          <t>SBR</t>
        </is>
      </c>
      <c r="Z6" t="inlineStr">
        <is>
          <t>WBT</t>
        </is>
      </c>
      <c r="AA6" t="inlineStr">
        <is>
          <t>V2</t>
        </is>
      </c>
      <c r="AB6" t="inlineStr">
        <is>
          <t>RTDR: unit 1 turning right from Main onto Spring struck by through unit 2; V2 at fault</t>
        </is>
      </c>
    </row>
    <row r="7">
      <c r="A7" t="inlineStr">
        <is>
          <t>OXFORD</t>
        </is>
      </c>
      <c r="B7" t="inlineStr">
        <is>
          <t>SPRING</t>
        </is>
      </c>
      <c r="C7">
        <v>0.0</v>
      </c>
      <c r="E7" t="inlineStr">
        <is>
          <t>MAIN</t>
        </is>
      </c>
      <c r="F7" t="inlineStr">
        <is>
          <t>MAIN</t>
        </is>
      </c>
      <c r="G7" t="inlineStr">
        <is>
          <t>SPRING</t>
        </is>
      </c>
      <c r="H7">
        <v>0.31</v>
      </c>
      <c r="J7" s="604" t="inlineStr">
        <is>
          <t>IS</t>
        </is>
      </c>
      <c r="K7">
        <v>106097127</v>
      </c>
      <c r="L7" s="2">
        <v>43805</v>
      </c>
      <c r="M7">
        <v>21</v>
      </c>
      <c r="N7">
        <v>1</v>
      </c>
      <c r="O7">
        <v>7</v>
      </c>
      <c r="P7">
        <v>4</v>
      </c>
      <c r="Q7" t="inlineStr">
        <is>
          <t>C</t>
        </is>
      </c>
      <c r="W7" t="inlineStr">
        <is>
          <t>RE at the E Spring stop line at Main per diagram and narrative</t>
        </is>
      </c>
      <c r="X7" t="inlineStr">
        <is>
          <t>RE</t>
        </is>
      </c>
      <c r="Y7" t="inlineStr">
        <is>
          <t>WBT</t>
        </is>
      </c>
      <c r="Z7" t="inlineStr">
        <is>
          <t>WBT</t>
        </is>
      </c>
      <c r="AA7" t="inlineStr">
        <is>
          <t>V1</t>
        </is>
      </c>
      <c r="AB7" t="inlineStr">
        <is>
          <t>RE: WB unit 1 struck stopped unit 2 at the E Spring stop line; V1 at fault</t>
        </is>
      </c>
    </row>
    <row r="8">
      <c r="A8" t="inlineStr">
        <is>
          <t>OXFORD</t>
        </is>
      </c>
      <c r="B8" t="inlineStr">
        <is>
          <t>MAIN</t>
        </is>
      </c>
      <c r="C8">
        <v>0.0</v>
      </c>
      <c r="E8" t="inlineStr">
        <is>
          <t>SPRING</t>
        </is>
      </c>
      <c r="F8" t="inlineStr">
        <is>
          <t>MARTIN LUTHER KING</t>
        </is>
      </c>
      <c r="G8" t="inlineStr">
        <is>
          <t>SR 1602</t>
        </is>
      </c>
      <c r="H8">
        <v>1.36</v>
      </c>
      <c r="J8" s="604" t="inlineStr">
        <is>
          <t>IS</t>
        </is>
      </c>
      <c r="K8">
        <v>106412908</v>
      </c>
      <c r="L8" s="2">
        <v>44152</v>
      </c>
      <c r="M8">
        <v>20</v>
      </c>
      <c r="N8">
        <v>1</v>
      </c>
      <c r="O8">
        <v>0</v>
      </c>
      <c r="P8">
        <v>1</v>
      </c>
      <c r="W8" t="inlineStr">
        <is>
          <t>unit 1 crossed Main onto Spring and struck a parked car in the first angled spaces past the corner per diagram and narrative; within 150'</t>
        </is>
      </c>
      <c r="X8" t="inlineStr">
        <is>
          <t>Other</t>
        </is>
      </c>
      <c r="Y8" t="inlineStr">
        <is>
          <t>WBT</t>
        </is>
      </c>
      <c r="AA8" t="inlineStr">
        <is>
          <t>V1</t>
        </is>
      </c>
      <c r="AB8" t="inlineStr">
        <is>
          <t>Parked: WB unit 1 struck a parked car in the W Spring angled parking; V1 at fault; S blank in TEAAS; report codes injury unknown (6) for all occupants, counted as O</t>
        </is>
      </c>
    </row>
    <row r="9">
      <c r="A9" t="inlineStr">
        <is>
          <t>OXFORD</t>
        </is>
      </c>
      <c r="B9" t="inlineStr">
        <is>
          <t>MAIN</t>
        </is>
      </c>
      <c r="C9">
        <v>0.0</v>
      </c>
      <c r="E9" t="inlineStr">
        <is>
          <t>SPRING</t>
        </is>
      </c>
      <c r="F9" t="inlineStr">
        <is>
          <t>WILLIAMSBORO</t>
        </is>
      </c>
      <c r="G9" t="inlineStr">
        <is>
          <t>SR 1602</t>
        </is>
      </c>
      <c r="H9">
        <v>1.36</v>
      </c>
      <c r="J9" s="604" t="inlineStr">
        <is>
          <t>IS</t>
        </is>
      </c>
      <c r="K9">
        <v>106594525</v>
      </c>
      <c r="L9" s="2">
        <v>44342</v>
      </c>
      <c r="M9">
        <v>23</v>
      </c>
      <c r="N9">
        <v>1</v>
      </c>
      <c r="O9">
        <v>8</v>
      </c>
      <c r="P9">
        <v>1</v>
      </c>
      <c r="Q9" t="inlineStr">
        <is>
          <t>O</t>
        </is>
      </c>
      <c r="W9" t="inlineStr">
        <is>
          <t>at Main and Spring per narrative, 0 ft</t>
        </is>
      </c>
      <c r="X9" t="inlineStr">
        <is>
          <t>LTSR</t>
        </is>
      </c>
      <c r="Y9" t="inlineStr">
        <is>
          <t>WBT</t>
        </is>
      </c>
      <c r="Z9" t="inlineStr">
        <is>
          <t>EBL</t>
        </is>
      </c>
      <c r="AA9" t="inlineStr">
        <is>
          <t>V2</t>
        </is>
      </c>
      <c r="AB9" t="inlineStr">
        <is>
          <t>LTSR: unit 2 turning left from Spring onto Main across WB unit 1; V2 at fault</t>
        </is>
      </c>
    </row>
    <row r="10">
      <c r="A10" t="inlineStr">
        <is>
          <t>OXFORD</t>
        </is>
      </c>
      <c r="B10" t="inlineStr">
        <is>
          <t>SPRING</t>
        </is>
      </c>
      <c r="C10">
        <v>0.0</v>
      </c>
      <c r="E10" t="inlineStr">
        <is>
          <t>MAIN</t>
        </is>
      </c>
      <c r="F10" t="inlineStr">
        <is>
          <t>MAIN</t>
        </is>
      </c>
      <c r="G10" t="inlineStr">
        <is>
          <t>SPRING</t>
        </is>
      </c>
      <c r="H10">
        <v>0.31</v>
      </c>
      <c r="J10" s="604" t="inlineStr">
        <is>
          <t>IS</t>
        </is>
      </c>
      <c r="K10">
        <v>106899135</v>
      </c>
      <c r="L10" s="2">
        <v>44606</v>
      </c>
      <c r="M10">
        <v>30</v>
      </c>
      <c r="N10">
        <v>1</v>
      </c>
      <c r="O10">
        <v>0</v>
      </c>
      <c r="P10">
        <v>1</v>
      </c>
      <c r="Q10" t="inlineStr">
        <is>
          <t>O</t>
        </is>
      </c>
      <c r="W10" t="inlineStr">
        <is>
          <t>in the roundabout per diagram and narrative</t>
        </is>
      </c>
      <c r="X10" t="inlineStr">
        <is>
          <t>Angle</t>
        </is>
      </c>
      <c r="Y10" t="inlineStr">
        <is>
          <t>WBT</t>
        </is>
      </c>
      <c r="Z10" t="inlineStr">
        <is>
          <t>SBT</t>
        </is>
      </c>
      <c r="AA10" t="inlineStr">
        <is>
          <t>V1</t>
        </is>
      </c>
      <c r="AB10" t="inlineStr">
        <is>
          <t>Angle: WB unit 1 entered the roundabout into SB unit 2 already in the roundabout; V1 at fault</t>
        </is>
      </c>
    </row>
    <row r="11">
      <c r="A11" t="inlineStr">
        <is>
          <t>OXFORD</t>
        </is>
      </c>
      <c r="B11" t="inlineStr">
        <is>
          <t>MAIN</t>
        </is>
      </c>
      <c r="C11">
        <v>0.0</v>
      </c>
      <c r="E11" t="inlineStr">
        <is>
          <t>SPRING</t>
        </is>
      </c>
      <c r="F11" t="inlineStr">
        <is>
          <t>WALL</t>
        </is>
      </c>
      <c r="G11" t="inlineStr">
        <is>
          <t>SR 1602</t>
        </is>
      </c>
      <c r="H11">
        <v>1.36</v>
      </c>
      <c r="J11" s="604" t="inlineStr">
        <is>
          <t>IS</t>
        </is>
      </c>
      <c r="K11">
        <v>107863132</v>
      </c>
      <c r="L11" s="2">
        <v>45555</v>
      </c>
      <c r="M11">
        <v>28</v>
      </c>
      <c r="N11">
        <v>1</v>
      </c>
      <c r="O11">
        <v>10</v>
      </c>
      <c r="P11">
        <v>1</v>
      </c>
      <c r="Q11" t="inlineStr">
        <is>
          <t>O</t>
        </is>
      </c>
      <c r="W11" t="inlineStr">
        <is>
          <t>entering the roundabout per narrative, at Spring St per location block</t>
        </is>
      </c>
      <c r="X11" t="inlineStr">
        <is>
          <t>SSSD</t>
        </is>
      </c>
      <c r="Y11" t="inlineStr">
        <is>
          <t>SBT</t>
        </is>
      </c>
      <c r="Z11" t="inlineStr">
        <is>
          <t>SBT</t>
        </is>
      </c>
      <c r="AA11" t="inlineStr">
        <is>
          <t>V1</t>
        </is>
      </c>
      <c r="AB11" t="inlineStr">
        <is>
          <t>SSSD: unit 1 failed to yield entering the roundabout and sideswiped unit 2; V1 at fault</t>
        </is>
      </c>
    </row>
    <row r="12">
      <c r="A12" t="inlineStr">
        <is>
          <t>OXFORD</t>
        </is>
      </c>
      <c r="B12" t="inlineStr">
        <is>
          <t>MAIN</t>
        </is>
      </c>
      <c r="C12">
        <v>0.0</v>
      </c>
      <c r="E12" t="inlineStr">
        <is>
          <t>SPRING</t>
        </is>
      </c>
      <c r="F12" t="inlineStr">
        <is>
          <t>MARTIN LUTHER KING</t>
        </is>
      </c>
      <c r="G12" t="inlineStr">
        <is>
          <t>SR 1602</t>
        </is>
      </c>
      <c r="H12">
        <v>1.36</v>
      </c>
      <c r="J12" s="604" t="inlineStr">
        <is>
          <t>IS</t>
        </is>
      </c>
      <c r="K12">
        <v>107982237</v>
      </c>
      <c r="L12" s="2">
        <v>45665</v>
      </c>
      <c r="M12">
        <v>26</v>
      </c>
      <c r="N12">
        <v>1</v>
      </c>
      <c r="O12">
        <v>10</v>
      </c>
      <c r="P12">
        <v>1</v>
      </c>
      <c r="W12" t="inlineStr">
        <is>
          <t>in the roundabout at Main and E Spring per narrative, Unit 2 entered from E Spring through the yield</t>
        </is>
      </c>
      <c r="X12" t="inlineStr">
        <is>
          <t>RTDR</t>
        </is>
      </c>
      <c r="Y12" t="inlineStr">
        <is>
          <t>NBT</t>
        </is>
      </c>
      <c r="Z12" t="inlineStr">
        <is>
          <t>WBR</t>
        </is>
      </c>
      <c r="AA12" t="inlineStr">
        <is>
          <t>V2</t>
        </is>
      </c>
      <c r="AB12" t="inlineStr">
        <is>
          <t>RTDR: unit 2 entered from E Spring through the yield into NB unit 1 in the roundabout; V2 at fault; S blank in TEAAS; report codes injury unknown (6) for all occupants, counted as O</t>
        </is>
      </c>
    </row>
    <row r="13" s="623" customFormat="1">
      <c r="A13" s="622" t="inlineStr">
        <is>
          <t>ADDED TO STUDY</t>
        </is>
      </c>
      <c r="L13" s="624"/>
    </row>
    <row r="14" s="615" customFormat="1">
      <c r="A14" s="614" t="inlineStr">
        <is>
          <t>DELETED FROM STUDY</t>
        </is>
      </c>
      <c r="L14" s="616"/>
    </row>
    <row r="15">
      <c r="A15" t="inlineStr">
        <is>
          <t>OXFORD</t>
        </is>
      </c>
      <c r="B15" t="inlineStr">
        <is>
          <t>MAIN</t>
        </is>
      </c>
      <c r="C15">
        <v>0.0</v>
      </c>
      <c r="E15" t="inlineStr">
        <is>
          <t>SPRING</t>
        </is>
      </c>
      <c r="F15" t="inlineStr">
        <is>
          <t>LITTLE JOHN</t>
        </is>
      </c>
      <c r="G15" t="inlineStr">
        <is>
          <t>SR 1602</t>
        </is>
      </c>
      <c r="H15">
        <v>1.36</v>
      </c>
      <c r="J15" s="604" t="inlineStr">
        <is>
          <t>DEL</t>
        </is>
      </c>
      <c r="K15">
        <v>105478298</v>
      </c>
      <c r="L15" s="2">
        <v>43234</v>
      </c>
      <c r="M15">
        <v>20</v>
      </c>
      <c r="N15">
        <v>1</v>
      </c>
      <c r="O15">
        <v>0</v>
      </c>
      <c r="P15">
        <v>1</v>
      </c>
      <c r="Q15" t="inlineStr">
        <is>
          <t>O</t>
        </is>
      </c>
      <c r="W15" t="inlineStr">
        <is>
          <t>parked car in the angled row in front of Oxford Baptist Church, drawn mid-block between E Spring and Little John per diagram, about 150' to 200' N; coded at E Spring with no distance</t>
        </is>
      </c>
      <c r="X15" t="inlineStr">
        <is>
          <t>Other</t>
        </is>
      </c>
      <c r="Y15" t="inlineStr">
        <is>
          <t>NBT</t>
        </is>
      </c>
      <c r="AA15" t="inlineStr">
        <is>
          <t>V1</t>
        </is>
      </c>
      <c r="AB15" t="inlineStr">
        <is>
          <t>Parked: NB unit 1 sideswiped parked unit 2; V1 at fault</t>
        </is>
      </c>
    </row>
    <row r="16">
      <c r="A16" t="inlineStr">
        <is>
          <t>OXFORD</t>
        </is>
      </c>
      <c r="B16" t="inlineStr">
        <is>
          <t>MAIN</t>
        </is>
      </c>
      <c r="C16">
        <v>0.019</v>
      </c>
      <c r="D16" t="inlineStr">
        <is>
          <t>N</t>
        </is>
      </c>
      <c r="E16" t="inlineStr">
        <is>
          <t>SPRING</t>
        </is>
      </c>
      <c r="F16" t="inlineStr">
        <is>
          <t>MAIN</t>
        </is>
      </c>
      <c r="G16" t="inlineStr">
        <is>
          <t>SR 1602</t>
        </is>
      </c>
      <c r="H16">
        <v>1.379</v>
      </c>
      <c r="J16" s="604" t="inlineStr">
        <is>
          <t>DEL</t>
        </is>
      </c>
      <c r="K16">
        <v>105774815</v>
      </c>
      <c r="L16" s="2">
        <v>43511</v>
      </c>
      <c r="M16">
        <v>31</v>
      </c>
      <c r="N16">
        <v>1</v>
      </c>
      <c r="O16">
        <v>0</v>
      </c>
      <c r="P16">
        <v>1</v>
      </c>
      <c r="Q16" t="inlineStr">
        <is>
          <t>O</t>
        </is>
      </c>
      <c r="W16" t="inlineStr">
        <is>
          <t>drawn in the Post Office angled row opposite the middle of the building per diagram, about 200' N of Spring; coded 100' N</t>
        </is>
      </c>
      <c r="X16" t="inlineStr">
        <is>
          <t>Other</t>
        </is>
      </c>
      <c r="Y16" t="inlineStr">
        <is>
          <t>Unk</t>
        </is>
      </c>
      <c r="AA16" t="inlineStr">
        <is>
          <t>V1</t>
        </is>
      </c>
      <c r="AB16" t="inlineStr">
        <is>
          <t>Backing: unit 1 backed from a Main St space into parked unit 2; V1 at fault</t>
        </is>
      </c>
    </row>
    <row r="17">
      <c r="A17" t="inlineStr">
        <is>
          <t>OXFORD</t>
        </is>
      </c>
      <c r="B17" t="inlineStr">
        <is>
          <t>MAIN</t>
        </is>
      </c>
      <c r="C17">
        <v>0.0</v>
      </c>
      <c r="E17" t="inlineStr">
        <is>
          <t>SPRING</t>
        </is>
      </c>
      <c r="F17" t="inlineStr">
        <is>
          <t>SPRING</t>
        </is>
      </c>
      <c r="G17" t="inlineStr">
        <is>
          <t>SR 1602</t>
        </is>
      </c>
      <c r="H17">
        <v>1.36</v>
      </c>
      <c r="J17" s="604" t="inlineStr">
        <is>
          <t>DEL</t>
        </is>
      </c>
      <c r="K17">
        <v>107479858</v>
      </c>
      <c r="L17" s="2">
        <v>45191</v>
      </c>
      <c r="M17">
        <v>31</v>
      </c>
      <c r="N17">
        <v>1</v>
      </c>
      <c r="O17">
        <v>0</v>
      </c>
      <c r="P17">
        <v>1</v>
      </c>
      <c r="Q17" t="inlineStr">
        <is>
          <t>O</t>
        </is>
      </c>
      <c r="W17" t="inlineStr">
        <is>
          <t>backing from a Main St space into SB unit 2 per narrative, no diagram; SB traffic passes the west side Post Office row, which starts about 140' N of Spring; not placed within 150'</t>
        </is>
      </c>
      <c r="X17" t="inlineStr">
        <is>
          <t>Other</t>
        </is>
      </c>
      <c r="Y17" t="inlineStr">
        <is>
          <t>Unk</t>
        </is>
      </c>
      <c r="Z17" t="inlineStr">
        <is>
          <t>SBT</t>
        </is>
      </c>
      <c r="AA17" t="inlineStr">
        <is>
          <t>V1</t>
        </is>
      </c>
      <c r="AB17" t="inlineStr">
        <is>
          <t>Backing: unit 1 backed from a space into unit 2 behind it; V1 at fault</t>
        </is>
      </c>
    </row>
    <row r="18">
      <c r="A18" t="inlineStr">
        <is>
          <t>OXFORD</t>
        </is>
      </c>
      <c r="B18" t="inlineStr">
        <is>
          <t>MAIN</t>
        </is>
      </c>
      <c r="C18">
        <v>0.0</v>
      </c>
      <c r="E18" t="inlineStr">
        <is>
          <t>SPRING</t>
        </is>
      </c>
      <c r="F18" t="inlineStr">
        <is>
          <t>SPRING</t>
        </is>
      </c>
      <c r="G18" t="inlineStr">
        <is>
          <t>SR 1602</t>
        </is>
      </c>
      <c r="H18">
        <v>1.36</v>
      </c>
      <c r="J18" s="604" t="inlineStr">
        <is>
          <t>DEL</t>
        </is>
      </c>
      <c r="K18">
        <v>107674222</v>
      </c>
      <c r="L18" s="2">
        <v>45384</v>
      </c>
      <c r="M18">
        <v>30</v>
      </c>
      <c r="N18">
        <v>1</v>
      </c>
      <c r="O18">
        <v>0</v>
      </c>
      <c r="P18">
        <v>1</v>
      </c>
      <c r="Q18" t="inlineStr">
        <is>
          <t>O</t>
        </is>
      </c>
      <c r="W18" t="inlineStr">
        <is>
          <t>Post Office angled parking row on Main per diagram (row starts about 140' N of Spring); coded at Spring with no distance, &gt;150'</t>
        </is>
      </c>
      <c r="X18" t="inlineStr">
        <is>
          <t>Other</t>
        </is>
      </c>
      <c r="Y18" t="inlineStr">
        <is>
          <t>Unk</t>
        </is>
      </c>
      <c r="Z18" t="inlineStr">
        <is>
          <t>SBT</t>
        </is>
      </c>
      <c r="AA18" t="inlineStr">
        <is>
          <t>V1</t>
        </is>
      </c>
      <c r="AB18" t="inlineStr">
        <is>
          <t>Backing: unit 1 reversed from a space into SB unit 2; V1 at fault</t>
        </is>
      </c>
    </row>
    <row r="19">
      <c r="A19" t="inlineStr">
        <is>
          <t>OXFORD</t>
        </is>
      </c>
      <c r="B19" t="inlineStr">
        <is>
          <t>MAIN</t>
        </is>
      </c>
      <c r="C19">
        <v>0.0</v>
      </c>
      <c r="E19" t="inlineStr">
        <is>
          <t>SPRING</t>
        </is>
      </c>
      <c r="F19" t="inlineStr">
        <is>
          <t>MAIN</t>
        </is>
      </c>
      <c r="G19" t="inlineStr">
        <is>
          <t>SR 1602</t>
        </is>
      </c>
      <c r="H19">
        <v>1.36</v>
      </c>
      <c r="J19" s="604" t="inlineStr">
        <is>
          <t>DEL</t>
        </is>
      </c>
      <c r="K19">
        <v>107817083</v>
      </c>
      <c r="L19" s="2">
        <v>45505</v>
      </c>
      <c r="M19">
        <v>21</v>
      </c>
      <c r="N19">
        <v>1</v>
      </c>
      <c r="O19">
        <v>0</v>
      </c>
      <c r="P19">
        <v>1</v>
      </c>
      <c r="Q19" t="inlineStr">
        <is>
          <t>O</t>
        </is>
      </c>
      <c r="W19" t="inlineStr">
        <is>
          <t>Post Office angled parking row on Main per diagram, unit 1 ran up on the Post Office curb; coded at Spring with no distance, &gt;150'</t>
        </is>
      </c>
      <c r="X19" t="inlineStr">
        <is>
          <t>Other</t>
        </is>
      </c>
      <c r="Y19" t="inlineStr">
        <is>
          <t>Unk</t>
        </is>
      </c>
      <c r="Z19" t="inlineStr">
        <is>
          <t>SBT</t>
        </is>
      </c>
      <c r="AA19" t="inlineStr">
        <is>
          <t>V1</t>
        </is>
      </c>
      <c r="AB19" t="inlineStr">
        <is>
          <t>Backing: unit 1 backed from a space into SB unit 2 waiting in the lane; V1 at fault</t>
        </is>
      </c>
    </row>
    <row r="20">
      <c r="A20" t="inlineStr">
        <is>
          <t>OXFORD</t>
        </is>
      </c>
      <c r="B20" t="inlineStr">
        <is>
          <t>MAIN</t>
        </is>
      </c>
      <c r="C20">
        <v>0.019</v>
      </c>
      <c r="D20" t="inlineStr">
        <is>
          <t>NW</t>
        </is>
      </c>
      <c r="E20" t="inlineStr">
        <is>
          <t>SPRING</t>
        </is>
      </c>
      <c r="F20" t="inlineStr">
        <is>
          <t>LITTLE JOHN</t>
        </is>
      </c>
      <c r="G20" t="inlineStr">
        <is>
          <t>SR 1602</t>
        </is>
      </c>
      <c r="H20">
        <v>1.379</v>
      </c>
      <c r="J20" s="604" t="inlineStr">
        <is>
          <t>DEL</t>
        </is>
      </c>
      <c r="K20">
        <v>108004793</v>
      </c>
      <c r="L20" s="2">
        <v>45682</v>
      </c>
      <c r="M20">
        <v>30</v>
      </c>
      <c r="N20">
        <v>1</v>
      </c>
      <c r="O20">
        <v>0</v>
      </c>
      <c r="P20">
        <v>1</v>
      </c>
      <c r="Q20" t="inlineStr">
        <is>
          <t>O</t>
        </is>
      </c>
      <c r="W20" t="inlineStr">
        <is>
          <t>drawn in front of the U.S. Post Office, 144 Main St, mid-building per diagram, about 200' N of Spring; coded 100' NW of Spring</t>
        </is>
      </c>
      <c r="X20" t="inlineStr">
        <is>
          <t>Other</t>
        </is>
      </c>
      <c r="Y20" t="inlineStr">
        <is>
          <t>Unk</t>
        </is>
      </c>
      <c r="AA20" t="inlineStr">
        <is>
          <t>V1</t>
        </is>
      </c>
      <c r="AB20" t="inlineStr">
        <is>
          <t>Backing: unit 1 backed from a Post Office space into parked unit 2; V1 at fault</t>
        </is>
      </c>
    </row>
    <row r="21">
      <c r="A21" t="inlineStr">
        <is>
          <t>OXFORD</t>
        </is>
      </c>
      <c r="B21" t="inlineStr">
        <is>
          <t>MAIN</t>
        </is>
      </c>
      <c r="C21">
        <v>0.0</v>
      </c>
      <c r="E21" t="inlineStr">
        <is>
          <t>SPRING</t>
        </is>
      </c>
      <c r="F21" t="inlineStr">
        <is>
          <t>WILLIAMSBORO</t>
        </is>
      </c>
      <c r="G21" t="inlineStr">
        <is>
          <t>SR 1602</t>
        </is>
      </c>
      <c r="H21">
        <v>1.36</v>
      </c>
      <c r="J21" s="604" t="inlineStr">
        <is>
          <t>DEL</t>
        </is>
      </c>
      <c r="K21">
        <v>108089406</v>
      </c>
      <c r="L21" s="2">
        <v>45771</v>
      </c>
      <c r="M21">
        <v>31</v>
      </c>
      <c r="N21">
        <v>1</v>
      </c>
      <c r="O21">
        <v>0</v>
      </c>
      <c r="P21">
        <v>1</v>
      </c>
      <c r="Q21" t="inlineStr">
        <is>
          <t>O</t>
        </is>
      </c>
      <c r="W21" t="inlineStr">
        <is>
          <t>backing from a Post Office parking space on Main per narrative, no diagram; the row starts about 140' N of Spring, &gt;150'</t>
        </is>
      </c>
      <c r="X21" t="inlineStr">
        <is>
          <t>Other</t>
        </is>
      </c>
      <c r="Z21" t="inlineStr">
        <is>
          <t>Unk</t>
        </is>
      </c>
      <c r="AA21" t="inlineStr">
        <is>
          <t>V2</t>
        </is>
      </c>
      <c r="AB21" t="inlineStr">
        <is>
          <t>Backing: unit 2 backed from a space into parked unit 1; V2 at fault</t>
        </is>
      </c>
    </row>
    <row r="22" s="612" customFormat="1">
      <c r="A22" s="611" t="inlineStr">
        <is>
          <t>NOT IN STUDY - REPORT REVIEWED</t>
        </is>
      </c>
      <c r="L22" s="613"/>
    </row>
    <row r="23">
      <c r="A23" t="inlineStr">
        <is>
          <t>OXFORD</t>
        </is>
      </c>
      <c r="B23" t="inlineStr">
        <is>
          <t>MAIN</t>
        </is>
      </c>
      <c r="C23">
        <v>0.019</v>
      </c>
      <c r="D23" t="inlineStr">
        <is>
          <t>S</t>
        </is>
      </c>
      <c r="E23" t="inlineStr">
        <is>
          <t>FRONT</t>
        </is>
      </c>
      <c r="F23" t="inlineStr">
        <is>
          <t>WILLIAMSBORO</t>
        </is>
      </c>
      <c r="G23" t="inlineStr">
        <is>
          <t>SR 1602</t>
        </is>
      </c>
      <c r="H23">
        <v>1.149</v>
      </c>
      <c r="J23" s="604" t="inlineStr">
        <is>
          <t>NIS</t>
        </is>
      </c>
      <c r="K23">
        <v>105034371</v>
      </c>
      <c r="L23" s="2">
        <v>42804</v>
      </c>
      <c r="M23">
        <v>31</v>
      </c>
      <c r="N23">
        <v>1</v>
      </c>
      <c r="O23">
        <v>0</v>
      </c>
      <c r="P23">
        <v>1</v>
      </c>
      <c r="Q23" t="inlineStr">
        <is>
          <t>O</t>
        </is>
      </c>
      <c r="W23" t="inlineStr">
        <is>
          <t>location block 100' N of Front St, diagram in the Post Office angled parking row on Main (140' to 250' N of Spring); not placed within 150'</t>
        </is>
      </c>
      <c r="X23" t="inlineStr">
        <is>
          <t>Other</t>
        </is>
      </c>
      <c r="Y23" t="inlineStr">
        <is>
          <t>Unk</t>
        </is>
      </c>
      <c r="AA23" t="inlineStr">
        <is>
          <t>V1</t>
        </is>
      </c>
      <c r="AB23" t="inlineStr">
        <is>
          <t>Backing: unit 1 backed from an angled space into parked unit 2; V1 at fault</t>
        </is>
      </c>
    </row>
    <row r="24">
      <c r="A24" t="inlineStr">
        <is>
          <t>OXFORD</t>
        </is>
      </c>
      <c r="B24" t="inlineStr">
        <is>
          <t>SPRING</t>
        </is>
      </c>
      <c r="C24">
        <v>0.0</v>
      </c>
      <c r="E24" t="inlineStr">
        <is>
          <t>SPRING</t>
        </is>
      </c>
      <c r="F24" t="inlineStr">
        <is>
          <t>ORANGE</t>
        </is>
      </c>
      <c r="G24" t="inlineStr">
        <is>
          <t>SPRING</t>
        </is>
      </c>
      <c r="H24">
        <v>999.999</v>
      </c>
      <c r="J24" s="604" t="inlineStr">
        <is>
          <t>NIS</t>
        </is>
      </c>
      <c r="K24">
        <v>105202508</v>
      </c>
      <c r="L24" s="2">
        <v>42965</v>
      </c>
      <c r="M24">
        <v>21</v>
      </c>
      <c r="N24">
        <v>1</v>
      </c>
      <c r="O24">
        <v>0</v>
      </c>
      <c r="P24">
        <v>1</v>
      </c>
      <c r="Q24" t="inlineStr">
        <is>
          <t>C</t>
        </is>
      </c>
      <c r="W24" t="inlineStr">
        <is>
          <t>at Orange St per diagram, 1,730' W of Main</t>
        </is>
      </c>
      <c r="X24" t="inlineStr">
        <is>
          <t>RE</t>
        </is>
      </c>
      <c r="Y24" t="inlineStr">
        <is>
          <t>EBT</t>
        </is>
      </c>
      <c r="Z24" t="inlineStr">
        <is>
          <t>EBL</t>
        </is>
      </c>
      <c r="AA24" t="inlineStr">
        <is>
          <t>V1</t>
        </is>
      </c>
      <c r="AB24" t="inlineStr">
        <is>
          <t>RE: vehicle 1 stated he was down shifting his car and did not have enough time to stop; V1 at fault</t>
        </is>
      </c>
    </row>
    <row r="25">
      <c r="A25" t="inlineStr">
        <is>
          <t>RURAL</t>
        </is>
      </c>
      <c r="B25" t="inlineStr">
        <is>
          <t>SR 1602</t>
        </is>
      </c>
      <c r="C25">
        <v>0.009</v>
      </c>
      <c r="D25" t="inlineStr">
        <is>
          <t>S</t>
        </is>
      </c>
      <c r="E25" t="inlineStr">
        <is>
          <t>US 158</t>
        </is>
      </c>
      <c r="F25" t="inlineStr">
        <is>
          <t>SR 1650</t>
        </is>
      </c>
      <c r="G25" t="inlineStr">
        <is>
          <t>SR 1602</t>
        </is>
      </c>
      <c r="H25">
        <v>1.495</v>
      </c>
      <c r="J25" s="604" t="inlineStr">
        <is>
          <t>NIS</t>
        </is>
      </c>
      <c r="K25">
        <v>105220466</v>
      </c>
      <c r="L25" s="2">
        <v>42991</v>
      </c>
      <c r="M25">
        <v>21</v>
      </c>
      <c r="N25">
        <v>1</v>
      </c>
      <c r="O25">
        <v>7</v>
      </c>
      <c r="P25">
        <v>1</v>
      </c>
      <c r="Q25" t="inlineStr">
        <is>
          <t>O</t>
        </is>
      </c>
      <c r="W25" t="inlineStr">
        <is>
          <t>on SR 1602 merge ramp 50' S of US 158 per diagram and narrative, &gt;150'</t>
        </is>
      </c>
      <c r="X25" t="inlineStr">
        <is>
          <t>RE</t>
        </is>
      </c>
      <c r="Y25" t="inlineStr">
        <is>
          <t>NBR</t>
        </is>
      </c>
      <c r="Z25" t="inlineStr">
        <is>
          <t>NBR</t>
        </is>
      </c>
      <c r="AA25" t="inlineStr">
        <is>
          <t>V1</t>
        </is>
      </c>
      <c r="AB25" t="inlineStr">
        <is>
          <t>RE: vehicle's 1 and 2 were traveling north on sr 1602 attempting to merge onto us 158; V1 at fault</t>
        </is>
      </c>
    </row>
    <row r="26">
      <c r="A26" t="inlineStr">
        <is>
          <t>OXFORD</t>
        </is>
      </c>
      <c r="B26" t="inlineStr">
        <is>
          <t>MAIN</t>
        </is>
      </c>
      <c r="C26">
        <v>0.114</v>
      </c>
      <c r="D26" t="inlineStr">
        <is>
          <t>S</t>
        </is>
      </c>
      <c r="E26" t="inlineStr">
        <is>
          <t>WILLIAMSBORO</t>
        </is>
      </c>
      <c r="F26" t="inlineStr">
        <is>
          <t>SPRING</t>
        </is>
      </c>
      <c r="G26" t="inlineStr">
        <is>
          <t>SR 1602</t>
        </is>
      </c>
      <c r="H26">
        <v>1.39</v>
      </c>
      <c r="J26" s="604" t="inlineStr">
        <is>
          <t>NIS</t>
        </is>
      </c>
      <c r="K26">
        <v>105255322</v>
      </c>
      <c r="L26" s="2">
        <v>43025</v>
      </c>
      <c r="M26">
        <v>31</v>
      </c>
      <c r="N26">
        <v>1</v>
      </c>
      <c r="O26">
        <v>0</v>
      </c>
      <c r="P26">
        <v>1</v>
      </c>
      <c r="Q26" t="inlineStr">
        <is>
          <t>O</t>
        </is>
      </c>
      <c r="W26" t="inlineStr">
        <is>
          <t>in Main St angled parking mid-block between Williamsboro and Spring per diagram, about 160' N of Spring, &gt;150'</t>
        </is>
      </c>
      <c r="X26" t="inlineStr">
        <is>
          <t>Other</t>
        </is>
      </c>
      <c r="Z26" t="inlineStr">
        <is>
          <t>Unk</t>
        </is>
      </c>
      <c r="AA26" t="inlineStr">
        <is>
          <t>V2</t>
        </is>
      </c>
      <c r="AB26" t="inlineStr">
        <is>
          <t>Backing: "vehicle one was parked facing east on main street when it was struck in the left rear...; V2 at fault</t>
        </is>
      </c>
    </row>
    <row r="27">
      <c r="A27" t="inlineStr">
        <is>
          <t>OXFORD</t>
        </is>
      </c>
      <c r="B27" t="inlineStr">
        <is>
          <t>MAIN</t>
        </is>
      </c>
      <c r="C27">
        <v>0.0</v>
      </c>
      <c r="D27" t="inlineStr">
        <is>
          <t>E</t>
        </is>
      </c>
      <c r="E27" t="inlineStr">
        <is>
          <t>WILLIAMSBORO</t>
        </is>
      </c>
      <c r="F27" t="inlineStr">
        <is>
          <t>SPRING</t>
        </is>
      </c>
      <c r="G27" t="inlineStr">
        <is>
          <t>SR 1602</t>
        </is>
      </c>
      <c r="H27">
        <v>1.504</v>
      </c>
      <c r="J27" s="604" t="inlineStr">
        <is>
          <t>NIS</t>
        </is>
      </c>
      <c r="K27">
        <v>105471861</v>
      </c>
      <c r="L27" s="2">
        <v>43228</v>
      </c>
      <c r="M27">
        <v>18</v>
      </c>
      <c r="N27">
        <v>1</v>
      </c>
      <c r="O27">
        <v>0</v>
      </c>
      <c r="P27">
        <v>1</v>
      </c>
      <c r="Q27" t="inlineStr">
        <is>
          <t>O</t>
        </is>
      </c>
      <c r="W27" t="inlineStr">
        <is>
          <t>Post Office angled parking row on Main per diagram, coded from Williamsboro toward Spring with no distance; row starts 140' N of Spring, not placed within 150'</t>
        </is>
      </c>
      <c r="X27" t="inlineStr">
        <is>
          <t>Other</t>
        </is>
      </c>
      <c r="Y27" t="inlineStr">
        <is>
          <t>Unk</t>
        </is>
      </c>
      <c r="Z27" t="inlineStr">
        <is>
          <t>SBT</t>
        </is>
      </c>
      <c r="AA27" t="inlineStr">
        <is>
          <t>V1</t>
        </is>
      </c>
      <c r="AB27" t="inlineStr">
        <is>
          <t>Backing: unit 1 backed from a parking space into unit 2 stopped in the lane; V1 at fault</t>
        </is>
      </c>
    </row>
    <row r="28">
      <c r="A28" t="inlineStr">
        <is>
          <t>OXFORD</t>
        </is>
      </c>
      <c r="B28" t="inlineStr">
        <is>
          <t>MAIN</t>
        </is>
      </c>
      <c r="C28">
        <v>0.038</v>
      </c>
      <c r="D28" t="inlineStr">
        <is>
          <t>N</t>
        </is>
      </c>
      <c r="E28" t="inlineStr">
        <is>
          <t>SPRING</t>
        </is>
      </c>
      <c r="F28" t="inlineStr">
        <is>
          <t>LITTLE JOHN</t>
        </is>
      </c>
      <c r="G28" t="inlineStr">
        <is>
          <t>SR 1602</t>
        </is>
      </c>
      <c r="H28">
        <v>1.398</v>
      </c>
      <c r="J28" s="604" t="inlineStr">
        <is>
          <t>NIS</t>
        </is>
      </c>
      <c r="K28">
        <v>105555859</v>
      </c>
      <c r="L28" s="2">
        <v>43311</v>
      </c>
      <c r="M28">
        <v>20</v>
      </c>
      <c r="N28">
        <v>1</v>
      </c>
      <c r="O28">
        <v>0</v>
      </c>
      <c r="P28">
        <v>1</v>
      </c>
      <c r="W28" t="inlineStr">
        <is>
          <t>parked in front of the Post Office on Main, coded 200' N of Spring; &gt;150'</t>
        </is>
      </c>
      <c r="X28" t="inlineStr">
        <is>
          <t>Other</t>
        </is>
      </c>
      <c r="Y28" t="inlineStr">
        <is>
          <t>NBT</t>
        </is>
      </c>
      <c r="AA28" t="inlineStr">
        <is>
          <t>V1</t>
        </is>
      </c>
      <c r="AB28" t="inlineStr">
        <is>
          <t>Parked: hit and run on a parked vehicle; V1 at fault</t>
        </is>
      </c>
    </row>
    <row r="29">
      <c r="A29" t="inlineStr">
        <is>
          <t>RURAL</t>
        </is>
      </c>
      <c r="B29" t="inlineStr">
        <is>
          <t>SR 1602</t>
        </is>
      </c>
      <c r="C29">
        <v>0.6</v>
      </c>
      <c r="D29" t="inlineStr">
        <is>
          <t>S</t>
        </is>
      </c>
      <c r="E29" t="inlineStr">
        <is>
          <t>US 158</t>
        </is>
      </c>
      <c r="F29" t="inlineStr">
        <is>
          <t>SR 1650</t>
        </is>
      </c>
      <c r="G29" t="inlineStr">
        <is>
          <t>SR 1602</t>
        </is>
      </c>
      <c r="H29">
        <v>0.904</v>
      </c>
      <c r="J29" s="604" t="inlineStr">
        <is>
          <t>NIS</t>
        </is>
      </c>
      <c r="K29">
        <v>105563645</v>
      </c>
      <c r="L29" s="2">
        <v>43315</v>
      </c>
      <c r="M29">
        <v>21</v>
      </c>
      <c r="N29">
        <v>2</v>
      </c>
      <c r="O29">
        <v>4</v>
      </c>
      <c r="P29">
        <v>1</v>
      </c>
      <c r="Q29" t="inlineStr">
        <is>
          <t>O</t>
        </is>
      </c>
      <c r="W29" t="inlineStr">
        <is>
          <t>rural SR 1602 at Shalag US Inc PVA, 0.6 mi S of US 158 outside town per location block and diagram, &gt;150'</t>
        </is>
      </c>
      <c r="X29" t="inlineStr">
        <is>
          <t>RE</t>
        </is>
      </c>
      <c r="Y29" t="inlineStr">
        <is>
          <t>NBT</t>
        </is>
      </c>
      <c r="Z29" t="inlineStr">
        <is>
          <t>NBT</t>
        </is>
      </c>
      <c r="AA29" t="inlineStr">
        <is>
          <t>V1</t>
        </is>
      </c>
      <c r="AB29" t="inlineStr">
        <is>
          <t>RE: "vehicle's 1, 2, and 3 were traveling north on sr 1602; V1 at fault</t>
        </is>
      </c>
    </row>
    <row r="30">
      <c r="A30" t="inlineStr">
        <is>
          <t>OXFORD</t>
        </is>
      </c>
      <c r="B30" t="inlineStr">
        <is>
          <t>MAIN</t>
        </is>
      </c>
      <c r="C30">
        <v>0.0</v>
      </c>
      <c r="E30" t="inlineStr">
        <is>
          <t>LITTLE JOHN</t>
        </is>
      </c>
      <c r="F30" t="inlineStr">
        <is>
          <t>SPRING</t>
        </is>
      </c>
      <c r="G30" t="inlineStr">
        <is>
          <t>SR 1602</t>
        </is>
      </c>
      <c r="H30">
        <v>1.421</v>
      </c>
      <c r="J30" s="604" t="inlineStr">
        <is>
          <t>NIS</t>
        </is>
      </c>
      <c r="K30">
        <v>105733123</v>
      </c>
      <c r="L30" s="2">
        <v>43467</v>
      </c>
      <c r="M30">
        <v>30</v>
      </c>
      <c r="N30">
        <v>1</v>
      </c>
      <c r="O30">
        <v>0</v>
      </c>
      <c r="P30">
        <v>1</v>
      </c>
      <c r="Q30" t="inlineStr">
        <is>
          <t>O</t>
        </is>
      </c>
      <c r="W30" t="inlineStr">
        <is>
          <t>at Little John St per diagram and narrative, backing from Main St parking space, &gt;150'</t>
        </is>
      </c>
      <c r="X30" t="inlineStr">
        <is>
          <t>Other</t>
        </is>
      </c>
      <c r="Y30" t="inlineStr">
        <is>
          <t>WBL</t>
        </is>
      </c>
      <c r="Z30" t="inlineStr">
        <is>
          <t>Unk</t>
        </is>
      </c>
      <c r="AA30" t="inlineStr">
        <is>
          <t>Unclear</t>
        </is>
      </c>
      <c r="AB30" t="inlineStr">
        <is>
          <t>Backing: vehicle 2 was parked on main st</t>
        </is>
      </c>
    </row>
    <row r="31">
      <c r="A31" t="inlineStr">
        <is>
          <t>OXFORD</t>
        </is>
      </c>
      <c r="B31" t="inlineStr">
        <is>
          <t>MAIN</t>
        </is>
      </c>
      <c r="C31">
        <v>0.011</v>
      </c>
      <c r="D31" t="inlineStr">
        <is>
          <t>S</t>
        </is>
      </c>
      <c r="E31" t="inlineStr">
        <is>
          <t>WILLIAMSBORO</t>
        </is>
      </c>
      <c r="F31" t="inlineStr">
        <is>
          <t>MAIN</t>
        </is>
      </c>
      <c r="G31" t="inlineStr">
        <is>
          <t>SR 1602</t>
        </is>
      </c>
      <c r="H31">
        <v>1.493</v>
      </c>
      <c r="J31" s="604" t="inlineStr">
        <is>
          <t>NIS</t>
        </is>
      </c>
      <c r="K31">
        <v>105803061</v>
      </c>
      <c r="L31" s="2">
        <v>43540</v>
      </c>
      <c r="M31">
        <v>32</v>
      </c>
      <c r="N31">
        <v>1</v>
      </c>
      <c r="O31">
        <v>0</v>
      </c>
      <c r="P31">
        <v>1</v>
      </c>
      <c r="Q31" t="inlineStr">
        <is>
          <t>O</t>
        </is>
      </c>
      <c r="W31" t="inlineStr">
        <is>
          <t>angled parking on Main 60' S of Williamsboro per location block and diagram, about 700' N of Spring, &gt;150'</t>
        </is>
      </c>
      <c r="X31" t="inlineStr">
        <is>
          <t>Other</t>
        </is>
      </c>
      <c r="Y31" t="inlineStr">
        <is>
          <t>NBR</t>
        </is>
      </c>
      <c r="AA31" t="inlineStr">
        <is>
          <t>V1</t>
        </is>
      </c>
      <c r="AB31" t="inlineStr">
        <is>
          <t>Parked: hr i was dispatched to main street in reference to an accident; V1 at fault</t>
        </is>
      </c>
    </row>
    <row r="32">
      <c r="A32" t="inlineStr">
        <is>
          <t>OXFORD</t>
        </is>
      </c>
      <c r="B32" t="inlineStr">
        <is>
          <t>PVA SUNTRUST BANK PVA</t>
        </is>
      </c>
      <c r="C32">
        <v>0.0</v>
      </c>
      <c r="E32" t="inlineStr">
        <is>
          <t>MAIN</t>
        </is>
      </c>
      <c r="F32" t="inlineStr">
        <is>
          <t>SPRING</t>
        </is>
      </c>
      <c r="H32">
        <v>999.999</v>
      </c>
      <c r="J32" s="604" t="inlineStr">
        <is>
          <t>NIS</t>
        </is>
      </c>
      <c r="K32">
        <v>106017912</v>
      </c>
      <c r="L32" s="2">
        <v>43739</v>
      </c>
      <c r="M32">
        <v>31</v>
      </c>
      <c r="N32">
        <v>1</v>
      </c>
      <c r="O32">
        <v>0</v>
      </c>
      <c r="P32">
        <v>1</v>
      </c>
      <c r="Q32" t="inlineStr">
        <is>
          <t>O</t>
        </is>
      </c>
      <c r="W32" t="inlineStr">
        <is>
          <t>entirely in the SunTrust Bank parking lot (PVA) per diagram and narrative; parking lot crash</t>
        </is>
      </c>
      <c r="X32" t="inlineStr">
        <is>
          <t>Other</t>
        </is>
      </c>
      <c r="Y32" t="inlineStr">
        <is>
          <t>Unk</t>
        </is>
      </c>
      <c r="Z32" t="inlineStr">
        <is>
          <t>NBT</t>
        </is>
      </c>
      <c r="AA32" t="inlineStr">
        <is>
          <t>V1</t>
        </is>
      </c>
      <c r="AB32" t="inlineStr">
        <is>
          <t>Backing: unit 1 backed into unit 2 leaving a space in the lot; V1 at fault</t>
        </is>
      </c>
    </row>
    <row r="33">
      <c r="A33" t="inlineStr">
        <is>
          <t>OXFORD</t>
        </is>
      </c>
      <c r="B33" t="inlineStr">
        <is>
          <t>PVA SPRING STREET</t>
        </is>
      </c>
      <c r="C33">
        <v>0.004</v>
      </c>
      <c r="D33" t="inlineStr">
        <is>
          <t>N</t>
        </is>
      </c>
      <c r="E33" t="inlineStr">
        <is>
          <t>SPRING</t>
        </is>
      </c>
      <c r="F33" t="inlineStr">
        <is>
          <t>MAIN</t>
        </is>
      </c>
      <c r="G33" t="inlineStr">
        <is>
          <t>SPRING</t>
        </is>
      </c>
      <c r="H33">
        <v>999.999</v>
      </c>
      <c r="J33" s="604" t="inlineStr">
        <is>
          <t>NIS</t>
        </is>
      </c>
      <c r="K33">
        <v>106036274</v>
      </c>
      <c r="L33" s="2">
        <v>43761</v>
      </c>
      <c r="M33">
        <v>20</v>
      </c>
      <c r="N33">
        <v>1</v>
      </c>
      <c r="O33">
        <v>4</v>
      </c>
      <c r="P33">
        <v>1</v>
      </c>
      <c r="Q33" t="inlineStr">
        <is>
          <t>O</t>
        </is>
      </c>
      <c r="W33" t="inlineStr">
        <is>
          <t>in a PVA off W Spring per location block, no diagram (hit and run); parking lot crash</t>
        </is>
      </c>
      <c r="X33" t="inlineStr">
        <is>
          <t>Other</t>
        </is>
      </c>
      <c r="Z33" t="inlineStr">
        <is>
          <t>Unk</t>
        </is>
      </c>
      <c r="AA33" t="inlineStr">
        <is>
          <t>V2</t>
        </is>
      </c>
      <c r="AB33" t="inlineStr">
        <is>
          <t>Parked: hit and run on a parked vehicle in a driveway; V2 at fault</t>
        </is>
      </c>
    </row>
    <row r="34">
      <c r="A34" t="inlineStr">
        <is>
          <t>OXFORD</t>
        </is>
      </c>
      <c r="B34" t="inlineStr">
        <is>
          <t>MAIN</t>
        </is>
      </c>
      <c r="C34">
        <v>0.095</v>
      </c>
      <c r="D34" t="inlineStr">
        <is>
          <t>N</t>
        </is>
      </c>
      <c r="E34" t="inlineStr">
        <is>
          <t>SPRING</t>
        </is>
      </c>
      <c r="F34" t="inlineStr">
        <is>
          <t>SYCAMORE</t>
        </is>
      </c>
      <c r="G34" t="inlineStr">
        <is>
          <t>SR 1602</t>
        </is>
      </c>
      <c r="H34">
        <v>1.455</v>
      </c>
      <c r="J34" s="604" t="inlineStr">
        <is>
          <t>NIS</t>
        </is>
      </c>
      <c r="K34">
        <v>106038134</v>
      </c>
      <c r="L34" s="2">
        <v>43763</v>
      </c>
      <c r="M34">
        <v>31</v>
      </c>
      <c r="N34">
        <v>1</v>
      </c>
      <c r="O34">
        <v>0</v>
      </c>
      <c r="P34">
        <v>1</v>
      </c>
      <c r="Q34" t="inlineStr">
        <is>
          <t>O</t>
        </is>
      </c>
      <c r="W34" t="inlineStr">
        <is>
          <t>Post Office angled parking on Main per diagram, coded 500' N of Spring; &gt;150'</t>
        </is>
      </c>
      <c r="X34" t="inlineStr">
        <is>
          <t>Other</t>
        </is>
      </c>
      <c r="Y34" t="inlineStr">
        <is>
          <t>Unk</t>
        </is>
      </c>
      <c r="Z34" t="inlineStr">
        <is>
          <t>SBT</t>
        </is>
      </c>
      <c r="AA34" t="inlineStr">
        <is>
          <t>V1</t>
        </is>
      </c>
      <c r="AB34" t="inlineStr">
        <is>
          <t>Backing: unit 1 backed from a space into unit 2; V1 at fault</t>
        </is>
      </c>
    </row>
    <row r="35">
      <c r="A35" t="inlineStr">
        <is>
          <t>OXFORD</t>
        </is>
      </c>
      <c r="B35" t="inlineStr">
        <is>
          <t>MAIN</t>
        </is>
      </c>
      <c r="C35">
        <v>0.0</v>
      </c>
      <c r="E35" t="inlineStr">
        <is>
          <t>LITTLE JOHN</t>
        </is>
      </c>
      <c r="F35" t="inlineStr">
        <is>
          <t>SPRING</t>
        </is>
      </c>
      <c r="G35" t="inlineStr">
        <is>
          <t>SR 1602</t>
        </is>
      </c>
      <c r="H35">
        <v>1.421</v>
      </c>
      <c r="J35" s="604" t="inlineStr">
        <is>
          <t>NIS</t>
        </is>
      </c>
      <c r="K35">
        <v>106197362</v>
      </c>
      <c r="L35" s="2">
        <v>43915</v>
      </c>
      <c r="M35">
        <v>21</v>
      </c>
      <c r="N35">
        <v>2</v>
      </c>
      <c r="O35">
        <v>8</v>
      </c>
      <c r="P35">
        <v>1</v>
      </c>
      <c r="Q35" t="inlineStr">
        <is>
          <t>O</t>
        </is>
      </c>
      <c r="W35" t="inlineStr">
        <is>
          <t>impact drawn N of Little John St in SB Main lane per diagram, unit 1 fled down Little John, &gt;150'</t>
        </is>
      </c>
      <c r="X35" t="inlineStr">
        <is>
          <t>RE</t>
        </is>
      </c>
      <c r="Y35" t="inlineStr">
        <is>
          <t>SBT</t>
        </is>
      </c>
      <c r="Z35" t="inlineStr">
        <is>
          <t>SBT</t>
        </is>
      </c>
      <c r="AA35" t="inlineStr">
        <is>
          <t>V1</t>
        </is>
      </c>
      <c r="AB35" t="inlineStr">
        <is>
          <t>RE: vehicle 1 and 2 were traveling south on main st; V1 at fault</t>
        </is>
      </c>
    </row>
    <row r="36">
      <c r="A36" t="inlineStr">
        <is>
          <t>OXFORD</t>
        </is>
      </c>
      <c r="B36" t="inlineStr">
        <is>
          <t>MAIN</t>
        </is>
      </c>
      <c r="C36">
        <v>0.0</v>
      </c>
      <c r="D36" t="inlineStr">
        <is>
          <t>S</t>
        </is>
      </c>
      <c r="E36" t="inlineStr">
        <is>
          <t>HILLSBORO</t>
        </is>
      </c>
      <c r="F36" t="inlineStr">
        <is>
          <t>FRONT</t>
        </is>
      </c>
      <c r="G36" t="inlineStr">
        <is>
          <t>MAIN</t>
        </is>
      </c>
      <c r="H36">
        <v>999.999</v>
      </c>
      <c r="J36" s="604" t="inlineStr">
        <is>
          <t>NIS</t>
        </is>
      </c>
      <c r="K36">
        <v>106558296</v>
      </c>
      <c r="L36" s="2">
        <v>44309</v>
      </c>
      <c r="M36">
        <v>30</v>
      </c>
      <c r="N36">
        <v>1</v>
      </c>
      <c r="O36">
        <v>0</v>
      </c>
      <c r="P36">
        <v>1</v>
      </c>
      <c r="Q36" t="inlineStr">
        <is>
          <t>O</t>
        </is>
      </c>
      <c r="W36" t="inlineStr">
        <is>
          <t>at E Front St crosswalk per diagram and narrative, 1,100' S of Spring</t>
        </is>
      </c>
      <c r="X36" t="inlineStr">
        <is>
          <t>RE</t>
        </is>
      </c>
      <c r="Y36" t="inlineStr">
        <is>
          <t>SBT</t>
        </is>
      </c>
      <c r="Z36" t="inlineStr">
        <is>
          <t>SBT</t>
        </is>
      </c>
      <c r="AA36" t="inlineStr">
        <is>
          <t>V1</t>
        </is>
      </c>
      <c r="AB36" t="inlineStr">
        <is>
          <t>RE: unit 1 was traveling south down main st; V1 at fault</t>
        </is>
      </c>
    </row>
    <row r="37">
      <c r="A37" t="inlineStr">
        <is>
          <t>OXFORD</t>
        </is>
      </c>
      <c r="B37" t="inlineStr">
        <is>
          <t>SPRING</t>
        </is>
      </c>
      <c r="C37">
        <v>0.0</v>
      </c>
      <c r="E37" t="inlineStr">
        <is>
          <t>WILLIAMSBORO</t>
        </is>
      </c>
      <c r="F37" t="inlineStr">
        <is>
          <t>SPRING</t>
        </is>
      </c>
      <c r="G37" t="inlineStr">
        <is>
          <t>SPRING</t>
        </is>
      </c>
      <c r="H37">
        <v>999.999</v>
      </c>
      <c r="J37" s="604" t="inlineStr">
        <is>
          <t>NIS</t>
        </is>
      </c>
      <c r="K37">
        <v>106899128</v>
      </c>
      <c r="L37" s="2">
        <v>44578</v>
      </c>
      <c r="M37">
        <v>20</v>
      </c>
      <c r="N37">
        <v>1</v>
      </c>
      <c r="O37">
        <v>0</v>
      </c>
      <c r="P37">
        <v>1</v>
      </c>
      <c r="W37" t="inlineStr">
        <is>
          <t>at 703 E Spring St per narrative, coded at Williamsboro St, mid-block segment on diagram, &gt;150'</t>
        </is>
      </c>
      <c r="X37" t="inlineStr">
        <is>
          <t>Other</t>
        </is>
      </c>
      <c r="Y37" t="inlineStr">
        <is>
          <t>WBT</t>
        </is>
      </c>
      <c r="AA37" t="inlineStr">
        <is>
          <t>V1</t>
        </is>
      </c>
      <c r="AB37" t="inlineStr">
        <is>
          <t>Parked: hrs i was dispatched to 703 e spring st in reference to a vehicle accident; V1 at fault</t>
        </is>
      </c>
    </row>
    <row r="38">
      <c r="A38" t="inlineStr">
        <is>
          <t>OXFORD</t>
        </is>
      </c>
      <c r="B38" t="inlineStr">
        <is>
          <t>SPRING</t>
        </is>
      </c>
      <c r="C38">
        <v>0.0</v>
      </c>
      <c r="E38" t="inlineStr">
        <is>
          <t>MARTIN LUTHER KING</t>
        </is>
      </c>
      <c r="F38" t="inlineStr">
        <is>
          <t>MAIN</t>
        </is>
      </c>
      <c r="G38" t="inlineStr">
        <is>
          <t>SPRING</t>
        </is>
      </c>
      <c r="H38">
        <v>999.999</v>
      </c>
      <c r="J38" s="604" t="inlineStr">
        <is>
          <t>NIS</t>
        </is>
      </c>
      <c r="K38">
        <v>106955408</v>
      </c>
      <c r="L38" s="2">
        <v>44683</v>
      </c>
      <c r="M38">
        <v>13</v>
      </c>
      <c r="N38">
        <v>1</v>
      </c>
      <c r="O38">
        <v>0</v>
      </c>
      <c r="P38">
        <v>1</v>
      </c>
      <c r="Q38" t="inlineStr">
        <is>
          <t>A</t>
        </is>
      </c>
      <c r="R38">
        <v>36.309199</v>
      </c>
      <c r="S38">
        <v>-78.590109</v>
      </c>
      <c r="T38" t="inlineStr">
        <is>
          <t>ITRE_SEVEREINJURY</t>
        </is>
      </c>
      <c r="V38">
        <v>0.1650698194535878</v>
      </c>
      <c r="W38" t="inlineStr">
        <is>
          <t>at MLK Jr Ave per narrative and diagram, 875' W of Main</t>
        </is>
      </c>
      <c r="X38" t="inlineStr">
        <is>
          <t>Overturn</t>
        </is>
      </c>
      <c r="Y38" t="inlineStr">
        <is>
          <t>EBT</t>
        </is>
      </c>
      <c r="AA38" t="inlineStr">
        <is>
          <t>V1</t>
        </is>
      </c>
      <c r="AB38" t="inlineStr">
        <is>
          <t>Overturn: vehicle 1 was traveling east on spring st headed towards mlk jr; V1 at fault</t>
        </is>
      </c>
    </row>
    <row r="39">
      <c r="A39" t="inlineStr">
        <is>
          <t>OXFORD</t>
        </is>
      </c>
      <c r="B39" t="inlineStr">
        <is>
          <t>SPRING</t>
        </is>
      </c>
      <c r="C39">
        <v>0.0</v>
      </c>
      <c r="E39" t="inlineStr">
        <is>
          <t>PARK</t>
        </is>
      </c>
      <c r="F39" t="inlineStr">
        <is>
          <t>SPRING</t>
        </is>
      </c>
      <c r="G39" t="inlineStr">
        <is>
          <t>SPRING</t>
        </is>
      </c>
      <c r="H39">
        <v>999.999</v>
      </c>
      <c r="J39" s="604" t="inlineStr">
        <is>
          <t>NIS</t>
        </is>
      </c>
      <c r="K39">
        <v>107105886</v>
      </c>
      <c r="L39" s="2">
        <v>44835</v>
      </c>
      <c r="M39">
        <v>3</v>
      </c>
      <c r="N39">
        <v>2</v>
      </c>
      <c r="O39">
        <v>0</v>
      </c>
      <c r="P39">
        <v>6</v>
      </c>
      <c r="W39" t="inlineStr">
        <is>
          <t>at Park Dr per location block and narrative, 3,410' E of Main</t>
        </is>
      </c>
      <c r="X39" t="inlineStr">
        <is>
          <t>RORS</t>
        </is>
      </c>
      <c r="Y39" t="inlineStr">
        <is>
          <t>NBL</t>
        </is>
      </c>
      <c r="AA39" t="inlineStr">
        <is>
          <t>V1</t>
        </is>
      </c>
      <c r="AB39" t="inlineStr">
        <is>
          <t>RORS: hrs i was dispatched to the intersection of e spring st and park dr in reference to a hit...; V1 at fault</t>
        </is>
      </c>
    </row>
    <row r="40">
      <c r="A40" t="inlineStr">
        <is>
          <t>OXFORD</t>
        </is>
      </c>
      <c r="B40" t="inlineStr">
        <is>
          <t>SPRING</t>
        </is>
      </c>
      <c r="C40">
        <v>0.0</v>
      </c>
      <c r="E40" t="inlineStr">
        <is>
          <t>ORANGE</t>
        </is>
      </c>
      <c r="G40" t="inlineStr">
        <is>
          <t>SPRING</t>
        </is>
      </c>
      <c r="H40">
        <v>999.999</v>
      </c>
      <c r="J40" s="604" t="inlineStr">
        <is>
          <t>NIS</t>
        </is>
      </c>
      <c r="K40">
        <v>107195886</v>
      </c>
      <c r="L40" s="2">
        <v>44848</v>
      </c>
      <c r="M40">
        <v>28</v>
      </c>
      <c r="N40">
        <v>1</v>
      </c>
      <c r="O40">
        <v>0</v>
      </c>
      <c r="P40">
        <v>1</v>
      </c>
      <c r="Q40" t="inlineStr">
        <is>
          <t>O</t>
        </is>
      </c>
      <c r="W40" t="inlineStr">
        <is>
          <t>at Orange St per narrative and location block, 1,730' W of Main</t>
        </is>
      </c>
      <c r="X40" t="inlineStr">
        <is>
          <t>LTSR</t>
        </is>
      </c>
      <c r="Y40" t="inlineStr">
        <is>
          <t>SBL</t>
        </is>
      </c>
      <c r="Z40" t="inlineStr">
        <is>
          <t>NBT</t>
        </is>
      </c>
      <c r="AA40" t="inlineStr">
        <is>
          <t>V1</t>
        </is>
      </c>
      <c r="AB40" t="inlineStr">
        <is>
          <t>LTSR: while unit 2 was traveling north on west spring st, unit 1 was traveling south on west...; V1 at fault</t>
        </is>
      </c>
    </row>
    <row r="41">
      <c r="A41" t="inlineStr">
        <is>
          <t>RURAL</t>
        </is>
      </c>
      <c r="B41" t="inlineStr">
        <is>
          <t>SR 1602</t>
        </is>
      </c>
      <c r="C41">
        <v>0.1</v>
      </c>
      <c r="D41" t="inlineStr">
        <is>
          <t>E</t>
        </is>
      </c>
      <c r="E41" t="inlineStr">
        <is>
          <t>US 158</t>
        </is>
      </c>
      <c r="F41" t="inlineStr">
        <is>
          <t>MALULI</t>
        </is>
      </c>
      <c r="G41" t="inlineStr">
        <is>
          <t>SR 1602</t>
        </is>
      </c>
      <c r="H41">
        <v>1.404</v>
      </c>
      <c r="J41" s="604" t="inlineStr">
        <is>
          <t>NIS</t>
        </is>
      </c>
      <c r="K41">
        <v>107150708</v>
      </c>
      <c r="L41" s="2">
        <v>44880</v>
      </c>
      <c r="M41">
        <v>19</v>
      </c>
      <c r="N41">
        <v>1</v>
      </c>
      <c r="O41">
        <v>0</v>
      </c>
      <c r="P41">
        <v>4</v>
      </c>
      <c r="W41" t="inlineStr">
        <is>
          <t>rural curve on SR 1602 outside city limits 0.1 mi E of US 158 per diagram and location block, &gt;150'</t>
        </is>
      </c>
      <c r="X41" t="inlineStr">
        <is>
          <t>RORR</t>
        </is>
      </c>
      <c r="Y41" t="inlineStr">
        <is>
          <t>WBT</t>
        </is>
      </c>
      <c r="AA41" t="inlineStr">
        <is>
          <t>V1</t>
        </is>
      </c>
      <c r="AB41" t="inlineStr">
        <is>
          <t>RORR: vehicle 1 was traveling west on sr1602; V1 at fault</t>
        </is>
      </c>
    </row>
    <row r="42">
      <c r="A42" t="inlineStr">
        <is>
          <t>OXFORD</t>
        </is>
      </c>
      <c r="B42" t="inlineStr">
        <is>
          <t>MAIN</t>
        </is>
      </c>
      <c r="C42">
        <v>0.028</v>
      </c>
      <c r="D42" t="inlineStr">
        <is>
          <t>N</t>
        </is>
      </c>
      <c r="E42" t="inlineStr">
        <is>
          <t>LITTLE JOHN</t>
        </is>
      </c>
      <c r="F42" t="inlineStr">
        <is>
          <t>SPRING</t>
        </is>
      </c>
      <c r="G42" t="inlineStr">
        <is>
          <t>SR 1602</t>
        </is>
      </c>
      <c r="H42">
        <v>1.449</v>
      </c>
      <c r="J42" s="604" t="inlineStr">
        <is>
          <t>NIS</t>
        </is>
      </c>
      <c r="K42">
        <v>107343387</v>
      </c>
      <c r="L42" s="2">
        <v>45063</v>
      </c>
      <c r="M42">
        <v>30</v>
      </c>
      <c r="N42">
        <v>1</v>
      </c>
      <c r="O42">
        <v>0</v>
      </c>
      <c r="P42">
        <v>1</v>
      </c>
      <c r="W42" t="inlineStr">
        <is>
          <t>parked at the Post Office on Main, coded 150' N of Little John (about 470' N of Spring); &gt;150'</t>
        </is>
      </c>
      <c r="X42" t="inlineStr">
        <is>
          <t>Other</t>
        </is>
      </c>
      <c r="Y42" t="inlineStr">
        <is>
          <t>SBT</t>
        </is>
      </c>
      <c r="AA42" t="inlineStr">
        <is>
          <t>V1</t>
        </is>
      </c>
      <c r="AB42" t="inlineStr">
        <is>
          <t>Parked: unattended parked vehicle struck, hit and run; V1 at fault</t>
        </is>
      </c>
    </row>
    <row r="43">
      <c r="A43" t="inlineStr">
        <is>
          <t>OXFORD</t>
        </is>
      </c>
      <c r="B43" t="inlineStr">
        <is>
          <t>PVA MAIN ST</t>
        </is>
      </c>
      <c r="C43">
        <v>0.0</v>
      </c>
      <c r="E43" t="inlineStr">
        <is>
          <t>PVA W SPRING ST</t>
        </is>
      </c>
      <c r="F43" t="inlineStr">
        <is>
          <t>SPRING</t>
        </is>
      </c>
      <c r="G43" t="inlineStr">
        <is>
          <t>SR 1602</t>
        </is>
      </c>
      <c r="H43">
        <v>1.36</v>
      </c>
      <c r="J43" s="604" t="inlineStr">
        <is>
          <t>NIS</t>
        </is>
      </c>
      <c r="K43">
        <v>107433763</v>
      </c>
      <c r="L43" s="2">
        <v>45162</v>
      </c>
      <c r="M43">
        <v>31</v>
      </c>
      <c r="N43">
        <v>1</v>
      </c>
      <c r="O43">
        <v>0</v>
      </c>
      <c r="P43">
        <v>1</v>
      </c>
      <c r="W43" t="inlineStr">
        <is>
          <t>entirely in the Library parking lot off W Spring per diagram and narrative; parking lot crash</t>
        </is>
      </c>
      <c r="X43" t="inlineStr">
        <is>
          <t>Other</t>
        </is>
      </c>
      <c r="Y43" t="inlineStr">
        <is>
          <t>Unk</t>
        </is>
      </c>
      <c r="Z43" t="inlineStr">
        <is>
          <t>WBT</t>
        </is>
      </c>
      <c r="AA43" t="inlineStr">
        <is>
          <t>V1</t>
        </is>
      </c>
      <c r="AB43" t="inlineStr">
        <is>
          <t>Backing: unit 1 backed out of a space into unit 2 in the lot; V1 at fault</t>
        </is>
      </c>
    </row>
    <row r="44">
      <c r="A44" t="inlineStr">
        <is>
          <t>OXFORD</t>
        </is>
      </c>
      <c r="B44" t="inlineStr">
        <is>
          <t>MAIN</t>
        </is>
      </c>
      <c r="C44">
        <v>0.0</v>
      </c>
      <c r="E44" t="inlineStr">
        <is>
          <t>LITTLE JOHN</t>
        </is>
      </c>
      <c r="F44" t="inlineStr">
        <is>
          <t>MAIN</t>
        </is>
      </c>
      <c r="G44" t="inlineStr">
        <is>
          <t>SR 1602</t>
        </is>
      </c>
      <c r="H44">
        <v>1.421</v>
      </c>
      <c r="J44" s="604" t="inlineStr">
        <is>
          <t>NIS</t>
        </is>
      </c>
      <c r="K44">
        <v>107470908</v>
      </c>
      <c r="L44" s="2">
        <v>45196</v>
      </c>
      <c r="M44">
        <v>21</v>
      </c>
      <c r="N44">
        <v>1</v>
      </c>
      <c r="O44">
        <v>0</v>
      </c>
      <c r="P44">
        <v>1</v>
      </c>
      <c r="Q44" t="inlineStr">
        <is>
          <t>O</t>
        </is>
      </c>
      <c r="W44" t="inlineStr">
        <is>
          <t>at Little John St per location block, no diagram, narrative does not place it nearer Spring, &gt;150'</t>
        </is>
      </c>
      <c r="X44" t="inlineStr">
        <is>
          <t>RE</t>
        </is>
      </c>
      <c r="Y44" t="inlineStr">
        <is>
          <t>NBT</t>
        </is>
      </c>
      <c r="Z44" t="inlineStr">
        <is>
          <t>NBT</t>
        </is>
      </c>
      <c r="AA44" t="inlineStr">
        <is>
          <t>V1</t>
        </is>
      </c>
      <c r="AB44" t="inlineStr">
        <is>
          <t>RE: unit 1 stated she was traveling north on main street as unit 2 was in front of her; V1 at fault</t>
        </is>
      </c>
    </row>
    <row r="45">
      <c r="A45" t="inlineStr">
        <is>
          <t>OXFORD</t>
        </is>
      </c>
      <c r="B45" t="inlineStr">
        <is>
          <t>SPRING</t>
        </is>
      </c>
      <c r="C45">
        <v>0.0</v>
      </c>
      <c r="E45" t="inlineStr">
        <is>
          <t>MARTIN LUTHER KING</t>
        </is>
      </c>
      <c r="F45" t="inlineStr">
        <is>
          <t>SPRING</t>
        </is>
      </c>
      <c r="G45" t="inlineStr">
        <is>
          <t>SPRING</t>
        </is>
      </c>
      <c r="H45">
        <v>999.999</v>
      </c>
      <c r="J45" s="604" t="inlineStr">
        <is>
          <t>NIS</t>
        </is>
      </c>
      <c r="K45">
        <v>107874844</v>
      </c>
      <c r="L45" s="2">
        <v>45572</v>
      </c>
      <c r="M45">
        <v>28</v>
      </c>
      <c r="N45">
        <v>1</v>
      </c>
      <c r="O45">
        <v>7</v>
      </c>
      <c r="P45">
        <v>1</v>
      </c>
      <c r="Q45" t="inlineStr">
        <is>
          <t>O</t>
        </is>
      </c>
      <c r="W45" t="inlineStr">
        <is>
          <t>at MLK Jr Ave per narrative and location block, 875' W of Main</t>
        </is>
      </c>
      <c r="X45" t="inlineStr">
        <is>
          <t>SSSD</t>
        </is>
      </c>
      <c r="Y45" t="inlineStr">
        <is>
          <t>WBL</t>
        </is>
      </c>
      <c r="Z45" t="inlineStr">
        <is>
          <t>WBT</t>
        </is>
      </c>
      <c r="AA45" t="inlineStr">
        <is>
          <t>V2</t>
        </is>
      </c>
      <c r="AB45" t="inlineStr">
        <is>
          <t>SSSD: i was dispatched to a hit and run at e spring street and mlk; V2 at fault</t>
        </is>
      </c>
    </row>
    <row r="46">
      <c r="A46" t="inlineStr">
        <is>
          <t>OXFORD</t>
        </is>
      </c>
      <c r="B46" t="inlineStr">
        <is>
          <t>SPRING</t>
        </is>
      </c>
      <c r="C46">
        <v>0.0</v>
      </c>
      <c r="E46" t="inlineStr">
        <is>
          <t>GRANVILLE</t>
        </is>
      </c>
      <c r="F46" t="inlineStr">
        <is>
          <t>MAIN</t>
        </is>
      </c>
      <c r="G46" t="inlineStr">
        <is>
          <t>SPRING</t>
        </is>
      </c>
      <c r="H46">
        <v>0.09</v>
      </c>
      <c r="J46" s="604" t="inlineStr">
        <is>
          <t>NIS</t>
        </is>
      </c>
      <c r="K46">
        <v>107935640</v>
      </c>
      <c r="L46" s="2">
        <v>45608</v>
      </c>
      <c r="M46">
        <v>30</v>
      </c>
      <c r="N46">
        <v>1</v>
      </c>
      <c r="O46">
        <v>0</v>
      </c>
      <c r="P46">
        <v>4</v>
      </c>
      <c r="Q46" t="inlineStr">
        <is>
          <t>O</t>
        </is>
      </c>
      <c r="W46" t="inlineStr">
        <is>
          <t>at MLK Jr Ave per narrative, 875' W of Main</t>
        </is>
      </c>
      <c r="X46" t="inlineStr">
        <is>
          <t>LTSR</t>
        </is>
      </c>
      <c r="Y46" t="inlineStr">
        <is>
          <t>WBL</t>
        </is>
      </c>
      <c r="Z46" t="inlineStr">
        <is>
          <t>EBT</t>
        </is>
      </c>
      <c r="AA46" t="inlineStr">
        <is>
          <t>V1</t>
        </is>
      </c>
      <c r="AB46" t="inlineStr">
        <is>
          <t>LTSR: unit 1 was traveling west on w spring st; V1 at fault</t>
        </is>
      </c>
    </row>
    <row r="47">
      <c r="A47" t="inlineStr">
        <is>
          <t>OXFORD</t>
        </is>
      </c>
      <c r="B47" t="inlineStr">
        <is>
          <t>SPRING</t>
        </is>
      </c>
      <c r="C47">
        <v>0.0</v>
      </c>
      <c r="E47" t="inlineStr">
        <is>
          <t>SPRING</t>
        </is>
      </c>
      <c r="F47" t="inlineStr">
        <is>
          <t>MARTIN LUTHER KING</t>
        </is>
      </c>
      <c r="G47" t="inlineStr">
        <is>
          <t>SPRING</t>
        </is>
      </c>
      <c r="H47">
        <v>999.999</v>
      </c>
      <c r="J47" s="604" t="inlineStr">
        <is>
          <t>NIS</t>
        </is>
      </c>
      <c r="K47">
        <v>108080999</v>
      </c>
      <c r="L47" s="2">
        <v>45763</v>
      </c>
      <c r="M47">
        <v>31</v>
      </c>
      <c r="N47">
        <v>1</v>
      </c>
      <c r="O47">
        <v>13</v>
      </c>
      <c r="P47">
        <v>1</v>
      </c>
      <c r="Q47" t="inlineStr">
        <is>
          <t>O</t>
        </is>
      </c>
      <c r="W47" t="inlineStr">
        <is>
          <t>backed into parked car at 200 W Spring St per narrative, no diagram (vehicles moved), coded toward MLK; 200 block is W of Wall St, &gt;150'</t>
        </is>
      </c>
      <c r="X47" t="inlineStr">
        <is>
          <t>Other</t>
        </is>
      </c>
      <c r="Y47" t="inlineStr">
        <is>
          <t>Unk</t>
        </is>
      </c>
      <c r="AA47" t="inlineStr">
        <is>
          <t>V1</t>
        </is>
      </c>
      <c r="AB47" t="inlineStr">
        <is>
          <t>Backing: i responded to 200 w spring st due to a call about a vehicle collision with only property...; V1 at fault</t>
        </is>
      </c>
    </row>
    <row r="48">
      <c r="A48" t="inlineStr">
        <is>
          <t>OXFORD</t>
        </is>
      </c>
      <c r="B48" t="inlineStr">
        <is>
          <t>MAIN</t>
        </is>
      </c>
      <c r="C48">
        <v>0.0</v>
      </c>
      <c r="E48" t="inlineStr">
        <is>
          <t>HILLSBORO</t>
        </is>
      </c>
      <c r="F48" t="inlineStr">
        <is>
          <t>SPRING</t>
        </is>
      </c>
      <c r="G48" t="inlineStr">
        <is>
          <t>MAIN</t>
        </is>
      </c>
      <c r="H48">
        <v>999.999</v>
      </c>
      <c r="J48" s="604" t="inlineStr">
        <is>
          <t>NIS</t>
        </is>
      </c>
      <c r="K48">
        <v>108099425</v>
      </c>
      <c r="L48" s="2">
        <v>45782</v>
      </c>
      <c r="M48">
        <v>31</v>
      </c>
      <c r="N48">
        <v>1</v>
      </c>
      <c r="O48">
        <v>0</v>
      </c>
      <c r="P48">
        <v>1</v>
      </c>
      <c r="Q48" t="inlineStr">
        <is>
          <t>O</t>
        </is>
      </c>
      <c r="W48" t="inlineStr">
        <is>
          <t>backing from Main St parking space, coded from Hillsboro toward Spring with distance blank, diagram shows no cross street or landmark; not placed within 150' of Spring</t>
        </is>
      </c>
      <c r="X48" t="inlineStr">
        <is>
          <t>Other</t>
        </is>
      </c>
      <c r="Y48" t="inlineStr">
        <is>
          <t>Unk</t>
        </is>
      </c>
      <c r="Z48" t="inlineStr">
        <is>
          <t>SBT</t>
        </is>
      </c>
      <c r="AA48" t="inlineStr">
        <is>
          <t>V1</t>
        </is>
      </c>
      <c r="AB48" t="inlineStr">
        <is>
          <t>Backing: i was on main st when i saw unit 1 back into unit 2 from a parking spot; V1 at fault</t>
        </is>
      </c>
    </row>
    <row r="49">
      <c r="A49" t="inlineStr">
        <is>
          <t>OXFORD</t>
        </is>
      </c>
      <c r="B49" t="inlineStr">
        <is>
          <t>SPRING</t>
        </is>
      </c>
      <c r="C49">
        <v>0.0</v>
      </c>
      <c r="E49" t="inlineStr">
        <is>
          <t>*LCL T&amp;M PVA</t>
        </is>
      </c>
      <c r="F49" t="inlineStr">
        <is>
          <t>SPRING</t>
        </is>
      </c>
      <c r="H49">
        <v>999.999</v>
      </c>
      <c r="J49" s="604" t="inlineStr">
        <is>
          <t>NIS</t>
        </is>
      </c>
      <c r="K49">
        <v>108256216</v>
      </c>
      <c r="L49" s="2">
        <v>45929</v>
      </c>
      <c r="M49">
        <v>32</v>
      </c>
      <c r="N49">
        <v>2</v>
      </c>
      <c r="O49">
        <v>0</v>
      </c>
      <c r="P49">
        <v>1</v>
      </c>
      <c r="Q49" t="inlineStr">
        <is>
          <t>O</t>
        </is>
      </c>
      <c r="W49" t="inlineStr">
        <is>
          <t>T&amp;M Foodmart PVA on W Spring, drawn between MLK Jr Ave and Granville St on 106955408, about 1,000' W of Main</t>
        </is>
      </c>
      <c r="X49" t="inlineStr">
        <is>
          <t>LTDR</t>
        </is>
      </c>
      <c r="Y49" t="inlineStr">
        <is>
          <t>WBL</t>
        </is>
      </c>
      <c r="Z49" t="inlineStr">
        <is>
          <t>EBT</t>
        </is>
      </c>
      <c r="AA49" t="inlineStr">
        <is>
          <t>V1</t>
        </is>
      </c>
      <c r="AB49" t="inlineStr">
        <is>
          <t>LTDR: i ofc b; V1 at fault</t>
        </is>
      </c>
    </row>
    <row r="50">
      <c r="A50" t="inlineStr">
        <is>
          <t>OXFORD</t>
        </is>
      </c>
      <c r="B50" t="inlineStr">
        <is>
          <t>PVA SPRING ST</t>
        </is>
      </c>
      <c r="C50">
        <v>0.0</v>
      </c>
      <c r="E50" t="inlineStr">
        <is>
          <t>PVA SPRING ST</t>
        </is>
      </c>
      <c r="F50" t="inlineStr">
        <is>
          <t>PVA SPRING ST</t>
        </is>
      </c>
      <c r="G50" t="inlineStr">
        <is>
          <t>SPRING</t>
        </is>
      </c>
      <c r="H50">
        <v>999.999</v>
      </c>
      <c r="J50" s="604" t="inlineStr">
        <is>
          <t>NIS</t>
        </is>
      </c>
      <c r="K50">
        <v>108526964</v>
      </c>
      <c r="L50" s="2">
        <v>46185</v>
      </c>
      <c r="M50">
        <v>31</v>
      </c>
      <c r="N50">
        <v>1</v>
      </c>
      <c r="O50">
        <v>0</v>
      </c>
      <c r="P50">
        <v>1</v>
      </c>
      <c r="W50" t="inlineStr">
        <is>
          <t>entirely in the Post Office parking lot off W Spring per diagram; parking lot crash</t>
        </is>
      </c>
      <c r="X50" t="inlineStr">
        <is>
          <t>Other</t>
        </is>
      </c>
      <c r="Y50" t="inlineStr">
        <is>
          <t>Unk</t>
        </is>
      </c>
      <c r="AA50" t="inlineStr">
        <is>
          <t>V1</t>
        </is>
      </c>
      <c r="AB50" t="inlineStr">
        <is>
          <t>Backing: unit 1 backed into parked unit 2 in the lot; V1 at fault</t>
        </is>
      </c>
    </row>
    <row r="51" s="607" customFormat="1">
      <c r="A51" s="610" t="inlineStr">
        <is>
          <t>NOT IN STUDY - REPORT NOT REVIEWED</t>
        </is>
      </c>
      <c r="L51" s="608"/>
    </row>
    <row r="52">
      <c r="A52" t="inlineStr">
        <is>
          <t>OXFORD</t>
        </is>
      </c>
      <c r="B52" t="inlineStr">
        <is>
          <t>MARTIN LUTHER KING</t>
        </is>
      </c>
      <c r="C52">
        <v>0.0</v>
      </c>
      <c r="E52" t="inlineStr">
        <is>
          <t>SPRING</t>
        </is>
      </c>
      <c r="F52" t="inlineStr">
        <is>
          <t>SPRING</t>
        </is>
      </c>
      <c r="G52" t="inlineStr">
        <is>
          <t>NC 96</t>
        </is>
      </c>
      <c r="H52">
        <v>17.59</v>
      </c>
      <c r="J52" s="604" t="inlineStr">
        <is>
          <t>NIS</t>
        </is>
      </c>
      <c r="K52">
        <v>105030848</v>
      </c>
      <c r="L52" s="2">
        <v>42802</v>
      </c>
      <c r="M52">
        <v>32</v>
      </c>
      <c r="N52">
        <v>1</v>
      </c>
      <c r="O52">
        <v>7</v>
      </c>
      <c r="P52">
        <v>1</v>
      </c>
      <c r="Q52" t="inlineStr">
        <is>
          <t>C</t>
        </is>
      </c>
    </row>
    <row r="53">
      <c r="A53" t="inlineStr">
        <is>
          <t>CREEDMOOR</t>
        </is>
      </c>
      <c r="B53" t="inlineStr">
        <is>
          <t>PVA MAIN ST</t>
        </is>
      </c>
      <c r="C53">
        <v>0.0</v>
      </c>
      <c r="E53" t="inlineStr">
        <is>
          <t>PVA MAIN ST</t>
        </is>
      </c>
      <c r="G53" t="inlineStr">
        <is>
          <t>SR 1127</t>
        </is>
      </c>
      <c r="H53">
        <v>5.073</v>
      </c>
      <c r="J53" s="604" t="inlineStr">
        <is>
          <t>NIS</t>
        </is>
      </c>
      <c r="K53">
        <v>105116773</v>
      </c>
      <c r="L53" s="2">
        <v>42804</v>
      </c>
      <c r="M53">
        <v>31</v>
      </c>
      <c r="N53">
        <v>1</v>
      </c>
      <c r="O53">
        <v>0</v>
      </c>
      <c r="P53">
        <v>1</v>
      </c>
      <c r="Q53" t="inlineStr">
        <is>
          <t>O</t>
        </is>
      </c>
    </row>
    <row r="54">
      <c r="A54" t="inlineStr">
        <is>
          <t>CREEDMOOR</t>
        </is>
      </c>
      <c r="B54" t="inlineStr">
        <is>
          <t>PVA FAMILY FARE</t>
        </is>
      </c>
      <c r="C54">
        <v>0.0</v>
      </c>
      <c r="E54" t="inlineStr">
        <is>
          <t>MAIN</t>
        </is>
      </c>
      <c r="F54" t="inlineStr">
        <is>
          <t>LION</t>
        </is>
      </c>
      <c r="H54">
        <v>999.999</v>
      </c>
      <c r="J54" s="604" t="inlineStr">
        <is>
          <t>NIS</t>
        </is>
      </c>
      <c r="K54">
        <v>105053293</v>
      </c>
      <c r="L54" s="2">
        <v>42812</v>
      </c>
      <c r="M54">
        <v>30</v>
      </c>
      <c r="N54">
        <v>1</v>
      </c>
      <c r="O54">
        <v>0</v>
      </c>
      <c r="P54">
        <v>4</v>
      </c>
      <c r="Q54" t="inlineStr">
        <is>
          <t>O</t>
        </is>
      </c>
    </row>
    <row r="55">
      <c r="A55" t="inlineStr">
        <is>
          <t>CREEDMOOR</t>
        </is>
      </c>
      <c r="B55" t="inlineStr">
        <is>
          <t>MAIN</t>
        </is>
      </c>
      <c r="C55">
        <v>0.0</v>
      </c>
      <c r="E55" t="inlineStr">
        <is>
          <t>HOLLY CREEK</t>
        </is>
      </c>
      <c r="F55" t="inlineStr">
        <is>
          <t>NC 56</t>
        </is>
      </c>
      <c r="G55" t="inlineStr">
        <is>
          <t>SR 1639</t>
        </is>
      </c>
      <c r="H55">
        <v>0.11</v>
      </c>
      <c r="J55" s="604" t="inlineStr">
        <is>
          <t>NIS</t>
        </is>
      </c>
      <c r="K55">
        <v>105053295</v>
      </c>
      <c r="L55" s="2">
        <v>42815</v>
      </c>
      <c r="M55">
        <v>17</v>
      </c>
      <c r="N55">
        <v>1</v>
      </c>
      <c r="O55">
        <v>0</v>
      </c>
      <c r="P55">
        <v>1</v>
      </c>
      <c r="Q55" t="inlineStr">
        <is>
          <t>O</t>
        </is>
      </c>
    </row>
    <row r="56">
      <c r="A56" t="inlineStr">
        <is>
          <t>RURAL</t>
        </is>
      </c>
      <c r="B56" t="inlineStr">
        <is>
          <t>SR 1522</t>
        </is>
      </c>
      <c r="C56">
        <v>0.2</v>
      </c>
      <c r="D56" t="inlineStr">
        <is>
          <t>E</t>
        </is>
      </c>
      <c r="E56" t="inlineStr">
        <is>
          <t>SR 1646</t>
        </is>
      </c>
      <c r="F56" t="inlineStr">
        <is>
          <t>SR 1523</t>
        </is>
      </c>
      <c r="G56" t="inlineStr">
        <is>
          <t>SR 1522</t>
        </is>
      </c>
      <c r="H56">
        <v>999.999</v>
      </c>
      <c r="J56" s="604" t="inlineStr">
        <is>
          <t>NIS</t>
        </is>
      </c>
      <c r="K56">
        <v>105058532</v>
      </c>
      <c r="L56" s="2">
        <v>42823</v>
      </c>
      <c r="M56">
        <v>21</v>
      </c>
      <c r="N56">
        <v>1</v>
      </c>
      <c r="O56">
        <v>0</v>
      </c>
      <c r="P56">
        <v>1</v>
      </c>
      <c r="Q56" t="inlineStr">
        <is>
          <t>C</t>
        </is>
      </c>
    </row>
    <row r="57">
      <c r="A57" t="inlineStr">
        <is>
          <t>OXFORD</t>
        </is>
      </c>
      <c r="B57" t="inlineStr">
        <is>
          <t>HILLSBORO</t>
        </is>
      </c>
      <c r="C57">
        <v>0.004</v>
      </c>
      <c r="D57" t="inlineStr">
        <is>
          <t>E</t>
        </is>
      </c>
      <c r="E57" t="inlineStr">
        <is>
          <t>SPRING</t>
        </is>
      </c>
      <c r="F57" t="inlineStr">
        <is>
          <t>LEWIS</t>
        </is>
      </c>
      <c r="G57" t="inlineStr">
        <is>
          <t>SR 1004</t>
        </is>
      </c>
      <c r="H57">
        <v>17.828</v>
      </c>
      <c r="J57" s="604" t="inlineStr">
        <is>
          <t>NIS</t>
        </is>
      </c>
      <c r="K57">
        <v>105070792</v>
      </c>
      <c r="L57" s="2">
        <v>42835</v>
      </c>
      <c r="M57">
        <v>1</v>
      </c>
      <c r="N57">
        <v>1</v>
      </c>
      <c r="O57">
        <v>0</v>
      </c>
      <c r="P57">
        <v>4</v>
      </c>
      <c r="Q57" t="inlineStr">
        <is>
          <t>O</t>
        </is>
      </c>
    </row>
    <row r="58">
      <c r="A58" t="inlineStr">
        <is>
          <t>CREEDMOOR</t>
        </is>
      </c>
      <c r="B58" t="inlineStr">
        <is>
          <t>WILTON</t>
        </is>
      </c>
      <c r="C58">
        <v>0.0</v>
      </c>
      <c r="D58" t="inlineStr">
        <is>
          <t>W</t>
        </is>
      </c>
      <c r="E58" t="inlineStr">
        <is>
          <t>MAIN</t>
        </is>
      </c>
      <c r="F58" t="inlineStr">
        <is>
          <t>CRESCENT</t>
        </is>
      </c>
      <c r="G58" t="inlineStr">
        <is>
          <t>NC 50</t>
        </is>
      </c>
      <c r="H58">
        <v>3.285</v>
      </c>
      <c r="J58" s="604" t="inlineStr">
        <is>
          <t>NIS</t>
        </is>
      </c>
      <c r="K58">
        <v>105071492</v>
      </c>
      <c r="L58" s="2">
        <v>42843</v>
      </c>
      <c r="M58">
        <v>21</v>
      </c>
      <c r="N58">
        <v>1</v>
      </c>
      <c r="O58">
        <v>0</v>
      </c>
      <c r="P58">
        <v>1</v>
      </c>
      <c r="Q58" t="inlineStr">
        <is>
          <t>O</t>
        </is>
      </c>
    </row>
    <row r="59">
      <c r="A59" t="inlineStr">
        <is>
          <t>CREEDMOOR</t>
        </is>
      </c>
      <c r="B59" t="inlineStr">
        <is>
          <t>PVA MAIN ST</t>
        </is>
      </c>
      <c r="C59">
        <v>0.0</v>
      </c>
      <c r="D59" t="inlineStr">
        <is>
          <t>S</t>
        </is>
      </c>
      <c r="E59" t="inlineStr">
        <is>
          <t>CHURCH</t>
        </is>
      </c>
      <c r="F59" t="inlineStr">
        <is>
          <t>LION</t>
        </is>
      </c>
      <c r="G59" t="inlineStr">
        <is>
          <t>NC 50</t>
        </is>
      </c>
      <c r="H59">
        <v>2.868</v>
      </c>
      <c r="J59" s="604" t="inlineStr">
        <is>
          <t>NIS</t>
        </is>
      </c>
      <c r="K59">
        <v>105071495</v>
      </c>
      <c r="L59" s="2">
        <v>42843</v>
      </c>
      <c r="M59">
        <v>31</v>
      </c>
      <c r="N59">
        <v>1</v>
      </c>
      <c r="O59">
        <v>4</v>
      </c>
      <c r="P59">
        <v>1</v>
      </c>
      <c r="Q59" t="inlineStr">
        <is>
          <t>O</t>
        </is>
      </c>
    </row>
    <row r="60">
      <c r="A60" t="inlineStr">
        <is>
          <t>OXFORD</t>
        </is>
      </c>
      <c r="B60" t="inlineStr">
        <is>
          <t>MARTIN LUTHER KING</t>
        </is>
      </c>
      <c r="C60">
        <v>0.0</v>
      </c>
      <c r="E60" t="inlineStr">
        <is>
          <t>SPRING</t>
        </is>
      </c>
      <c r="F60" t="inlineStr">
        <is>
          <t>HUNT</t>
        </is>
      </c>
      <c r="G60" t="inlineStr">
        <is>
          <t>NC 96</t>
        </is>
      </c>
      <c r="H60">
        <v>17.59</v>
      </c>
      <c r="J60" s="604" t="inlineStr">
        <is>
          <t>NIS</t>
        </is>
      </c>
      <c r="K60">
        <v>105076245</v>
      </c>
      <c r="L60" s="2">
        <v>42850</v>
      </c>
      <c r="M60">
        <v>30</v>
      </c>
      <c r="N60">
        <v>1</v>
      </c>
      <c r="O60">
        <v>7</v>
      </c>
      <c r="P60">
        <v>1</v>
      </c>
      <c r="Q60" t="inlineStr">
        <is>
          <t>O</t>
        </is>
      </c>
    </row>
    <row r="61">
      <c r="A61" t="inlineStr">
        <is>
          <t>OXFORD</t>
        </is>
      </c>
      <c r="B61" t="inlineStr">
        <is>
          <t>SPRING</t>
        </is>
      </c>
      <c r="C61">
        <v>0.0</v>
      </c>
      <c r="E61" t="inlineStr">
        <is>
          <t>LEWIS</t>
        </is>
      </c>
      <c r="F61" t="inlineStr">
        <is>
          <t>ORANGE</t>
        </is>
      </c>
      <c r="G61" t="inlineStr">
        <is>
          <t>SPRING</t>
        </is>
      </c>
      <c r="H61">
        <v>999.999</v>
      </c>
      <c r="J61" s="604" t="inlineStr">
        <is>
          <t>NIS</t>
        </is>
      </c>
      <c r="K61">
        <v>105077632</v>
      </c>
      <c r="L61" s="2">
        <v>42851</v>
      </c>
      <c r="M61">
        <v>24</v>
      </c>
      <c r="N61">
        <v>1</v>
      </c>
      <c r="O61">
        <v>7</v>
      </c>
      <c r="P61">
        <v>1</v>
      </c>
      <c r="Q61" t="inlineStr">
        <is>
          <t>C</t>
        </is>
      </c>
    </row>
    <row r="62">
      <c r="A62" t="inlineStr">
        <is>
          <t>OXFORD</t>
        </is>
      </c>
      <c r="B62" t="inlineStr">
        <is>
          <t>SPRING</t>
        </is>
      </c>
      <c r="C62">
        <v>0.0</v>
      </c>
      <c r="E62" t="inlineStr">
        <is>
          <t>GRANVILLE</t>
        </is>
      </c>
      <c r="F62" t="inlineStr">
        <is>
          <t>MARTIN LUTHER KING</t>
        </is>
      </c>
      <c r="G62" t="inlineStr">
        <is>
          <t>SPRING</t>
        </is>
      </c>
      <c r="H62">
        <v>0.09</v>
      </c>
      <c r="J62" s="604" t="inlineStr">
        <is>
          <t>NIS</t>
        </is>
      </c>
      <c r="K62">
        <v>105115267</v>
      </c>
      <c r="L62" s="2">
        <v>42852</v>
      </c>
      <c r="M62">
        <v>30</v>
      </c>
      <c r="N62">
        <v>1</v>
      </c>
      <c r="O62">
        <v>0</v>
      </c>
      <c r="P62">
        <v>1</v>
      </c>
      <c r="Q62" t="inlineStr">
        <is>
          <t>C</t>
        </is>
      </c>
    </row>
    <row r="63">
      <c r="A63" t="inlineStr">
        <is>
          <t>OXFORD</t>
        </is>
      </c>
      <c r="B63" t="inlineStr">
        <is>
          <t>WILLIAMSBORO</t>
        </is>
      </c>
      <c r="C63">
        <v>0.0</v>
      </c>
      <c r="E63" t="inlineStr">
        <is>
          <t>MAIN</t>
        </is>
      </c>
      <c r="F63" t="inlineStr">
        <is>
          <t>NEW COLLEGE</t>
        </is>
      </c>
      <c r="G63" t="inlineStr">
        <is>
          <t>US 158BUS</t>
        </is>
      </c>
      <c r="H63">
        <v>2.055</v>
      </c>
      <c r="J63" s="604" t="inlineStr">
        <is>
          <t>NIS</t>
        </is>
      </c>
      <c r="K63">
        <v>105164921</v>
      </c>
      <c r="L63" s="2">
        <v>42852</v>
      </c>
      <c r="M63">
        <v>21</v>
      </c>
      <c r="N63">
        <v>1</v>
      </c>
      <c r="O63">
        <v>0</v>
      </c>
      <c r="P63">
        <v>1</v>
      </c>
      <c r="Q63" t="inlineStr">
        <is>
          <t>O</t>
        </is>
      </c>
    </row>
    <row r="64">
      <c r="A64" t="inlineStr">
        <is>
          <t>OXFORD</t>
        </is>
      </c>
      <c r="B64" t="inlineStr">
        <is>
          <t>MAIN</t>
        </is>
      </c>
      <c r="C64">
        <v>0.0</v>
      </c>
      <c r="E64" t="inlineStr">
        <is>
          <t>MAIN</t>
        </is>
      </c>
      <c r="F64" t="inlineStr">
        <is>
          <t>SPRING</t>
        </is>
      </c>
      <c r="G64" t="inlineStr">
        <is>
          <t>SR 1127</t>
        </is>
      </c>
      <c r="H64">
        <v>5.073</v>
      </c>
      <c r="J64" s="604" t="inlineStr">
        <is>
          <t>NIS</t>
        </is>
      </c>
      <c r="K64">
        <v>105088904</v>
      </c>
      <c r="L64" s="2">
        <v>42861</v>
      </c>
      <c r="M64">
        <v>30</v>
      </c>
      <c r="N64">
        <v>1</v>
      </c>
      <c r="O64">
        <v>7</v>
      </c>
      <c r="P64">
        <v>1</v>
      </c>
      <c r="Q64" t="inlineStr">
        <is>
          <t>O</t>
        </is>
      </c>
    </row>
    <row r="65">
      <c r="A65" t="inlineStr">
        <is>
          <t>RURAL</t>
        </is>
      </c>
      <c r="B65" t="inlineStr">
        <is>
          <t>SR 1522</t>
        </is>
      </c>
      <c r="C65">
        <v>0.003</v>
      </c>
      <c r="D65" t="inlineStr">
        <is>
          <t>S</t>
        </is>
      </c>
      <c r="E65" t="inlineStr">
        <is>
          <t>US 158</t>
        </is>
      </c>
      <c r="F65" t="inlineStr">
        <is>
          <t>PVA EDGEWOOD DR</t>
        </is>
      </c>
      <c r="G65" t="inlineStr">
        <is>
          <t>SR 1522</t>
        </is>
      </c>
      <c r="H65">
        <v>0.879</v>
      </c>
      <c r="J65" s="604" t="inlineStr">
        <is>
          <t>NIS</t>
        </is>
      </c>
      <c r="K65">
        <v>105113138</v>
      </c>
      <c r="L65" s="2">
        <v>42873</v>
      </c>
      <c r="M65">
        <v>21</v>
      </c>
      <c r="N65">
        <v>1</v>
      </c>
      <c r="O65">
        <v>0</v>
      </c>
      <c r="P65">
        <v>1</v>
      </c>
      <c r="Q65" t="inlineStr">
        <is>
          <t>O</t>
        </is>
      </c>
    </row>
    <row r="66">
      <c r="A66" t="inlineStr">
        <is>
          <t>OXFORD</t>
        </is>
      </c>
      <c r="B66" t="inlineStr">
        <is>
          <t>MARTIN LUTHER KING</t>
        </is>
      </c>
      <c r="C66">
        <v>0.0</v>
      </c>
      <c r="E66" t="inlineStr">
        <is>
          <t>SPRING</t>
        </is>
      </c>
      <c r="F66" t="inlineStr">
        <is>
          <t>HILLSBORO</t>
        </is>
      </c>
      <c r="G66" t="inlineStr">
        <is>
          <t>NC 96</t>
        </is>
      </c>
      <c r="H66">
        <v>17.59</v>
      </c>
      <c r="J66" s="604" t="inlineStr">
        <is>
          <t>NIS</t>
        </is>
      </c>
      <c r="K66">
        <v>105115262</v>
      </c>
      <c r="L66" s="2">
        <v>42880</v>
      </c>
      <c r="M66">
        <v>24</v>
      </c>
      <c r="N66">
        <v>2</v>
      </c>
      <c r="O66">
        <v>0</v>
      </c>
      <c r="P66">
        <v>1</v>
      </c>
      <c r="Q66" t="inlineStr">
        <is>
          <t>O</t>
        </is>
      </c>
    </row>
    <row r="67">
      <c r="A67" t="inlineStr">
        <is>
          <t>RURAL</t>
        </is>
      </c>
      <c r="B67" t="inlineStr">
        <is>
          <t>SR 1522</t>
        </is>
      </c>
      <c r="C67">
        <v>0.2</v>
      </c>
      <c r="D67" t="inlineStr">
        <is>
          <t>E</t>
        </is>
      </c>
      <c r="E67" t="inlineStr">
        <is>
          <t>SR 1662</t>
        </is>
      </c>
      <c r="F67" t="inlineStr">
        <is>
          <t>CL-VANCE</t>
        </is>
      </c>
      <c r="G67" t="inlineStr">
        <is>
          <t>SR 1522</t>
        </is>
      </c>
      <c r="H67">
        <v>999.999</v>
      </c>
      <c r="J67" s="604" t="inlineStr">
        <is>
          <t>NIS</t>
        </is>
      </c>
      <c r="K67">
        <v>105123982</v>
      </c>
      <c r="L67" s="2">
        <v>42888</v>
      </c>
      <c r="M67">
        <v>23</v>
      </c>
      <c r="N67">
        <v>1</v>
      </c>
      <c r="O67">
        <v>5</v>
      </c>
      <c r="P67">
        <v>1</v>
      </c>
      <c r="Q67" t="inlineStr">
        <is>
          <t>C</t>
        </is>
      </c>
    </row>
    <row r="68">
      <c r="A68" t="inlineStr">
        <is>
          <t>RURAL</t>
        </is>
      </c>
      <c r="B68" t="inlineStr">
        <is>
          <t>US 158</t>
        </is>
      </c>
      <c r="C68">
        <v>0.0</v>
      </c>
      <c r="E68" t="inlineStr">
        <is>
          <t>SR 1522</t>
        </is>
      </c>
      <c r="F68" t="inlineStr">
        <is>
          <t>PVA EDGEWOOD DR</t>
        </is>
      </c>
      <c r="G68" t="inlineStr">
        <is>
          <t>US 158</t>
        </is>
      </c>
      <c r="H68">
        <v>14.055</v>
      </c>
      <c r="J68" s="604" t="inlineStr">
        <is>
          <t>NIS</t>
        </is>
      </c>
      <c r="K68">
        <v>105142851</v>
      </c>
      <c r="L68" s="2">
        <v>42892</v>
      </c>
      <c r="M68">
        <v>24</v>
      </c>
      <c r="N68">
        <v>1</v>
      </c>
      <c r="O68">
        <v>4</v>
      </c>
      <c r="P68">
        <v>1</v>
      </c>
      <c r="Q68" t="inlineStr">
        <is>
          <t>B</t>
        </is>
      </c>
    </row>
    <row r="69">
      <c r="A69" t="inlineStr">
        <is>
          <t>OXFORD</t>
        </is>
      </c>
      <c r="B69" t="inlineStr">
        <is>
          <t>MAIN</t>
        </is>
      </c>
      <c r="C69">
        <v>0.0</v>
      </c>
      <c r="E69" t="inlineStr">
        <is>
          <t>MAIN</t>
        </is>
      </c>
      <c r="F69" t="inlineStr">
        <is>
          <t>WILLIAMSBORO</t>
        </is>
      </c>
      <c r="G69" t="inlineStr">
        <is>
          <t>SR 1127</t>
        </is>
      </c>
      <c r="H69">
        <v>5.073</v>
      </c>
      <c r="J69" s="604" t="inlineStr">
        <is>
          <t>NIS</t>
        </is>
      </c>
      <c r="K69">
        <v>105135600</v>
      </c>
      <c r="L69" s="2">
        <v>42898</v>
      </c>
      <c r="M69">
        <v>22</v>
      </c>
      <c r="N69">
        <v>1</v>
      </c>
      <c r="O69">
        <v>0</v>
      </c>
      <c r="P69">
        <v>1</v>
      </c>
      <c r="Q69" t="inlineStr">
        <is>
          <t>O</t>
        </is>
      </c>
    </row>
    <row r="70">
      <c r="A70" t="inlineStr">
        <is>
          <t>RURAL</t>
        </is>
      </c>
      <c r="B70" t="inlineStr">
        <is>
          <t>SR 1522</t>
        </is>
      </c>
      <c r="C70">
        <v>0.014</v>
      </c>
      <c r="D70" t="inlineStr">
        <is>
          <t>N</t>
        </is>
      </c>
      <c r="E70" t="inlineStr">
        <is>
          <t>US 158</t>
        </is>
      </c>
      <c r="F70" t="inlineStr">
        <is>
          <t>SR 1515</t>
        </is>
      </c>
      <c r="G70" t="inlineStr">
        <is>
          <t>SR 1522</t>
        </is>
      </c>
      <c r="H70">
        <v>0.896</v>
      </c>
      <c r="J70" s="604" t="inlineStr">
        <is>
          <t>NIS</t>
        </is>
      </c>
      <c r="K70">
        <v>105142894</v>
      </c>
      <c r="L70" s="2">
        <v>42910</v>
      </c>
      <c r="M70">
        <v>21</v>
      </c>
      <c r="N70">
        <v>1</v>
      </c>
      <c r="O70">
        <v>0</v>
      </c>
      <c r="P70">
        <v>1</v>
      </c>
      <c r="Q70" t="inlineStr">
        <is>
          <t>O</t>
        </is>
      </c>
    </row>
    <row r="71">
      <c r="A71" t="inlineStr">
        <is>
          <t>RURAL</t>
        </is>
      </c>
      <c r="B71" t="inlineStr">
        <is>
          <t>SR 1004</t>
        </is>
      </c>
      <c r="C71">
        <v>0.0</v>
      </c>
      <c r="E71" t="inlineStr">
        <is>
          <t>MAIN</t>
        </is>
      </c>
      <c r="F71" t="inlineStr">
        <is>
          <t>SUNSET</t>
        </is>
      </c>
      <c r="G71" t="inlineStr">
        <is>
          <t>SR 1004</t>
        </is>
      </c>
      <c r="H71">
        <v>6.604</v>
      </c>
      <c r="J71" s="604" t="inlineStr">
        <is>
          <t>NIS</t>
        </is>
      </c>
      <c r="K71">
        <v>105147018</v>
      </c>
      <c r="L71" s="2">
        <v>42915</v>
      </c>
      <c r="M71">
        <v>19</v>
      </c>
      <c r="N71">
        <v>1</v>
      </c>
      <c r="O71">
        <v>8</v>
      </c>
      <c r="P71">
        <v>1</v>
      </c>
      <c r="Q71" t="inlineStr">
        <is>
          <t>O</t>
        </is>
      </c>
    </row>
    <row r="72">
      <c r="A72" t="inlineStr">
        <is>
          <t>CREEDMOOR</t>
        </is>
      </c>
      <c r="B72" t="inlineStr">
        <is>
          <t>MAIN</t>
        </is>
      </c>
      <c r="C72">
        <v>0.0</v>
      </c>
      <c r="D72" t="inlineStr">
        <is>
          <t>S</t>
        </is>
      </c>
      <c r="E72" t="inlineStr">
        <is>
          <t>MASONIC</t>
        </is>
      </c>
      <c r="F72" t="inlineStr">
        <is>
          <t>ROGER</t>
        </is>
      </c>
      <c r="G72" t="inlineStr">
        <is>
          <t>NC 50</t>
        </is>
      </c>
      <c r="H72">
        <v>2.996</v>
      </c>
      <c r="J72" s="604" t="inlineStr">
        <is>
          <t>NIS</t>
        </is>
      </c>
      <c r="K72">
        <v>105156577</v>
      </c>
      <c r="L72" s="2">
        <v>42926</v>
      </c>
      <c r="M72">
        <v>30</v>
      </c>
      <c r="N72">
        <v>1</v>
      </c>
      <c r="O72">
        <v>0</v>
      </c>
      <c r="P72">
        <v>1</v>
      </c>
      <c r="Q72" t="inlineStr">
        <is>
          <t>C</t>
        </is>
      </c>
    </row>
    <row r="73">
      <c r="A73" t="inlineStr">
        <is>
          <t>OXFORD</t>
        </is>
      </c>
      <c r="B73" t="inlineStr">
        <is>
          <t>LEWIS</t>
        </is>
      </c>
      <c r="C73">
        <v>0.0</v>
      </c>
      <c r="E73" t="inlineStr">
        <is>
          <t>SPRING</t>
        </is>
      </c>
      <c r="F73" t="inlineStr">
        <is>
          <t>ORANGE</t>
        </is>
      </c>
      <c r="G73" t="inlineStr">
        <is>
          <t>US 15</t>
        </is>
      </c>
      <c r="H73">
        <v>20.498</v>
      </c>
      <c r="J73" s="604" t="inlineStr">
        <is>
          <t>NIS</t>
        </is>
      </c>
      <c r="K73">
        <v>105180482</v>
      </c>
      <c r="L73" s="2">
        <v>42953</v>
      </c>
      <c r="M73">
        <v>30</v>
      </c>
      <c r="N73">
        <v>1</v>
      </c>
      <c r="O73">
        <v>7</v>
      </c>
      <c r="P73">
        <v>5</v>
      </c>
      <c r="Q73" t="inlineStr">
        <is>
          <t>O</t>
        </is>
      </c>
    </row>
    <row r="74">
      <c r="A74" t="inlineStr">
        <is>
          <t>CREEDMOOR</t>
        </is>
      </c>
      <c r="B74" t="inlineStr">
        <is>
          <t>MAIN</t>
        </is>
      </c>
      <c r="C74">
        <v>0.019</v>
      </c>
      <c r="D74" t="inlineStr">
        <is>
          <t>S</t>
        </is>
      </c>
      <c r="E74" t="inlineStr">
        <is>
          <t>MILL</t>
        </is>
      </c>
      <c r="F74" t="inlineStr">
        <is>
          <t>PARK</t>
        </is>
      </c>
      <c r="G74" t="inlineStr">
        <is>
          <t>NC 50</t>
        </is>
      </c>
      <c r="H74">
        <v>2.997</v>
      </c>
      <c r="J74" s="604" t="inlineStr">
        <is>
          <t>NIS</t>
        </is>
      </c>
      <c r="K74">
        <v>105185581</v>
      </c>
      <c r="L74" s="2">
        <v>42953</v>
      </c>
      <c r="M74">
        <v>28</v>
      </c>
      <c r="N74">
        <v>1</v>
      </c>
      <c r="O74">
        <v>0</v>
      </c>
      <c r="P74">
        <v>4</v>
      </c>
      <c r="Q74" t="inlineStr">
        <is>
          <t>O</t>
        </is>
      </c>
    </row>
    <row r="75">
      <c r="A75" t="inlineStr">
        <is>
          <t>CREEDMOOR</t>
        </is>
      </c>
      <c r="B75" t="inlineStr">
        <is>
          <t>MAIN</t>
        </is>
      </c>
      <c r="C75">
        <v>0.0</v>
      </c>
      <c r="E75" t="inlineStr">
        <is>
          <t>CHURCH</t>
        </is>
      </c>
      <c r="F75" t="inlineStr">
        <is>
          <t>ROGER</t>
        </is>
      </c>
      <c r="G75" t="inlineStr">
        <is>
          <t>NC 50</t>
        </is>
      </c>
      <c r="H75">
        <v>2.868</v>
      </c>
      <c r="J75" s="604" t="inlineStr">
        <is>
          <t>NIS</t>
        </is>
      </c>
      <c r="K75">
        <v>105507729</v>
      </c>
      <c r="L75" s="2">
        <v>42965</v>
      </c>
      <c r="M75">
        <v>30</v>
      </c>
      <c r="N75">
        <v>1</v>
      </c>
      <c r="O75">
        <v>7</v>
      </c>
      <c r="P75">
        <v>1</v>
      </c>
      <c r="Q75" t="inlineStr">
        <is>
          <t>O</t>
        </is>
      </c>
    </row>
    <row r="76">
      <c r="A76" t="inlineStr">
        <is>
          <t>CREEDMOOR</t>
        </is>
      </c>
      <c r="B76" t="inlineStr">
        <is>
          <t>MAIN</t>
        </is>
      </c>
      <c r="C76">
        <v>0.007</v>
      </c>
      <c r="D76" t="inlineStr">
        <is>
          <t>N</t>
        </is>
      </c>
      <c r="E76" t="inlineStr">
        <is>
          <t>MILL</t>
        </is>
      </c>
      <c r="F76" t="inlineStr">
        <is>
          <t>MASONIC</t>
        </is>
      </c>
      <c r="G76" t="inlineStr">
        <is>
          <t>NC 50</t>
        </is>
      </c>
      <c r="H76">
        <v>3.023</v>
      </c>
      <c r="J76" s="604" t="inlineStr">
        <is>
          <t>NIS</t>
        </is>
      </c>
      <c r="K76">
        <v>105199106</v>
      </c>
      <c r="L76" s="2">
        <v>42969</v>
      </c>
      <c r="M76">
        <v>32</v>
      </c>
      <c r="N76">
        <v>1</v>
      </c>
      <c r="O76">
        <v>0</v>
      </c>
      <c r="P76">
        <v>1</v>
      </c>
      <c r="Q76" t="inlineStr">
        <is>
          <t>O</t>
        </is>
      </c>
    </row>
    <row r="77">
      <c r="A77" t="inlineStr">
        <is>
          <t>RURAL</t>
        </is>
      </c>
      <c r="B77" t="inlineStr">
        <is>
          <t>SR 1522</t>
        </is>
      </c>
      <c r="C77">
        <v>0.1</v>
      </c>
      <c r="D77" t="inlineStr">
        <is>
          <t>S</t>
        </is>
      </c>
      <c r="E77" t="inlineStr">
        <is>
          <t>US 158</t>
        </is>
      </c>
      <c r="F77" t="inlineStr">
        <is>
          <t>WILLIAMSBORO</t>
        </is>
      </c>
      <c r="G77" t="inlineStr">
        <is>
          <t>SR 1522</t>
        </is>
      </c>
      <c r="H77">
        <v>0.782</v>
      </c>
      <c r="J77" s="604" t="inlineStr">
        <is>
          <t>NIS</t>
        </is>
      </c>
      <c r="K77">
        <v>105206557</v>
      </c>
      <c r="L77" s="2">
        <v>42977</v>
      </c>
      <c r="M77">
        <v>27</v>
      </c>
      <c r="N77">
        <v>1</v>
      </c>
      <c r="O77">
        <v>0</v>
      </c>
      <c r="P77">
        <v>1</v>
      </c>
      <c r="Q77" t="inlineStr">
        <is>
          <t>B</t>
        </is>
      </c>
    </row>
    <row r="78">
      <c r="A78" t="inlineStr">
        <is>
          <t>RURAL</t>
        </is>
      </c>
      <c r="B78" t="inlineStr">
        <is>
          <t>SR 1522</t>
        </is>
      </c>
      <c r="C78">
        <v>0.5</v>
      </c>
      <c r="D78" t="inlineStr">
        <is>
          <t>NE</t>
        </is>
      </c>
      <c r="E78" t="inlineStr">
        <is>
          <t>SR 1523</t>
        </is>
      </c>
      <c r="F78" t="inlineStr">
        <is>
          <t>SR 1521</t>
        </is>
      </c>
      <c r="G78" t="inlineStr">
        <is>
          <t>SR 1522</t>
        </is>
      </c>
      <c r="H78">
        <v>2.413</v>
      </c>
      <c r="J78" s="604" t="inlineStr">
        <is>
          <t>NIS</t>
        </is>
      </c>
      <c r="K78">
        <v>105210501</v>
      </c>
      <c r="L78" s="2">
        <v>42979</v>
      </c>
      <c r="M78">
        <v>19</v>
      </c>
      <c r="N78">
        <v>2</v>
      </c>
      <c r="O78">
        <v>5</v>
      </c>
      <c r="P78">
        <v>2</v>
      </c>
      <c r="Q78" t="inlineStr">
        <is>
          <t>C</t>
        </is>
      </c>
    </row>
    <row r="79">
      <c r="A79" t="inlineStr">
        <is>
          <t>RURAL</t>
        </is>
      </c>
      <c r="B79" t="inlineStr">
        <is>
          <t>SR 1522</t>
        </is>
      </c>
      <c r="C79">
        <v>0.0</v>
      </c>
      <c r="E79" t="inlineStr">
        <is>
          <t>US 158</t>
        </is>
      </c>
      <c r="F79" t="inlineStr">
        <is>
          <t>SR 1515</t>
        </is>
      </c>
      <c r="G79" t="inlineStr">
        <is>
          <t>SR 1522</t>
        </is>
      </c>
      <c r="H79">
        <v>0.882</v>
      </c>
      <c r="J79" s="604" t="inlineStr">
        <is>
          <t>NIS</t>
        </is>
      </c>
      <c r="K79">
        <v>105227631</v>
      </c>
      <c r="L79" s="2">
        <v>42995</v>
      </c>
      <c r="M79">
        <v>30</v>
      </c>
      <c r="N79">
        <v>1</v>
      </c>
      <c r="O79">
        <v>7</v>
      </c>
      <c r="P79">
        <v>1</v>
      </c>
      <c r="Q79" t="inlineStr">
        <is>
          <t>O</t>
        </is>
      </c>
    </row>
    <row r="80">
      <c r="A80" t="inlineStr">
        <is>
          <t>CREEDMOOR</t>
        </is>
      </c>
      <c r="B80" t="inlineStr">
        <is>
          <t>PVA MAIN ST</t>
        </is>
      </c>
      <c r="C80">
        <v>0.0</v>
      </c>
      <c r="E80" t="inlineStr">
        <is>
          <t>PVA FBC ACADEMY</t>
        </is>
      </c>
      <c r="H80">
        <v>999.999</v>
      </c>
      <c r="J80" s="604" t="inlineStr">
        <is>
          <t>NIS</t>
        </is>
      </c>
      <c r="K80">
        <v>105230066</v>
      </c>
      <c r="L80" s="2">
        <v>42998</v>
      </c>
      <c r="M80">
        <v>20</v>
      </c>
      <c r="N80">
        <v>1</v>
      </c>
      <c r="O80">
        <v>0</v>
      </c>
      <c r="P80">
        <v>1</v>
      </c>
      <c r="Q80" t="inlineStr">
        <is>
          <t>O</t>
        </is>
      </c>
    </row>
    <row r="81">
      <c r="A81" t="inlineStr">
        <is>
          <t>CREEDMOOR</t>
        </is>
      </c>
      <c r="B81" t="inlineStr">
        <is>
          <t>MAIN</t>
        </is>
      </c>
      <c r="C81">
        <v>0.0</v>
      </c>
      <c r="E81" t="inlineStr">
        <is>
          <t>WILTON</t>
        </is>
      </c>
      <c r="F81" t="inlineStr">
        <is>
          <t>PARK</t>
        </is>
      </c>
      <c r="G81" t="inlineStr">
        <is>
          <t>NC 50</t>
        </is>
      </c>
      <c r="H81">
        <v>3.285</v>
      </c>
      <c r="J81" s="604" t="inlineStr">
        <is>
          <t>NIS</t>
        </is>
      </c>
      <c r="K81">
        <v>105230312</v>
      </c>
      <c r="L81" s="2">
        <v>43003</v>
      </c>
      <c r="M81">
        <v>21</v>
      </c>
      <c r="N81">
        <v>1</v>
      </c>
      <c r="O81">
        <v>0</v>
      </c>
      <c r="P81">
        <v>1</v>
      </c>
      <c r="Q81" t="inlineStr">
        <is>
          <t>O</t>
        </is>
      </c>
    </row>
    <row r="82">
      <c r="A82" t="inlineStr">
        <is>
          <t>CREEDMOOR</t>
        </is>
      </c>
      <c r="B82" t="inlineStr">
        <is>
          <t>PVA FAMILY FARE</t>
        </is>
      </c>
      <c r="C82">
        <v>0.0</v>
      </c>
      <c r="E82" t="inlineStr">
        <is>
          <t>MAIN</t>
        </is>
      </c>
      <c r="F82" t="inlineStr">
        <is>
          <t>LION</t>
        </is>
      </c>
      <c r="H82">
        <v>999.999</v>
      </c>
      <c r="J82" s="604" t="inlineStr">
        <is>
          <t>NIS</t>
        </is>
      </c>
      <c r="K82">
        <v>105250200</v>
      </c>
      <c r="L82" s="2">
        <v>43014</v>
      </c>
      <c r="M82">
        <v>31</v>
      </c>
      <c r="N82">
        <v>1</v>
      </c>
      <c r="O82">
        <v>0</v>
      </c>
      <c r="P82">
        <v>1</v>
      </c>
      <c r="Q82" t="inlineStr">
        <is>
          <t>O</t>
        </is>
      </c>
    </row>
    <row r="83">
      <c r="A83" t="inlineStr">
        <is>
          <t>OXFORD</t>
        </is>
      </c>
      <c r="B83" t="inlineStr">
        <is>
          <t>WILLIAMSBORO</t>
        </is>
      </c>
      <c r="C83">
        <v>0.0</v>
      </c>
      <c r="D83" t="inlineStr">
        <is>
          <t>W</t>
        </is>
      </c>
      <c r="E83" t="inlineStr">
        <is>
          <t>MAIN</t>
        </is>
      </c>
      <c r="F83" t="inlineStr">
        <is>
          <t>SPRING</t>
        </is>
      </c>
      <c r="G83" t="inlineStr">
        <is>
          <t>US 158BUS</t>
        </is>
      </c>
      <c r="H83">
        <v>2.055</v>
      </c>
      <c r="J83" s="604" t="inlineStr">
        <is>
          <t>NIS</t>
        </is>
      </c>
      <c r="K83">
        <v>105247665</v>
      </c>
      <c r="L83" s="2">
        <v>43018</v>
      </c>
      <c r="M83">
        <v>23</v>
      </c>
      <c r="N83">
        <v>1</v>
      </c>
      <c r="O83">
        <v>7</v>
      </c>
      <c r="P83">
        <v>1</v>
      </c>
      <c r="Q83" t="inlineStr">
        <is>
          <t>O</t>
        </is>
      </c>
    </row>
    <row r="84">
      <c r="A84" t="inlineStr">
        <is>
          <t>CREEDMOOR</t>
        </is>
      </c>
      <c r="B84" t="inlineStr">
        <is>
          <t>PVA DOLLAR GENERAL PVA</t>
        </is>
      </c>
      <c r="C84">
        <v>0.006</v>
      </c>
      <c r="D84" t="inlineStr">
        <is>
          <t>W</t>
        </is>
      </c>
      <c r="E84" t="inlineStr">
        <is>
          <t>MAIN</t>
        </is>
      </c>
      <c r="F84" t="inlineStr">
        <is>
          <t>CHURCH</t>
        </is>
      </c>
      <c r="H84">
        <v>999.999</v>
      </c>
      <c r="J84" s="604" t="inlineStr">
        <is>
          <t>NIS</t>
        </is>
      </c>
      <c r="K84">
        <v>105984303</v>
      </c>
      <c r="L84" s="2">
        <v>43018</v>
      </c>
      <c r="M84">
        <v>31</v>
      </c>
      <c r="N84">
        <v>1</v>
      </c>
      <c r="O84">
        <v>0</v>
      </c>
      <c r="P84">
        <v>1</v>
      </c>
      <c r="Q84" t="inlineStr">
        <is>
          <t>O</t>
        </is>
      </c>
    </row>
    <row r="85">
      <c r="A85" t="inlineStr">
        <is>
          <t>CREEDMOOR</t>
        </is>
      </c>
      <c r="B85" t="inlineStr">
        <is>
          <t>PVA MAIN STREET</t>
        </is>
      </c>
      <c r="C85">
        <v>0.0</v>
      </c>
      <c r="D85" t="inlineStr">
        <is>
          <t>W</t>
        </is>
      </c>
      <c r="E85" t="inlineStr">
        <is>
          <t>LAKE</t>
        </is>
      </c>
      <c r="F85" t="inlineStr">
        <is>
          <t>FLEMING</t>
        </is>
      </c>
      <c r="G85" t="inlineStr">
        <is>
          <t>NC 50</t>
        </is>
      </c>
      <c r="H85">
        <v>3.206</v>
      </c>
      <c r="J85" s="604" t="inlineStr">
        <is>
          <t>NIS</t>
        </is>
      </c>
      <c r="K85">
        <v>105251330</v>
      </c>
      <c r="L85" s="2">
        <v>43020</v>
      </c>
      <c r="M85">
        <v>31</v>
      </c>
      <c r="N85">
        <v>1</v>
      </c>
      <c r="O85">
        <v>4</v>
      </c>
      <c r="P85">
        <v>1</v>
      </c>
      <c r="Q85" t="inlineStr">
        <is>
          <t>O</t>
        </is>
      </c>
    </row>
    <row r="86">
      <c r="A86" t="inlineStr">
        <is>
          <t>CREEDMOOR</t>
        </is>
      </c>
      <c r="B86" t="inlineStr">
        <is>
          <t>MAIN</t>
        </is>
      </c>
      <c r="C86">
        <v>0.0</v>
      </c>
      <c r="D86" t="inlineStr">
        <is>
          <t>W</t>
        </is>
      </c>
      <c r="E86" t="inlineStr">
        <is>
          <t>DOGWOOD</t>
        </is>
      </c>
      <c r="F86" t="inlineStr">
        <is>
          <t>*LCL E LYON STREET</t>
        </is>
      </c>
      <c r="G86" t="inlineStr">
        <is>
          <t>NC 50</t>
        </is>
      </c>
      <c r="H86">
        <v>2.6</v>
      </c>
      <c r="J86" s="604" t="inlineStr">
        <is>
          <t>NIS</t>
        </is>
      </c>
      <c r="K86">
        <v>105251331</v>
      </c>
      <c r="L86" s="2">
        <v>43020</v>
      </c>
      <c r="M86">
        <v>21</v>
      </c>
      <c r="N86">
        <v>1</v>
      </c>
      <c r="O86">
        <v>0</v>
      </c>
      <c r="P86">
        <v>4</v>
      </c>
      <c r="Q86" t="inlineStr">
        <is>
          <t>O</t>
        </is>
      </c>
    </row>
    <row r="87">
      <c r="A87" t="inlineStr">
        <is>
          <t>CREEDMOOR</t>
        </is>
      </c>
      <c r="B87" t="inlineStr">
        <is>
          <t>MAIN</t>
        </is>
      </c>
      <c r="C87">
        <v>0.057</v>
      </c>
      <c r="D87" t="inlineStr">
        <is>
          <t>N</t>
        </is>
      </c>
      <c r="E87" t="inlineStr">
        <is>
          <t>DURHAM</t>
        </is>
      </c>
      <c r="F87" t="inlineStr">
        <is>
          <t>MAIN</t>
        </is>
      </c>
      <c r="G87" t="inlineStr">
        <is>
          <t>SR 1639</t>
        </is>
      </c>
      <c r="H87">
        <v>0.535</v>
      </c>
      <c r="J87" s="604" t="inlineStr">
        <is>
          <t>NIS</t>
        </is>
      </c>
      <c r="K87">
        <v>105269639</v>
      </c>
      <c r="L87" s="2">
        <v>43035</v>
      </c>
      <c r="M87">
        <v>21</v>
      </c>
      <c r="N87">
        <v>1</v>
      </c>
      <c r="O87">
        <v>0</v>
      </c>
      <c r="P87">
        <v>1</v>
      </c>
      <c r="Q87" t="inlineStr">
        <is>
          <t>O</t>
        </is>
      </c>
    </row>
    <row r="88">
      <c r="A88" t="inlineStr">
        <is>
          <t>CREEDMOOR</t>
        </is>
      </c>
      <c r="B88" t="inlineStr">
        <is>
          <t>MAIN</t>
        </is>
      </c>
      <c r="C88">
        <v>0.0</v>
      </c>
      <c r="E88" t="inlineStr">
        <is>
          <t>MILL</t>
        </is>
      </c>
      <c r="G88" t="inlineStr">
        <is>
          <t>NC 50</t>
        </is>
      </c>
      <c r="H88">
        <v>3.016</v>
      </c>
      <c r="J88" s="604" t="inlineStr">
        <is>
          <t>NIS</t>
        </is>
      </c>
      <c r="K88">
        <v>105285187</v>
      </c>
      <c r="L88" s="2">
        <v>43049</v>
      </c>
      <c r="M88">
        <v>28</v>
      </c>
      <c r="N88">
        <v>1</v>
      </c>
      <c r="O88">
        <v>0</v>
      </c>
      <c r="P88">
        <v>2</v>
      </c>
      <c r="Q88" t="inlineStr">
        <is>
          <t>O</t>
        </is>
      </c>
    </row>
    <row r="89">
      <c r="A89" t="inlineStr">
        <is>
          <t>OXFORD</t>
        </is>
      </c>
      <c r="B89" t="inlineStr">
        <is>
          <t>SPRING</t>
        </is>
      </c>
      <c r="C89">
        <v>0.0</v>
      </c>
      <c r="E89" t="inlineStr">
        <is>
          <t>ORANGE</t>
        </is>
      </c>
      <c r="F89" t="inlineStr">
        <is>
          <t>ORANGE</t>
        </is>
      </c>
      <c r="G89" t="inlineStr">
        <is>
          <t>SPRING</t>
        </is>
      </c>
      <c r="H89">
        <v>999.999</v>
      </c>
      <c r="J89" s="604" t="inlineStr">
        <is>
          <t>NIS</t>
        </is>
      </c>
      <c r="K89">
        <v>105297726</v>
      </c>
      <c r="L89" s="2">
        <v>43063</v>
      </c>
      <c r="M89">
        <v>30</v>
      </c>
      <c r="N89">
        <v>1</v>
      </c>
      <c r="O89">
        <v>0</v>
      </c>
      <c r="P89">
        <v>1</v>
      </c>
      <c r="Q89" t="inlineStr">
        <is>
          <t>A</t>
        </is>
      </c>
      <c r="R89">
        <v>36.308058</v>
      </c>
      <c r="S89">
        <v>-78.592677</v>
      </c>
      <c r="T89" t="inlineStr">
        <is>
          <t>ITRE_SEVEREINJURY</t>
        </is>
      </c>
      <c r="V89">
        <v>0.3274226257464975</v>
      </c>
    </row>
    <row r="90">
      <c r="A90" t="inlineStr">
        <is>
          <t>OXFORD</t>
        </is>
      </c>
      <c r="B90" t="inlineStr">
        <is>
          <t>PVA LIBRARY PVA</t>
        </is>
      </c>
      <c r="C90">
        <v>0.0</v>
      </c>
      <c r="E90" t="inlineStr">
        <is>
          <t>SPRING</t>
        </is>
      </c>
      <c r="F90" t="inlineStr">
        <is>
          <t>SPRING</t>
        </is>
      </c>
      <c r="H90">
        <v>999.999</v>
      </c>
      <c r="J90" s="604" t="inlineStr">
        <is>
          <t>NIS</t>
        </is>
      </c>
      <c r="K90">
        <v>105310344</v>
      </c>
      <c r="L90" s="2">
        <v>43068</v>
      </c>
      <c r="M90">
        <v>18</v>
      </c>
      <c r="N90">
        <v>1</v>
      </c>
      <c r="O90">
        <v>0</v>
      </c>
      <c r="P90">
        <v>1</v>
      </c>
      <c r="Q90" t="inlineStr">
        <is>
          <t>O</t>
        </is>
      </c>
    </row>
    <row r="91">
      <c r="A91" t="inlineStr">
        <is>
          <t>CREEDMOOR</t>
        </is>
      </c>
      <c r="B91" t="inlineStr">
        <is>
          <t>MAIN</t>
        </is>
      </c>
      <c r="C91">
        <v>0.023</v>
      </c>
      <c r="D91" t="inlineStr">
        <is>
          <t>N</t>
        </is>
      </c>
      <c r="E91" t="inlineStr">
        <is>
          <t>LION</t>
        </is>
      </c>
      <c r="F91" t="inlineStr">
        <is>
          <t>*LCL W SANDERFORD ST</t>
        </is>
      </c>
      <c r="G91" t="inlineStr">
        <is>
          <t>NC 50</t>
        </is>
      </c>
      <c r="H91">
        <v>2.96</v>
      </c>
      <c r="J91" s="604" t="inlineStr">
        <is>
          <t>NIS</t>
        </is>
      </c>
      <c r="K91">
        <v>105317302</v>
      </c>
      <c r="L91" s="2">
        <v>43074</v>
      </c>
      <c r="M91">
        <v>28</v>
      </c>
      <c r="N91">
        <v>1</v>
      </c>
      <c r="O91">
        <v>0</v>
      </c>
      <c r="P91">
        <v>1</v>
      </c>
    </row>
    <row r="92">
      <c r="A92" t="inlineStr">
        <is>
          <t>OXFORD</t>
        </is>
      </c>
      <c r="B92" t="inlineStr">
        <is>
          <t>SALEM</t>
        </is>
      </c>
      <c r="C92">
        <v>0.0</v>
      </c>
      <c r="D92" t="inlineStr">
        <is>
          <t>W</t>
        </is>
      </c>
      <c r="E92" t="inlineStr">
        <is>
          <t>HORNER SIDING</t>
        </is>
      </c>
      <c r="F92" t="inlineStr">
        <is>
          <t>LANDIS</t>
        </is>
      </c>
      <c r="G92" t="inlineStr">
        <is>
          <t>SR 1515</t>
        </is>
      </c>
      <c r="H92">
        <v>10.078</v>
      </c>
      <c r="J92" s="604" t="inlineStr">
        <is>
          <t>NIS</t>
        </is>
      </c>
      <c r="K92">
        <v>105319066</v>
      </c>
      <c r="L92" s="2">
        <v>43082</v>
      </c>
      <c r="M92">
        <v>17</v>
      </c>
      <c r="N92">
        <v>1</v>
      </c>
      <c r="O92">
        <v>0</v>
      </c>
      <c r="P92">
        <v>4</v>
      </c>
      <c r="Q92" t="inlineStr">
        <is>
          <t>O</t>
        </is>
      </c>
    </row>
    <row r="93">
      <c r="A93" t="inlineStr">
        <is>
          <t>CREEDMOOR</t>
        </is>
      </c>
      <c r="B93" t="inlineStr">
        <is>
          <t>MAIN</t>
        </is>
      </c>
      <c r="C93">
        <v>0.038</v>
      </c>
      <c r="D93" t="inlineStr">
        <is>
          <t>S</t>
        </is>
      </c>
      <c r="E93" t="inlineStr">
        <is>
          <t>FLEMING</t>
        </is>
      </c>
      <c r="F93" t="inlineStr">
        <is>
          <t>MILL</t>
        </is>
      </c>
      <c r="G93" t="inlineStr">
        <is>
          <t>NC 50</t>
        </is>
      </c>
      <c r="H93">
        <v>3.088</v>
      </c>
      <c r="J93" s="604" t="inlineStr">
        <is>
          <t>NIS</t>
        </is>
      </c>
      <c r="K93">
        <v>105334610</v>
      </c>
      <c r="L93" s="2">
        <v>43090</v>
      </c>
      <c r="M93">
        <v>28</v>
      </c>
      <c r="N93">
        <v>1</v>
      </c>
      <c r="O93">
        <v>0</v>
      </c>
      <c r="P93">
        <v>1</v>
      </c>
      <c r="Q93" t="inlineStr">
        <is>
          <t>O</t>
        </is>
      </c>
    </row>
    <row r="94">
      <c r="A94" t="inlineStr">
        <is>
          <t>OXFORD</t>
        </is>
      </c>
      <c r="B94" t="inlineStr">
        <is>
          <t>MARTIN LUTHER KING</t>
        </is>
      </c>
      <c r="C94">
        <v>0.0</v>
      </c>
      <c r="E94" t="inlineStr">
        <is>
          <t>SPRING</t>
        </is>
      </c>
      <c r="F94" t="inlineStr">
        <is>
          <t>GRANVILLE</t>
        </is>
      </c>
      <c r="G94" t="inlineStr">
        <is>
          <t>NC 96</t>
        </is>
      </c>
      <c r="H94">
        <v>17.59</v>
      </c>
      <c r="J94" s="604" t="inlineStr">
        <is>
          <t>NIS</t>
        </is>
      </c>
      <c r="K94">
        <v>105336080</v>
      </c>
      <c r="L94" s="2">
        <v>43099</v>
      </c>
      <c r="M94">
        <v>30</v>
      </c>
      <c r="N94">
        <v>1</v>
      </c>
      <c r="O94">
        <v>0</v>
      </c>
      <c r="P94">
        <v>4</v>
      </c>
      <c r="Q94" t="inlineStr">
        <is>
          <t>O</t>
        </is>
      </c>
    </row>
    <row r="95">
      <c r="A95" t="inlineStr">
        <is>
          <t>OXFORD</t>
        </is>
      </c>
      <c r="B95" t="inlineStr">
        <is>
          <t>SPRING</t>
        </is>
      </c>
      <c r="C95">
        <v>0.0</v>
      </c>
      <c r="E95" t="inlineStr">
        <is>
          <t>HILLSBORO</t>
        </is>
      </c>
      <c r="F95" t="inlineStr">
        <is>
          <t>LEWIS</t>
        </is>
      </c>
      <c r="G95" t="inlineStr">
        <is>
          <t>SPRING</t>
        </is>
      </c>
      <c r="H95">
        <v>999.999</v>
      </c>
      <c r="J95" s="604" t="inlineStr">
        <is>
          <t>NIS</t>
        </is>
      </c>
      <c r="K95">
        <v>105375720</v>
      </c>
      <c r="L95" s="2">
        <v>43139</v>
      </c>
      <c r="M95">
        <v>30</v>
      </c>
      <c r="N95">
        <v>1</v>
      </c>
      <c r="O95">
        <v>7</v>
      </c>
      <c r="P95">
        <v>1</v>
      </c>
      <c r="Q95" t="inlineStr">
        <is>
          <t>O</t>
        </is>
      </c>
    </row>
    <row r="96">
      <c r="A96" t="inlineStr">
        <is>
          <t>CREEDMOOR</t>
        </is>
      </c>
      <c r="B96" t="inlineStr">
        <is>
          <t>MAIN</t>
        </is>
      </c>
      <c r="C96">
        <v>0.0</v>
      </c>
      <c r="E96" t="inlineStr">
        <is>
          <t>MILL</t>
        </is>
      </c>
      <c r="F96" t="inlineStr">
        <is>
          <t>FLEMING</t>
        </is>
      </c>
      <c r="G96" t="inlineStr">
        <is>
          <t>NC 50</t>
        </is>
      </c>
      <c r="H96">
        <v>3.016</v>
      </c>
      <c r="J96" s="604" t="inlineStr">
        <is>
          <t>NIS</t>
        </is>
      </c>
      <c r="K96">
        <v>105399346</v>
      </c>
      <c r="L96" s="2">
        <v>43142</v>
      </c>
      <c r="M96">
        <v>27</v>
      </c>
      <c r="N96">
        <v>2</v>
      </c>
      <c r="O96">
        <v>0</v>
      </c>
      <c r="P96">
        <v>3</v>
      </c>
      <c r="Q96" t="inlineStr">
        <is>
          <t>C</t>
        </is>
      </c>
    </row>
    <row r="97">
      <c r="A97" t="inlineStr">
        <is>
          <t>OXFORD</t>
        </is>
      </c>
      <c r="B97" t="inlineStr">
        <is>
          <t>MARTIN LUTHER KING</t>
        </is>
      </c>
      <c r="C97">
        <v>0.0</v>
      </c>
      <c r="E97" t="inlineStr">
        <is>
          <t>SPRING</t>
        </is>
      </c>
      <c r="F97" t="inlineStr">
        <is>
          <t>SYCAMORE</t>
        </is>
      </c>
      <c r="G97" t="inlineStr">
        <is>
          <t>NC 96</t>
        </is>
      </c>
      <c r="H97">
        <v>17.59</v>
      </c>
      <c r="J97" s="604" t="inlineStr">
        <is>
          <t>NIS</t>
        </is>
      </c>
      <c r="K97">
        <v>105397737</v>
      </c>
      <c r="L97" s="2">
        <v>43161</v>
      </c>
      <c r="M97">
        <v>30</v>
      </c>
      <c r="N97">
        <v>1</v>
      </c>
      <c r="O97">
        <v>0</v>
      </c>
      <c r="P97">
        <v>4</v>
      </c>
    </row>
    <row r="98">
      <c r="A98" t="inlineStr">
        <is>
          <t>OXFORD</t>
        </is>
      </c>
      <c r="B98" t="inlineStr">
        <is>
          <t>PVA POST OFFICE PVA</t>
        </is>
      </c>
      <c r="C98">
        <v>0.0</v>
      </c>
      <c r="E98" t="inlineStr">
        <is>
          <t>SPRING</t>
        </is>
      </c>
      <c r="F98" t="inlineStr">
        <is>
          <t>SPRING</t>
        </is>
      </c>
      <c r="H98">
        <v>999.999</v>
      </c>
      <c r="J98" s="604" t="inlineStr">
        <is>
          <t>NIS</t>
        </is>
      </c>
      <c r="K98">
        <v>105402812</v>
      </c>
      <c r="L98" s="2">
        <v>43166</v>
      </c>
      <c r="M98">
        <v>21</v>
      </c>
      <c r="N98">
        <v>1</v>
      </c>
      <c r="O98">
        <v>0</v>
      </c>
      <c r="P98">
        <v>1</v>
      </c>
      <c r="Q98" t="inlineStr">
        <is>
          <t>O</t>
        </is>
      </c>
    </row>
    <row r="99">
      <c r="A99" t="inlineStr">
        <is>
          <t>CREEDMOOR</t>
        </is>
      </c>
      <c r="B99" t="inlineStr">
        <is>
          <t>MAIN</t>
        </is>
      </c>
      <c r="C99">
        <v>0.009</v>
      </c>
      <c r="D99" t="inlineStr">
        <is>
          <t>S</t>
        </is>
      </c>
      <c r="E99" t="inlineStr">
        <is>
          <t>PARK</t>
        </is>
      </c>
      <c r="F99" t="inlineStr">
        <is>
          <t>LAKE</t>
        </is>
      </c>
      <c r="G99" t="inlineStr">
        <is>
          <t>NC 50</t>
        </is>
      </c>
      <c r="H99">
        <v>3.147</v>
      </c>
      <c r="J99" s="604" t="inlineStr">
        <is>
          <t>NIS</t>
        </is>
      </c>
      <c r="K99">
        <v>105417620</v>
      </c>
      <c r="L99" s="2">
        <v>43174</v>
      </c>
      <c r="M99">
        <v>1</v>
      </c>
      <c r="N99">
        <v>1</v>
      </c>
      <c r="O99">
        <v>0</v>
      </c>
      <c r="P99">
        <v>1</v>
      </c>
      <c r="Q99" t="inlineStr">
        <is>
          <t>O</t>
        </is>
      </c>
    </row>
    <row r="100">
      <c r="A100" t="inlineStr">
        <is>
          <t>CREEDMOOR</t>
        </is>
      </c>
      <c r="B100" t="inlineStr">
        <is>
          <t>MAIN</t>
        </is>
      </c>
      <c r="C100">
        <v>0.0</v>
      </c>
      <c r="E100" t="inlineStr">
        <is>
          <t>NC 56</t>
        </is>
      </c>
      <c r="F100" t="inlineStr">
        <is>
          <t>US 15</t>
        </is>
      </c>
      <c r="G100" t="inlineStr">
        <is>
          <t>NC 50</t>
        </is>
      </c>
      <c r="H100">
        <v>3.284</v>
      </c>
      <c r="J100" s="604" t="inlineStr">
        <is>
          <t>NIS</t>
        </is>
      </c>
      <c r="K100">
        <v>105417622</v>
      </c>
      <c r="L100" s="2">
        <v>43174</v>
      </c>
      <c r="M100">
        <v>23</v>
      </c>
      <c r="N100">
        <v>1</v>
      </c>
      <c r="O100">
        <v>7</v>
      </c>
      <c r="P100">
        <v>1</v>
      </c>
      <c r="Q100" t="inlineStr">
        <is>
          <t>O</t>
        </is>
      </c>
    </row>
    <row r="101">
      <c r="A101" t="inlineStr">
        <is>
          <t>CREEDMOOR</t>
        </is>
      </c>
      <c r="B101" t="inlineStr">
        <is>
          <t>PVA PVA CITY TAVERN</t>
        </is>
      </c>
      <c r="C101">
        <v>0.009</v>
      </c>
      <c r="D101" t="inlineStr">
        <is>
          <t>E</t>
        </is>
      </c>
      <c r="E101" t="inlineStr">
        <is>
          <t>MAIN</t>
        </is>
      </c>
      <c r="F101" t="inlineStr">
        <is>
          <t>GRAY</t>
        </is>
      </c>
      <c r="H101">
        <v>999.999</v>
      </c>
      <c r="J101" s="604" t="inlineStr">
        <is>
          <t>NIS</t>
        </is>
      </c>
      <c r="K101">
        <v>105984302</v>
      </c>
      <c r="L101" s="2">
        <v>43175</v>
      </c>
      <c r="M101">
        <v>31</v>
      </c>
      <c r="N101">
        <v>1</v>
      </c>
      <c r="O101">
        <v>0</v>
      </c>
      <c r="P101">
        <v>4</v>
      </c>
      <c r="Q101" t="inlineStr">
        <is>
          <t>O</t>
        </is>
      </c>
    </row>
    <row r="102">
      <c r="A102" t="inlineStr">
        <is>
          <t>OXFORD</t>
        </is>
      </c>
      <c r="B102" t="inlineStr">
        <is>
          <t>MARTIN LUTHER KING</t>
        </is>
      </c>
      <c r="C102">
        <v>0.0</v>
      </c>
      <c r="E102" t="inlineStr">
        <is>
          <t>SPRING</t>
        </is>
      </c>
      <c r="F102" t="inlineStr">
        <is>
          <t>HILLSBORO</t>
        </is>
      </c>
      <c r="G102" t="inlineStr">
        <is>
          <t>NC 96</t>
        </is>
      </c>
      <c r="H102">
        <v>17.59</v>
      </c>
      <c r="J102" s="604" t="inlineStr">
        <is>
          <t>NIS</t>
        </is>
      </c>
      <c r="K102">
        <v>105421874</v>
      </c>
      <c r="L102" s="2">
        <v>43183</v>
      </c>
      <c r="M102">
        <v>30</v>
      </c>
      <c r="N102">
        <v>6</v>
      </c>
      <c r="O102">
        <v>7</v>
      </c>
      <c r="P102">
        <v>4</v>
      </c>
      <c r="Q102" t="inlineStr">
        <is>
          <t>C</t>
        </is>
      </c>
    </row>
    <row r="103">
      <c r="A103" t="inlineStr">
        <is>
          <t>CREEDMOOR</t>
        </is>
      </c>
      <c r="B103" t="inlineStr">
        <is>
          <t>MAIN</t>
        </is>
      </c>
      <c r="C103">
        <v>0.015</v>
      </c>
      <c r="D103" t="inlineStr">
        <is>
          <t>S</t>
        </is>
      </c>
      <c r="E103" t="inlineStr">
        <is>
          <t>FLEMING</t>
        </is>
      </c>
      <c r="F103" t="inlineStr">
        <is>
          <t>PARK</t>
        </is>
      </c>
      <c r="G103" t="inlineStr">
        <is>
          <t>NC 50</t>
        </is>
      </c>
      <c r="H103">
        <v>3.111</v>
      </c>
      <c r="J103" s="604" t="inlineStr">
        <is>
          <t>NIS</t>
        </is>
      </c>
      <c r="K103">
        <v>105433973</v>
      </c>
      <c r="L103" s="2">
        <v>43187</v>
      </c>
      <c r="M103">
        <v>21</v>
      </c>
      <c r="N103">
        <v>1</v>
      </c>
      <c r="O103">
        <v>0</v>
      </c>
      <c r="P103">
        <v>1</v>
      </c>
      <c r="Q103" t="inlineStr">
        <is>
          <t>O</t>
        </is>
      </c>
    </row>
    <row r="104">
      <c r="A104" t="inlineStr">
        <is>
          <t>CREEDMOOR</t>
        </is>
      </c>
      <c r="B104" t="inlineStr">
        <is>
          <t>PVA MAIN ST</t>
        </is>
      </c>
      <c r="C104">
        <v>0.009</v>
      </c>
      <c r="D104" t="inlineStr">
        <is>
          <t>S</t>
        </is>
      </c>
      <c r="E104" t="inlineStr">
        <is>
          <t>CHURCH</t>
        </is>
      </c>
      <c r="F104" t="inlineStr">
        <is>
          <t>ROGER</t>
        </is>
      </c>
      <c r="G104" t="inlineStr">
        <is>
          <t>NC 50</t>
        </is>
      </c>
      <c r="H104">
        <v>2.859</v>
      </c>
      <c r="J104" s="604" t="inlineStr">
        <is>
          <t>NIS</t>
        </is>
      </c>
      <c r="K104">
        <v>105433975</v>
      </c>
      <c r="L104" s="2">
        <v>43192</v>
      </c>
      <c r="M104">
        <v>20</v>
      </c>
      <c r="N104">
        <v>1</v>
      </c>
      <c r="P104">
        <v>1</v>
      </c>
      <c r="Q104" t="inlineStr">
        <is>
          <t>O</t>
        </is>
      </c>
    </row>
    <row r="105">
      <c r="A105" t="inlineStr">
        <is>
          <t>CREEDMOOR</t>
        </is>
      </c>
      <c r="B105" t="inlineStr">
        <is>
          <t>MAIN</t>
        </is>
      </c>
      <c r="C105">
        <v>0.0</v>
      </c>
      <c r="E105" t="inlineStr">
        <is>
          <t>CHURCH</t>
        </is>
      </c>
      <c r="G105" t="inlineStr">
        <is>
          <t>NC 50</t>
        </is>
      </c>
      <c r="H105">
        <v>2.868</v>
      </c>
      <c r="J105" s="604" t="inlineStr">
        <is>
          <t>NIS</t>
        </is>
      </c>
      <c r="K105">
        <v>105449819</v>
      </c>
      <c r="L105" s="2">
        <v>43203</v>
      </c>
      <c r="M105">
        <v>30</v>
      </c>
      <c r="N105">
        <v>1</v>
      </c>
      <c r="O105">
        <v>7</v>
      </c>
      <c r="P105">
        <v>1</v>
      </c>
      <c r="Q105" t="inlineStr">
        <is>
          <t>C</t>
        </is>
      </c>
    </row>
    <row r="106">
      <c r="A106" t="inlineStr">
        <is>
          <t>CREEDMOOR</t>
        </is>
      </c>
      <c r="B106" t="inlineStr">
        <is>
          <t>MAIN</t>
        </is>
      </c>
      <c r="C106">
        <v>0.0</v>
      </c>
      <c r="E106" t="inlineStr">
        <is>
          <t>LION</t>
        </is>
      </c>
      <c r="F106" t="inlineStr">
        <is>
          <t>CHURCH</t>
        </is>
      </c>
      <c r="G106" t="inlineStr">
        <is>
          <t>NC 50</t>
        </is>
      </c>
      <c r="H106">
        <v>2.937</v>
      </c>
      <c r="J106" s="604" t="inlineStr">
        <is>
          <t>NIS</t>
        </is>
      </c>
      <c r="K106">
        <v>105449820</v>
      </c>
      <c r="L106" s="2">
        <v>43206</v>
      </c>
      <c r="M106">
        <v>24</v>
      </c>
      <c r="N106">
        <v>1</v>
      </c>
      <c r="O106">
        <v>12</v>
      </c>
      <c r="P106">
        <v>1</v>
      </c>
      <c r="Q106" t="inlineStr">
        <is>
          <t>O</t>
        </is>
      </c>
    </row>
    <row r="107">
      <c r="A107" t="inlineStr">
        <is>
          <t>OXFORD</t>
        </is>
      </c>
      <c r="B107" t="inlineStr">
        <is>
          <t>LEWIS</t>
        </is>
      </c>
      <c r="C107">
        <v>0.0</v>
      </c>
      <c r="E107" t="inlineStr">
        <is>
          <t>SPRING</t>
        </is>
      </c>
      <c r="F107" t="inlineStr">
        <is>
          <t>HILLSBORO</t>
        </is>
      </c>
      <c r="G107" t="inlineStr">
        <is>
          <t>US 15</t>
        </is>
      </c>
      <c r="H107">
        <v>20.498</v>
      </c>
      <c r="J107" s="604" t="inlineStr">
        <is>
          <t>NIS</t>
        </is>
      </c>
      <c r="K107">
        <v>105468703</v>
      </c>
      <c r="L107" s="2">
        <v>43218</v>
      </c>
      <c r="M107">
        <v>30</v>
      </c>
      <c r="N107">
        <v>1</v>
      </c>
      <c r="O107">
        <v>7</v>
      </c>
      <c r="P107">
        <v>1</v>
      </c>
      <c r="Q107" t="inlineStr">
        <is>
          <t>O</t>
        </is>
      </c>
    </row>
    <row r="108">
      <c r="A108" t="inlineStr">
        <is>
          <t>OXFORD</t>
        </is>
      </c>
      <c r="B108" t="inlineStr">
        <is>
          <t>PVA SOCIAL SERVICES LOT</t>
        </is>
      </c>
      <c r="C108">
        <v>0.0</v>
      </c>
      <c r="E108" t="inlineStr">
        <is>
          <t>SPRING</t>
        </is>
      </c>
      <c r="F108" t="inlineStr">
        <is>
          <t>HILLSBORO</t>
        </is>
      </c>
      <c r="H108">
        <v>999.999</v>
      </c>
      <c r="J108" s="604" t="inlineStr">
        <is>
          <t>NIS</t>
        </is>
      </c>
      <c r="K108">
        <v>105465888</v>
      </c>
      <c r="L108" s="2">
        <v>43222</v>
      </c>
      <c r="M108">
        <v>20</v>
      </c>
      <c r="N108">
        <v>1</v>
      </c>
      <c r="O108">
        <v>0</v>
      </c>
      <c r="P108">
        <v>1</v>
      </c>
      <c r="Q108" t="inlineStr">
        <is>
          <t>O</t>
        </is>
      </c>
    </row>
    <row r="109">
      <c r="A109" t="inlineStr">
        <is>
          <t>OXFORD</t>
        </is>
      </c>
      <c r="B109" t="inlineStr">
        <is>
          <t>MAIN</t>
        </is>
      </c>
      <c r="C109">
        <v>0.0</v>
      </c>
      <c r="E109" t="inlineStr">
        <is>
          <t>LITTLE JOHN</t>
        </is>
      </c>
      <c r="F109" t="inlineStr">
        <is>
          <t>WILLIAMSBORO</t>
        </is>
      </c>
      <c r="G109" t="inlineStr">
        <is>
          <t>SR 1602</t>
        </is>
      </c>
      <c r="H109">
        <v>1.421</v>
      </c>
      <c r="J109" s="604" t="inlineStr">
        <is>
          <t>NIS</t>
        </is>
      </c>
      <c r="K109">
        <v>105481992</v>
      </c>
      <c r="L109" s="2">
        <v>43236</v>
      </c>
      <c r="M109">
        <v>28</v>
      </c>
      <c r="N109">
        <v>10</v>
      </c>
      <c r="O109">
        <v>0</v>
      </c>
      <c r="P109">
        <v>1</v>
      </c>
    </row>
    <row r="110">
      <c r="A110" t="inlineStr">
        <is>
          <t>CREEDMOOR</t>
        </is>
      </c>
      <c r="B110" t="inlineStr">
        <is>
          <t>NC 56</t>
        </is>
      </c>
      <c r="C110">
        <v>0.0</v>
      </c>
      <c r="E110" t="inlineStr">
        <is>
          <t>MAIN</t>
        </is>
      </c>
      <c r="F110" t="inlineStr">
        <is>
          <t>NC 56</t>
        </is>
      </c>
      <c r="G110" t="inlineStr">
        <is>
          <t>NC 50</t>
        </is>
      </c>
      <c r="H110">
        <v>3.284</v>
      </c>
      <c r="J110" s="604" t="inlineStr">
        <is>
          <t>NIS</t>
        </is>
      </c>
      <c r="K110">
        <v>105508622</v>
      </c>
      <c r="L110" s="2">
        <v>43238</v>
      </c>
      <c r="M110">
        <v>23</v>
      </c>
      <c r="N110">
        <v>1</v>
      </c>
      <c r="O110">
        <v>7</v>
      </c>
      <c r="P110">
        <v>1</v>
      </c>
      <c r="Q110" t="inlineStr">
        <is>
          <t>O</t>
        </is>
      </c>
    </row>
    <row r="111">
      <c r="A111" t="inlineStr">
        <is>
          <t>OXFORD</t>
        </is>
      </c>
      <c r="B111" t="inlineStr">
        <is>
          <t>SPRING</t>
        </is>
      </c>
      <c r="C111">
        <v>0.0</v>
      </c>
      <c r="E111" t="inlineStr">
        <is>
          <t>COOPER</t>
        </is>
      </c>
      <c r="F111" t="inlineStr">
        <is>
          <t>COOPER</t>
        </is>
      </c>
      <c r="G111" t="inlineStr">
        <is>
          <t>SPRING</t>
        </is>
      </c>
      <c r="H111">
        <v>0.62</v>
      </c>
      <c r="J111" s="604" t="inlineStr">
        <is>
          <t>NIS</t>
        </is>
      </c>
      <c r="K111">
        <v>105494799</v>
      </c>
      <c r="L111" s="2">
        <v>43241</v>
      </c>
      <c r="M111">
        <v>19</v>
      </c>
      <c r="N111">
        <v>1</v>
      </c>
      <c r="O111">
        <v>0</v>
      </c>
      <c r="P111">
        <v>1</v>
      </c>
      <c r="Q111" t="inlineStr">
        <is>
          <t>O</t>
        </is>
      </c>
    </row>
    <row r="112">
      <c r="A112" t="inlineStr">
        <is>
          <t>OXFORD</t>
        </is>
      </c>
      <c r="B112" t="inlineStr">
        <is>
          <t>WILLIAMSBORO</t>
        </is>
      </c>
      <c r="C112">
        <v>0.0</v>
      </c>
      <c r="E112" t="inlineStr">
        <is>
          <t>SPRING</t>
        </is>
      </c>
      <c r="F112" t="inlineStr">
        <is>
          <t>SALEM</t>
        </is>
      </c>
      <c r="G112" t="inlineStr">
        <is>
          <t>US 158BUS</t>
        </is>
      </c>
      <c r="H112">
        <v>2.685</v>
      </c>
      <c r="J112" s="604" t="inlineStr">
        <is>
          <t>NIS</t>
        </is>
      </c>
      <c r="K112">
        <v>105494802</v>
      </c>
      <c r="L112" s="2">
        <v>43242</v>
      </c>
      <c r="M112">
        <v>30</v>
      </c>
      <c r="N112">
        <v>1</v>
      </c>
      <c r="O112">
        <v>7</v>
      </c>
      <c r="P112">
        <v>1</v>
      </c>
      <c r="Q112" t="inlineStr">
        <is>
          <t>O</t>
        </is>
      </c>
    </row>
    <row r="113">
      <c r="A113" t="inlineStr">
        <is>
          <t>CREEDMOOR</t>
        </is>
      </c>
      <c r="B113" t="inlineStr">
        <is>
          <t>MAIN</t>
        </is>
      </c>
      <c r="C113">
        <v>0.0</v>
      </c>
      <c r="E113" t="inlineStr">
        <is>
          <t>LAKE</t>
        </is>
      </c>
      <c r="G113" t="inlineStr">
        <is>
          <t>NC 50</t>
        </is>
      </c>
      <c r="H113">
        <v>3.206</v>
      </c>
      <c r="J113" s="604" t="inlineStr">
        <is>
          <t>NIS</t>
        </is>
      </c>
      <c r="K113">
        <v>105526147</v>
      </c>
      <c r="L113" s="2">
        <v>43280</v>
      </c>
      <c r="M113">
        <v>30</v>
      </c>
      <c r="N113">
        <v>1</v>
      </c>
      <c r="O113">
        <v>8</v>
      </c>
      <c r="P113">
        <v>1</v>
      </c>
      <c r="Q113" t="inlineStr">
        <is>
          <t>O</t>
        </is>
      </c>
    </row>
    <row r="114">
      <c r="A114" t="inlineStr">
        <is>
          <t>OXFORD</t>
        </is>
      </c>
      <c r="B114" t="inlineStr">
        <is>
          <t>WILLIAMSBORO</t>
        </is>
      </c>
      <c r="C114">
        <v>0.0</v>
      </c>
      <c r="E114" t="inlineStr">
        <is>
          <t>MAIN</t>
        </is>
      </c>
      <c r="F114" t="inlineStr">
        <is>
          <t>COLLEGE</t>
        </is>
      </c>
      <c r="G114" t="inlineStr">
        <is>
          <t>US 158BUS</t>
        </is>
      </c>
      <c r="H114">
        <v>2.055</v>
      </c>
      <c r="J114" s="604" t="inlineStr">
        <is>
          <t>NIS</t>
        </is>
      </c>
      <c r="K114">
        <v>105552281</v>
      </c>
      <c r="L114" s="2">
        <v>43291</v>
      </c>
      <c r="M114">
        <v>21</v>
      </c>
      <c r="N114">
        <v>1</v>
      </c>
      <c r="O114">
        <v>8</v>
      </c>
      <c r="P114">
        <v>1</v>
      </c>
      <c r="Q114" t="inlineStr">
        <is>
          <t>O</t>
        </is>
      </c>
    </row>
    <row r="115">
      <c r="A115" t="inlineStr">
        <is>
          <t>CREEDMOOR</t>
        </is>
      </c>
      <c r="B115" t="inlineStr">
        <is>
          <t>MAIN</t>
        </is>
      </c>
      <c r="C115">
        <v>0.031</v>
      </c>
      <c r="D115" t="inlineStr">
        <is>
          <t>S</t>
        </is>
      </c>
      <c r="E115" t="inlineStr">
        <is>
          <t>LION</t>
        </is>
      </c>
      <c r="F115" t="inlineStr">
        <is>
          <t>CHURCH</t>
        </is>
      </c>
      <c r="G115" t="inlineStr">
        <is>
          <t>NC 50</t>
        </is>
      </c>
      <c r="H115">
        <v>2.906</v>
      </c>
      <c r="J115" s="604" t="inlineStr">
        <is>
          <t>NIS</t>
        </is>
      </c>
      <c r="K115">
        <v>105551538</v>
      </c>
      <c r="L115" s="2">
        <v>43307</v>
      </c>
      <c r="M115">
        <v>30</v>
      </c>
      <c r="N115">
        <v>1</v>
      </c>
      <c r="O115">
        <v>4</v>
      </c>
      <c r="P115">
        <v>1</v>
      </c>
      <c r="Q115" t="inlineStr">
        <is>
          <t>O</t>
        </is>
      </c>
    </row>
    <row r="116">
      <c r="A116" t="inlineStr">
        <is>
          <t>OXFORD</t>
        </is>
      </c>
      <c r="B116" t="inlineStr">
        <is>
          <t>GRANVILLE</t>
        </is>
      </c>
      <c r="C116">
        <v>0.0</v>
      </c>
      <c r="E116" t="inlineStr">
        <is>
          <t>SPRING</t>
        </is>
      </c>
      <c r="F116" t="inlineStr">
        <is>
          <t>SYCAMORE</t>
        </is>
      </c>
      <c r="G116" t="inlineStr">
        <is>
          <t>SPRING</t>
        </is>
      </c>
      <c r="H116">
        <v>0.09</v>
      </c>
      <c r="J116" s="604" t="inlineStr">
        <is>
          <t>NIS</t>
        </is>
      </c>
      <c r="K116">
        <v>105573027</v>
      </c>
      <c r="L116" s="2">
        <v>43310</v>
      </c>
      <c r="M116">
        <v>30</v>
      </c>
      <c r="N116">
        <v>1</v>
      </c>
      <c r="O116">
        <v>0</v>
      </c>
      <c r="P116">
        <v>1</v>
      </c>
      <c r="Q116" t="inlineStr">
        <is>
          <t>B</t>
        </is>
      </c>
    </row>
    <row r="117">
      <c r="A117" t="inlineStr">
        <is>
          <t>OXFORD</t>
        </is>
      </c>
      <c r="B117" t="inlineStr">
        <is>
          <t>SPRING</t>
        </is>
      </c>
      <c r="C117">
        <v>0.0</v>
      </c>
      <c r="E117" t="inlineStr">
        <is>
          <t>COOPER</t>
        </is>
      </c>
      <c r="F117" t="inlineStr">
        <is>
          <t>BELL</t>
        </is>
      </c>
      <c r="G117" t="inlineStr">
        <is>
          <t>SPRING</t>
        </is>
      </c>
      <c r="H117">
        <v>0.62</v>
      </c>
      <c r="J117" s="604" t="inlineStr">
        <is>
          <t>NIS</t>
        </is>
      </c>
      <c r="K117">
        <v>105618961</v>
      </c>
      <c r="L117" s="2">
        <v>43337</v>
      </c>
      <c r="M117">
        <v>1</v>
      </c>
      <c r="N117">
        <v>1</v>
      </c>
      <c r="O117">
        <v>0</v>
      </c>
      <c r="P117">
        <v>4</v>
      </c>
      <c r="Q117" t="inlineStr">
        <is>
          <t>C</t>
        </is>
      </c>
    </row>
    <row r="118">
      <c r="A118" t="inlineStr">
        <is>
          <t>CREEDMOOR</t>
        </is>
      </c>
      <c r="B118" t="inlineStr">
        <is>
          <t>MAIN</t>
        </is>
      </c>
      <c r="C118">
        <v>0.01</v>
      </c>
      <c r="D118" t="inlineStr">
        <is>
          <t>S</t>
        </is>
      </c>
      <c r="E118" t="inlineStr">
        <is>
          <t>MASONIC</t>
        </is>
      </c>
      <c r="F118" t="inlineStr">
        <is>
          <t>SANDERFORD</t>
        </is>
      </c>
      <c r="G118" t="inlineStr">
        <is>
          <t>NC 50</t>
        </is>
      </c>
      <c r="H118">
        <v>2.986</v>
      </c>
      <c r="J118" s="604" t="inlineStr">
        <is>
          <t>NIS</t>
        </is>
      </c>
      <c r="K118">
        <v>105601554</v>
      </c>
      <c r="L118" s="2">
        <v>43350</v>
      </c>
      <c r="M118">
        <v>28</v>
      </c>
      <c r="N118">
        <v>1</v>
      </c>
      <c r="O118">
        <v>0</v>
      </c>
      <c r="P118">
        <v>1</v>
      </c>
      <c r="Q118" t="inlineStr">
        <is>
          <t>O</t>
        </is>
      </c>
    </row>
    <row r="119">
      <c r="A119" t="inlineStr">
        <is>
          <t>CREEDMOOR</t>
        </is>
      </c>
      <c r="B119" t="inlineStr">
        <is>
          <t>MASONIC</t>
        </is>
      </c>
      <c r="C119">
        <v>0.019</v>
      </c>
      <c r="D119" t="inlineStr">
        <is>
          <t>W</t>
        </is>
      </c>
      <c r="E119" t="inlineStr">
        <is>
          <t>MAIN</t>
        </is>
      </c>
      <c r="F119" t="inlineStr">
        <is>
          <t>ELM</t>
        </is>
      </c>
      <c r="H119">
        <v>999.999</v>
      </c>
      <c r="J119" s="604" t="inlineStr">
        <is>
          <t>NIS</t>
        </is>
      </c>
      <c r="K119">
        <v>105601553</v>
      </c>
      <c r="L119" s="2">
        <v>43353</v>
      </c>
      <c r="M119">
        <v>31</v>
      </c>
      <c r="N119">
        <v>1</v>
      </c>
      <c r="O119">
        <v>0</v>
      </c>
      <c r="P119">
        <v>1</v>
      </c>
      <c r="Q119" t="inlineStr">
        <is>
          <t>O</t>
        </is>
      </c>
    </row>
    <row r="120">
      <c r="A120" t="inlineStr">
        <is>
          <t>CREEDMOOR</t>
        </is>
      </c>
      <c r="B120" t="inlineStr">
        <is>
          <t>MAIN</t>
        </is>
      </c>
      <c r="C120">
        <v>0.0</v>
      </c>
      <c r="E120" t="inlineStr">
        <is>
          <t>NC 56</t>
        </is>
      </c>
      <c r="F120" t="inlineStr">
        <is>
          <t>DOUGLAS</t>
        </is>
      </c>
      <c r="G120" t="inlineStr">
        <is>
          <t>NC 50</t>
        </is>
      </c>
      <c r="H120">
        <v>3.284</v>
      </c>
      <c r="J120" s="604" t="inlineStr">
        <is>
          <t>NIS</t>
        </is>
      </c>
      <c r="K120">
        <v>105601555</v>
      </c>
      <c r="L120" s="2">
        <v>43353</v>
      </c>
      <c r="M120">
        <v>26</v>
      </c>
      <c r="N120">
        <v>1</v>
      </c>
      <c r="O120">
        <v>7</v>
      </c>
      <c r="P120">
        <v>1</v>
      </c>
      <c r="Q120" t="inlineStr">
        <is>
          <t>O</t>
        </is>
      </c>
    </row>
    <row r="121">
      <c r="A121" t="inlineStr">
        <is>
          <t>OXFORD</t>
        </is>
      </c>
      <c r="B121" t="inlineStr">
        <is>
          <t>WALL</t>
        </is>
      </c>
      <c r="C121">
        <v>0.0</v>
      </c>
      <c r="E121" t="inlineStr">
        <is>
          <t>SPRING</t>
        </is>
      </c>
      <c r="F121" t="inlineStr">
        <is>
          <t>HILLSBORO</t>
        </is>
      </c>
      <c r="G121" t="inlineStr">
        <is>
          <t>SPRING</t>
        </is>
      </c>
      <c r="H121">
        <v>0.22</v>
      </c>
      <c r="J121" s="604" t="inlineStr">
        <is>
          <t>NIS</t>
        </is>
      </c>
      <c r="K121">
        <v>105616476</v>
      </c>
      <c r="L121" s="2">
        <v>43370</v>
      </c>
      <c r="M121">
        <v>29</v>
      </c>
      <c r="N121">
        <v>2</v>
      </c>
      <c r="O121">
        <v>4</v>
      </c>
      <c r="P121">
        <v>1</v>
      </c>
      <c r="Q121" t="inlineStr">
        <is>
          <t>O</t>
        </is>
      </c>
    </row>
    <row r="122">
      <c r="A122" t="inlineStr">
        <is>
          <t>OXFORD</t>
        </is>
      </c>
      <c r="B122" t="inlineStr">
        <is>
          <t>SPRING</t>
        </is>
      </c>
      <c r="C122">
        <v>0.0</v>
      </c>
      <c r="E122" t="inlineStr">
        <is>
          <t>BELL</t>
        </is>
      </c>
      <c r="F122" t="inlineStr">
        <is>
          <t>COOPER</t>
        </is>
      </c>
      <c r="G122" t="inlineStr">
        <is>
          <t>SPRING</t>
        </is>
      </c>
      <c r="H122">
        <v>0.47</v>
      </c>
      <c r="J122" s="604" t="inlineStr">
        <is>
          <t>NIS</t>
        </is>
      </c>
      <c r="K122">
        <v>105656255</v>
      </c>
      <c r="L122" s="2">
        <v>43379</v>
      </c>
      <c r="M122">
        <v>30</v>
      </c>
      <c r="N122">
        <v>1</v>
      </c>
      <c r="O122">
        <v>0</v>
      </c>
      <c r="P122">
        <v>1</v>
      </c>
      <c r="Q122" t="inlineStr">
        <is>
          <t>O</t>
        </is>
      </c>
    </row>
    <row r="123">
      <c r="A123" t="inlineStr">
        <is>
          <t>CREEDMOOR</t>
        </is>
      </c>
      <c r="B123" t="inlineStr">
        <is>
          <t>MAIN</t>
        </is>
      </c>
      <c r="C123">
        <v>0.0</v>
      </c>
      <c r="E123" t="inlineStr">
        <is>
          <t>DOUGLAS</t>
        </is>
      </c>
      <c r="F123" t="inlineStr">
        <is>
          <t>LAKE</t>
        </is>
      </c>
      <c r="G123" t="inlineStr">
        <is>
          <t>NC 50</t>
        </is>
      </c>
      <c r="H123">
        <v>3.226</v>
      </c>
      <c r="J123" s="604" t="inlineStr">
        <is>
          <t>NIS</t>
        </is>
      </c>
      <c r="K123">
        <v>105658855</v>
      </c>
      <c r="L123" s="2">
        <v>43396</v>
      </c>
      <c r="M123">
        <v>24</v>
      </c>
      <c r="N123">
        <v>1</v>
      </c>
      <c r="O123">
        <v>12</v>
      </c>
      <c r="P123">
        <v>1</v>
      </c>
      <c r="Q123" t="inlineStr">
        <is>
          <t>O</t>
        </is>
      </c>
    </row>
    <row r="124">
      <c r="A124" t="inlineStr">
        <is>
          <t>OXFORD</t>
        </is>
      </c>
      <c r="B124" t="inlineStr">
        <is>
          <t>WILLIAMSBORO</t>
        </is>
      </c>
      <c r="C124">
        <v>0.0</v>
      </c>
      <c r="D124" t="inlineStr">
        <is>
          <t>S</t>
        </is>
      </c>
      <c r="E124" t="inlineStr">
        <is>
          <t>SALEM</t>
        </is>
      </c>
      <c r="F124" t="inlineStr">
        <is>
          <t>*LCL MILITARY STREET</t>
        </is>
      </c>
      <c r="G124" t="inlineStr">
        <is>
          <t>US 158BUS</t>
        </is>
      </c>
      <c r="H124">
        <v>2.685</v>
      </c>
      <c r="J124" s="604" t="inlineStr">
        <is>
          <t>NIS</t>
        </is>
      </c>
      <c r="K124">
        <v>105765497</v>
      </c>
      <c r="L124" s="2">
        <v>43396</v>
      </c>
      <c r="M124">
        <v>18</v>
      </c>
      <c r="N124">
        <v>1</v>
      </c>
      <c r="O124">
        <v>0</v>
      </c>
      <c r="P124">
        <v>1</v>
      </c>
      <c r="Q124" t="inlineStr">
        <is>
          <t>O</t>
        </is>
      </c>
    </row>
    <row r="125">
      <c r="A125" t="inlineStr">
        <is>
          <t>OXFORD</t>
        </is>
      </c>
      <c r="B125" t="inlineStr">
        <is>
          <t>SALEM</t>
        </is>
      </c>
      <c r="C125">
        <v>0.0</v>
      </c>
      <c r="E125" t="inlineStr">
        <is>
          <t>WILLIAMSBORO</t>
        </is>
      </c>
      <c r="F125" t="inlineStr">
        <is>
          <t>SPRING</t>
        </is>
      </c>
      <c r="G125" t="inlineStr">
        <is>
          <t>US 158BUS</t>
        </is>
      </c>
      <c r="H125">
        <v>2.685</v>
      </c>
      <c r="J125" s="604" t="inlineStr">
        <is>
          <t>NIS</t>
        </is>
      </c>
      <c r="K125">
        <v>105650743</v>
      </c>
      <c r="L125" s="2">
        <v>43399</v>
      </c>
      <c r="M125">
        <v>18</v>
      </c>
      <c r="N125">
        <v>2</v>
      </c>
      <c r="O125">
        <v>0</v>
      </c>
      <c r="P125">
        <v>5</v>
      </c>
      <c r="Q125" t="inlineStr">
        <is>
          <t>O</t>
        </is>
      </c>
    </row>
    <row r="126">
      <c r="A126" t="inlineStr">
        <is>
          <t>RURAL</t>
        </is>
      </c>
      <c r="B126" t="inlineStr">
        <is>
          <t>US 158</t>
        </is>
      </c>
      <c r="C126">
        <v>0.0</v>
      </c>
      <c r="E126" t="inlineStr">
        <is>
          <t>SR 1522</t>
        </is>
      </c>
      <c r="F126" t="inlineStr">
        <is>
          <t>SR 1515</t>
        </is>
      </c>
      <c r="G126" t="inlineStr">
        <is>
          <t>US 158</t>
        </is>
      </c>
      <c r="H126">
        <v>14.055</v>
      </c>
      <c r="J126" s="604" t="inlineStr">
        <is>
          <t>NIS</t>
        </is>
      </c>
      <c r="K126">
        <v>105665237</v>
      </c>
      <c r="L126" s="2">
        <v>43404</v>
      </c>
      <c r="M126">
        <v>23</v>
      </c>
      <c r="N126">
        <v>1</v>
      </c>
      <c r="O126">
        <v>7</v>
      </c>
      <c r="P126">
        <v>1</v>
      </c>
      <c r="Q126" t="inlineStr">
        <is>
          <t>C</t>
        </is>
      </c>
    </row>
    <row r="127">
      <c r="A127" t="inlineStr">
        <is>
          <t>CREEDMOOR</t>
        </is>
      </c>
      <c r="B127" t="inlineStr">
        <is>
          <t>PVA MAIN STREET</t>
        </is>
      </c>
      <c r="C127">
        <v>0.0</v>
      </c>
      <c r="E127" t="inlineStr">
        <is>
          <t>MAIN</t>
        </is>
      </c>
      <c r="F127" t="inlineStr">
        <is>
          <t>MILL</t>
        </is>
      </c>
      <c r="G127" t="inlineStr">
        <is>
          <t>SR 1127</t>
        </is>
      </c>
      <c r="H127">
        <v>5.073</v>
      </c>
      <c r="J127" s="604" t="inlineStr">
        <is>
          <t>NIS</t>
        </is>
      </c>
      <c r="K127">
        <v>105662698</v>
      </c>
      <c r="L127" s="2">
        <v>43405</v>
      </c>
      <c r="M127">
        <v>21</v>
      </c>
      <c r="N127">
        <v>1</v>
      </c>
      <c r="O127">
        <v>0</v>
      </c>
      <c r="P127">
        <v>4</v>
      </c>
      <c r="Q127" t="inlineStr">
        <is>
          <t>O</t>
        </is>
      </c>
    </row>
    <row r="128">
      <c r="A128" t="inlineStr">
        <is>
          <t>OXFORD</t>
        </is>
      </c>
      <c r="B128" t="inlineStr">
        <is>
          <t>ORANGE</t>
        </is>
      </c>
      <c r="C128">
        <v>0.0</v>
      </c>
      <c r="E128" t="inlineStr">
        <is>
          <t>SPRING</t>
        </is>
      </c>
      <c r="F128" t="inlineStr">
        <is>
          <t>ORANGE</t>
        </is>
      </c>
      <c r="G128" t="inlineStr">
        <is>
          <t>SPRING</t>
        </is>
      </c>
      <c r="H128">
        <v>999.999</v>
      </c>
      <c r="J128" s="604" t="inlineStr">
        <is>
          <t>NIS</t>
        </is>
      </c>
      <c r="K128">
        <v>105663384</v>
      </c>
      <c r="L128" s="2">
        <v>43410</v>
      </c>
      <c r="M128">
        <v>1</v>
      </c>
      <c r="N128">
        <v>2</v>
      </c>
      <c r="O128">
        <v>0</v>
      </c>
      <c r="P128">
        <v>1</v>
      </c>
      <c r="Q128" t="inlineStr">
        <is>
          <t>O</t>
        </is>
      </c>
    </row>
    <row r="129">
      <c r="A129" t="inlineStr">
        <is>
          <t>CREEDMOOR</t>
        </is>
      </c>
      <c r="B129" t="inlineStr">
        <is>
          <t>MAIN</t>
        </is>
      </c>
      <c r="C129">
        <v>0.15</v>
      </c>
      <c r="D129" t="inlineStr">
        <is>
          <t>N</t>
        </is>
      </c>
      <c r="E129" t="inlineStr">
        <is>
          <t>LION</t>
        </is>
      </c>
      <c r="F129" t="inlineStr">
        <is>
          <t>MILL</t>
        </is>
      </c>
      <c r="G129" t="inlineStr">
        <is>
          <t>NC 50</t>
        </is>
      </c>
      <c r="H129">
        <v>3.087</v>
      </c>
      <c r="J129" s="604" t="inlineStr">
        <is>
          <t>NIS</t>
        </is>
      </c>
      <c r="K129">
        <v>105680090</v>
      </c>
      <c r="L129" s="2">
        <v>43412</v>
      </c>
      <c r="M129">
        <v>23</v>
      </c>
      <c r="N129">
        <v>1</v>
      </c>
      <c r="O129">
        <v>0</v>
      </c>
      <c r="P129">
        <v>1</v>
      </c>
      <c r="Q129" t="inlineStr">
        <is>
          <t>O</t>
        </is>
      </c>
    </row>
    <row r="130">
      <c r="A130" t="inlineStr">
        <is>
          <t>OXFORD</t>
        </is>
      </c>
      <c r="B130" t="inlineStr">
        <is>
          <t>WILLIAMSBORO</t>
        </is>
      </c>
      <c r="C130">
        <v>0.019</v>
      </c>
      <c r="D130" t="inlineStr">
        <is>
          <t>E</t>
        </is>
      </c>
      <c r="E130" t="inlineStr">
        <is>
          <t>MAIN</t>
        </is>
      </c>
      <c r="F130" t="inlineStr">
        <is>
          <t>GILLIAM</t>
        </is>
      </c>
      <c r="G130" t="inlineStr">
        <is>
          <t>US 158BUS</t>
        </is>
      </c>
      <c r="H130">
        <v>2.074</v>
      </c>
      <c r="J130" s="604" t="inlineStr">
        <is>
          <t>NIS</t>
        </is>
      </c>
      <c r="K130">
        <v>105684376</v>
      </c>
      <c r="L130" s="2">
        <v>43420</v>
      </c>
      <c r="M130">
        <v>20</v>
      </c>
      <c r="N130">
        <v>1</v>
      </c>
      <c r="O130">
        <v>0</v>
      </c>
      <c r="P130">
        <v>2</v>
      </c>
      <c r="Q130" t="inlineStr">
        <is>
          <t>O</t>
        </is>
      </c>
    </row>
    <row r="131">
      <c r="A131" t="inlineStr">
        <is>
          <t>CREEDMOOR</t>
        </is>
      </c>
      <c r="B131" t="inlineStr">
        <is>
          <t>MAIN</t>
        </is>
      </c>
      <c r="C131">
        <v>0.047</v>
      </c>
      <c r="D131" t="inlineStr">
        <is>
          <t>N</t>
        </is>
      </c>
      <c r="E131" t="inlineStr">
        <is>
          <t>MOSS</t>
        </is>
      </c>
      <c r="F131" t="inlineStr">
        <is>
          <t>DURHAM</t>
        </is>
      </c>
      <c r="G131" t="inlineStr">
        <is>
          <t>SR 1639</t>
        </is>
      </c>
      <c r="H131">
        <v>0.472</v>
      </c>
      <c r="J131" s="604" t="inlineStr">
        <is>
          <t>NIS</t>
        </is>
      </c>
      <c r="K131">
        <v>105984781</v>
      </c>
      <c r="L131" s="2">
        <v>43427</v>
      </c>
      <c r="M131">
        <v>17</v>
      </c>
      <c r="N131">
        <v>1</v>
      </c>
      <c r="P131">
        <v>4</v>
      </c>
      <c r="Q131" t="inlineStr">
        <is>
          <t>O</t>
        </is>
      </c>
    </row>
    <row r="132">
      <c r="A132" t="inlineStr">
        <is>
          <t>RURAL</t>
        </is>
      </c>
      <c r="B132" t="inlineStr">
        <is>
          <t>SR 1522</t>
        </is>
      </c>
      <c r="C132">
        <v>0.066</v>
      </c>
      <c r="D132" t="inlineStr">
        <is>
          <t>S</t>
        </is>
      </c>
      <c r="E132" t="inlineStr">
        <is>
          <t>US 158</t>
        </is>
      </c>
      <c r="F132" t="inlineStr">
        <is>
          <t>PVA EDGEWOOD DR</t>
        </is>
      </c>
      <c r="G132" t="inlineStr">
        <is>
          <t>SR 1522</t>
        </is>
      </c>
      <c r="H132">
        <v>0.816</v>
      </c>
      <c r="J132" s="604" t="inlineStr">
        <is>
          <t>NIS</t>
        </is>
      </c>
      <c r="K132">
        <v>105715890</v>
      </c>
      <c r="L132" s="2">
        <v>43450</v>
      </c>
      <c r="M132">
        <v>19</v>
      </c>
      <c r="N132">
        <v>1</v>
      </c>
      <c r="O132">
        <v>0</v>
      </c>
      <c r="P132">
        <v>1</v>
      </c>
      <c r="Q132" t="inlineStr">
        <is>
          <t>O</t>
        </is>
      </c>
    </row>
    <row r="133">
      <c r="A133" t="inlineStr">
        <is>
          <t>CREEDMOOR</t>
        </is>
      </c>
      <c r="B133" t="inlineStr">
        <is>
          <t>WILTON</t>
        </is>
      </c>
      <c r="C133">
        <v>0.0</v>
      </c>
      <c r="E133" t="inlineStr">
        <is>
          <t>MAIN</t>
        </is>
      </c>
      <c r="F133" t="inlineStr">
        <is>
          <t>DURHAM</t>
        </is>
      </c>
      <c r="G133" t="inlineStr">
        <is>
          <t>NC 50</t>
        </is>
      </c>
      <c r="H133">
        <v>3.285</v>
      </c>
      <c r="J133" s="604" t="inlineStr">
        <is>
          <t>NIS</t>
        </is>
      </c>
      <c r="K133">
        <v>105750544</v>
      </c>
      <c r="L133" s="2">
        <v>43479</v>
      </c>
      <c r="M133">
        <v>28</v>
      </c>
      <c r="N133">
        <v>1</v>
      </c>
      <c r="O133">
        <v>7</v>
      </c>
      <c r="P133">
        <v>3</v>
      </c>
      <c r="Q133" t="inlineStr">
        <is>
          <t>O</t>
        </is>
      </c>
    </row>
    <row r="134">
      <c r="A134" t="inlineStr">
        <is>
          <t>CREEDMOOR</t>
        </is>
      </c>
      <c r="B134" t="inlineStr">
        <is>
          <t>PVA MAIN STREET</t>
        </is>
      </c>
      <c r="C134">
        <v>0.0</v>
      </c>
      <c r="E134" t="inlineStr">
        <is>
          <t>NC 56</t>
        </is>
      </c>
      <c r="F134" t="inlineStr">
        <is>
          <t>NC 56</t>
        </is>
      </c>
      <c r="G134" t="inlineStr">
        <is>
          <t>NC 50</t>
        </is>
      </c>
      <c r="H134">
        <v>3.284</v>
      </c>
      <c r="J134" s="604" t="inlineStr">
        <is>
          <t>NIS</t>
        </is>
      </c>
      <c r="K134">
        <v>105762325</v>
      </c>
      <c r="L134" s="2">
        <v>43497</v>
      </c>
      <c r="M134">
        <v>19</v>
      </c>
      <c r="N134">
        <v>1</v>
      </c>
      <c r="O134">
        <v>0</v>
      </c>
      <c r="P134">
        <v>1</v>
      </c>
      <c r="Q134" t="inlineStr">
        <is>
          <t>O</t>
        </is>
      </c>
    </row>
    <row r="135">
      <c r="A135" t="inlineStr">
        <is>
          <t>OXFORD</t>
        </is>
      </c>
      <c r="B135" t="inlineStr">
        <is>
          <t>SPRING</t>
        </is>
      </c>
      <c r="C135">
        <v>0.0</v>
      </c>
      <c r="E135" t="inlineStr">
        <is>
          <t>GRANVILLE</t>
        </is>
      </c>
      <c r="F135" t="inlineStr">
        <is>
          <t>MARTIN LUTHER KING</t>
        </is>
      </c>
      <c r="G135" t="inlineStr">
        <is>
          <t>SPRING</t>
        </is>
      </c>
      <c r="H135">
        <v>0.09</v>
      </c>
      <c r="J135" s="604" t="inlineStr">
        <is>
          <t>NIS</t>
        </is>
      </c>
      <c r="K135">
        <v>105771423</v>
      </c>
      <c r="L135" s="2">
        <v>43501</v>
      </c>
      <c r="M135">
        <v>21</v>
      </c>
      <c r="N135">
        <v>1</v>
      </c>
      <c r="O135">
        <v>0</v>
      </c>
      <c r="P135">
        <v>1</v>
      </c>
      <c r="Q135" t="inlineStr">
        <is>
          <t>C</t>
        </is>
      </c>
    </row>
    <row r="136">
      <c r="A136" t="inlineStr">
        <is>
          <t>RURAL</t>
        </is>
      </c>
      <c r="B136" t="inlineStr">
        <is>
          <t>SR 1521</t>
        </is>
      </c>
      <c r="C136">
        <v>0.009</v>
      </c>
      <c r="D136" t="inlineStr">
        <is>
          <t>S</t>
        </is>
      </c>
      <c r="E136" t="inlineStr">
        <is>
          <t>SR 1522</t>
        </is>
      </c>
      <c r="F136" t="inlineStr">
        <is>
          <t>SR 1524</t>
        </is>
      </c>
      <c r="G136" t="inlineStr">
        <is>
          <t>SR 1521</t>
        </is>
      </c>
      <c r="H136">
        <v>3.298</v>
      </c>
      <c r="J136" s="604" t="inlineStr">
        <is>
          <t>NIS</t>
        </is>
      </c>
      <c r="K136">
        <v>105770209</v>
      </c>
      <c r="L136" s="2">
        <v>43505</v>
      </c>
      <c r="M136">
        <v>29</v>
      </c>
      <c r="N136">
        <v>1</v>
      </c>
      <c r="O136">
        <v>0</v>
      </c>
      <c r="P136">
        <v>1</v>
      </c>
      <c r="Q136" t="inlineStr">
        <is>
          <t>C</t>
        </is>
      </c>
    </row>
    <row r="137">
      <c r="A137" t="inlineStr">
        <is>
          <t>RURAL</t>
        </is>
      </c>
      <c r="B137" t="inlineStr">
        <is>
          <t>US 158</t>
        </is>
      </c>
      <c r="C137">
        <v>0.01</v>
      </c>
      <c r="D137" t="inlineStr">
        <is>
          <t>W</t>
        </is>
      </c>
      <c r="E137" t="inlineStr">
        <is>
          <t>SR 1522</t>
        </is>
      </c>
      <c r="F137" t="inlineStr">
        <is>
          <t>US 15</t>
        </is>
      </c>
      <c r="G137" t="inlineStr">
        <is>
          <t>US 158</t>
        </is>
      </c>
      <c r="H137">
        <v>14.045</v>
      </c>
      <c r="J137" s="604" t="inlineStr">
        <is>
          <t>NIS</t>
        </is>
      </c>
      <c r="K137">
        <v>105790343</v>
      </c>
      <c r="L137" s="2">
        <v>43523</v>
      </c>
      <c r="M137">
        <v>21</v>
      </c>
      <c r="N137">
        <v>1</v>
      </c>
      <c r="O137">
        <v>0</v>
      </c>
      <c r="P137">
        <v>1</v>
      </c>
      <c r="Q137" t="inlineStr">
        <is>
          <t>B</t>
        </is>
      </c>
    </row>
    <row r="138">
      <c r="A138" t="inlineStr">
        <is>
          <t>OXFORD</t>
        </is>
      </c>
      <c r="B138" t="inlineStr">
        <is>
          <t>PVA PVA OF HIX GYM</t>
        </is>
      </c>
      <c r="C138">
        <v>0.0</v>
      </c>
      <c r="E138" t="inlineStr">
        <is>
          <t>SPRING</t>
        </is>
      </c>
      <c r="F138" t="inlineStr">
        <is>
          <t>PVA COOPER ST</t>
        </is>
      </c>
      <c r="H138">
        <v>999.999</v>
      </c>
      <c r="J138" s="604" t="inlineStr">
        <is>
          <t>NIS</t>
        </is>
      </c>
      <c r="K138">
        <v>105808057</v>
      </c>
      <c r="L138" s="2">
        <v>43526</v>
      </c>
      <c r="M138">
        <v>5</v>
      </c>
      <c r="N138">
        <v>1</v>
      </c>
      <c r="O138">
        <v>0</v>
      </c>
      <c r="P138">
        <v>1</v>
      </c>
    </row>
    <row r="139">
      <c r="A139" t="inlineStr">
        <is>
          <t>CREEDMOOR</t>
        </is>
      </c>
      <c r="B139" t="inlineStr">
        <is>
          <t>WILTON</t>
        </is>
      </c>
      <c r="C139">
        <v>0.008</v>
      </c>
      <c r="D139" t="inlineStr">
        <is>
          <t>W</t>
        </is>
      </c>
      <c r="E139" t="inlineStr">
        <is>
          <t>MAIN</t>
        </is>
      </c>
      <c r="F139" t="inlineStr">
        <is>
          <t>US 15</t>
        </is>
      </c>
      <c r="G139" t="inlineStr">
        <is>
          <t>NC 50</t>
        </is>
      </c>
      <c r="H139">
        <v>3.293</v>
      </c>
      <c r="J139" s="604" t="inlineStr">
        <is>
          <t>NIS</t>
        </is>
      </c>
      <c r="K139">
        <v>105924216</v>
      </c>
      <c r="L139" s="2">
        <v>43526</v>
      </c>
      <c r="M139">
        <v>2</v>
      </c>
      <c r="N139">
        <v>1</v>
      </c>
      <c r="O139">
        <v>7</v>
      </c>
      <c r="P139">
        <v>4</v>
      </c>
      <c r="Q139" t="inlineStr">
        <is>
          <t>O</t>
        </is>
      </c>
    </row>
    <row r="140">
      <c r="A140" t="inlineStr">
        <is>
          <t>OXFORD</t>
        </is>
      </c>
      <c r="B140" t="inlineStr">
        <is>
          <t>MAIN</t>
        </is>
      </c>
      <c r="C140">
        <v>0.028</v>
      </c>
      <c r="D140" t="inlineStr">
        <is>
          <t>S</t>
        </is>
      </c>
      <c r="E140" t="inlineStr">
        <is>
          <t>WILLIAMSBORO</t>
        </is>
      </c>
      <c r="F140" t="inlineStr">
        <is>
          <t>COURT</t>
        </is>
      </c>
      <c r="G140" t="inlineStr">
        <is>
          <t>SR 1602</t>
        </is>
      </c>
      <c r="H140">
        <v>1.476</v>
      </c>
      <c r="J140" s="604" t="inlineStr">
        <is>
          <t>NIS</t>
        </is>
      </c>
      <c r="K140">
        <v>105799613</v>
      </c>
      <c r="L140" s="2">
        <v>43535</v>
      </c>
      <c r="M140">
        <v>31</v>
      </c>
      <c r="N140">
        <v>1</v>
      </c>
      <c r="O140">
        <v>0</v>
      </c>
      <c r="P140">
        <v>1</v>
      </c>
      <c r="Q140" t="inlineStr">
        <is>
          <t>O</t>
        </is>
      </c>
    </row>
    <row r="141">
      <c r="A141" t="inlineStr">
        <is>
          <t>CREEDMOOR</t>
        </is>
      </c>
      <c r="B141" t="inlineStr">
        <is>
          <t>MAIN</t>
        </is>
      </c>
      <c r="C141">
        <v>0.0</v>
      </c>
      <c r="E141" t="inlineStr">
        <is>
          <t>CHURCH</t>
        </is>
      </c>
      <c r="F141" t="inlineStr">
        <is>
          <t>ROGER</t>
        </is>
      </c>
      <c r="G141" t="inlineStr">
        <is>
          <t>NC 50</t>
        </is>
      </c>
      <c r="H141">
        <v>2.868</v>
      </c>
      <c r="J141" s="604" t="inlineStr">
        <is>
          <t>NIS</t>
        </is>
      </c>
      <c r="K141">
        <v>105801665</v>
      </c>
      <c r="L141" s="2">
        <v>43536</v>
      </c>
      <c r="M141">
        <v>21</v>
      </c>
      <c r="N141">
        <v>1</v>
      </c>
      <c r="O141">
        <v>7</v>
      </c>
      <c r="P141">
        <v>1</v>
      </c>
      <c r="Q141" t="inlineStr">
        <is>
          <t>O</t>
        </is>
      </c>
    </row>
    <row r="142">
      <c r="A142" t="inlineStr">
        <is>
          <t>OXFORD</t>
        </is>
      </c>
      <c r="B142" t="inlineStr">
        <is>
          <t>SPRING</t>
        </is>
      </c>
      <c r="C142">
        <v>0.0</v>
      </c>
      <c r="E142" t="inlineStr">
        <is>
          <t>MARTIN LUTHER KING</t>
        </is>
      </c>
      <c r="F142" t="inlineStr">
        <is>
          <t>WALL</t>
        </is>
      </c>
      <c r="G142" t="inlineStr">
        <is>
          <t>SPRING</t>
        </is>
      </c>
      <c r="H142">
        <v>999.999</v>
      </c>
      <c r="J142" s="604" t="inlineStr">
        <is>
          <t>NIS</t>
        </is>
      </c>
      <c r="K142">
        <v>105801662</v>
      </c>
      <c r="L142" s="2">
        <v>43537</v>
      </c>
      <c r="M142">
        <v>31</v>
      </c>
      <c r="N142">
        <v>1</v>
      </c>
      <c r="O142">
        <v>0</v>
      </c>
      <c r="P142">
        <v>1</v>
      </c>
      <c r="Q142" t="inlineStr">
        <is>
          <t>O</t>
        </is>
      </c>
    </row>
    <row r="143">
      <c r="A143" t="inlineStr">
        <is>
          <t>RURAL</t>
        </is>
      </c>
      <c r="B143" t="inlineStr">
        <is>
          <t>SR 1522</t>
        </is>
      </c>
      <c r="C143">
        <v>0.0</v>
      </c>
      <c r="E143" t="inlineStr">
        <is>
          <t>SR 1523</t>
        </is>
      </c>
      <c r="F143" t="inlineStr">
        <is>
          <t>SR 1521</t>
        </is>
      </c>
      <c r="G143" t="inlineStr">
        <is>
          <t>SR 1522</t>
        </is>
      </c>
      <c r="H143">
        <v>1.913</v>
      </c>
      <c r="J143" s="604" t="inlineStr">
        <is>
          <t>NIS</t>
        </is>
      </c>
      <c r="K143">
        <v>105807326</v>
      </c>
      <c r="L143" s="2">
        <v>43543</v>
      </c>
      <c r="M143">
        <v>21</v>
      </c>
      <c r="N143">
        <v>1</v>
      </c>
      <c r="O143">
        <v>8</v>
      </c>
      <c r="P143">
        <v>1</v>
      </c>
      <c r="Q143" t="inlineStr">
        <is>
          <t>O</t>
        </is>
      </c>
    </row>
    <row r="144">
      <c r="A144" t="inlineStr">
        <is>
          <t>CREEDMOOR</t>
        </is>
      </c>
      <c r="B144" t="inlineStr">
        <is>
          <t>MAIN</t>
        </is>
      </c>
      <c r="C144">
        <v>0.014</v>
      </c>
      <c r="D144" t="inlineStr">
        <is>
          <t>N</t>
        </is>
      </c>
      <c r="E144" t="inlineStr">
        <is>
          <t>LION</t>
        </is>
      </c>
      <c r="F144" t="inlineStr">
        <is>
          <t>MASONIC</t>
        </is>
      </c>
      <c r="G144" t="inlineStr">
        <is>
          <t>NC 50</t>
        </is>
      </c>
      <c r="H144">
        <v>2.951</v>
      </c>
      <c r="J144" s="604" t="inlineStr">
        <is>
          <t>NIS</t>
        </is>
      </c>
      <c r="K144">
        <v>105822297</v>
      </c>
      <c r="L144" s="2">
        <v>43551</v>
      </c>
      <c r="M144">
        <v>28</v>
      </c>
      <c r="N144">
        <v>1</v>
      </c>
      <c r="O144">
        <v>0</v>
      </c>
      <c r="P144">
        <v>1</v>
      </c>
    </row>
    <row r="145">
      <c r="A145" t="inlineStr">
        <is>
          <t>OXFORD</t>
        </is>
      </c>
      <c r="B145" t="inlineStr">
        <is>
          <t>WILLIAMSBORO</t>
        </is>
      </c>
      <c r="C145">
        <v>0.0</v>
      </c>
      <c r="E145" t="inlineStr">
        <is>
          <t>SALEM</t>
        </is>
      </c>
      <c r="F145" t="inlineStr">
        <is>
          <t>PINECONE</t>
        </is>
      </c>
      <c r="G145" t="inlineStr">
        <is>
          <t>US 158BUS</t>
        </is>
      </c>
      <c r="H145">
        <v>2.685</v>
      </c>
      <c r="J145" s="604" t="inlineStr">
        <is>
          <t>NIS</t>
        </is>
      </c>
      <c r="K145">
        <v>105836651</v>
      </c>
      <c r="L145" s="2">
        <v>43557</v>
      </c>
      <c r="M145">
        <v>30</v>
      </c>
      <c r="N145">
        <v>2</v>
      </c>
      <c r="O145">
        <v>0</v>
      </c>
      <c r="P145">
        <v>1</v>
      </c>
      <c r="Q145" t="inlineStr">
        <is>
          <t>C</t>
        </is>
      </c>
    </row>
    <row r="146">
      <c r="A146" t="inlineStr">
        <is>
          <t>RURAL</t>
        </is>
      </c>
      <c r="B146" t="inlineStr">
        <is>
          <t>US 158</t>
        </is>
      </c>
      <c r="C146">
        <v>0.0</v>
      </c>
      <c r="E146" t="inlineStr">
        <is>
          <t>SR 1602</t>
        </is>
      </c>
      <c r="F146" t="inlineStr">
        <is>
          <t>SR 1522</t>
        </is>
      </c>
      <c r="G146" t="inlineStr">
        <is>
          <t>US 158</t>
        </is>
      </c>
      <c r="H146">
        <v>999.999</v>
      </c>
      <c r="J146" s="604" t="inlineStr">
        <is>
          <t>NIS</t>
        </is>
      </c>
      <c r="K146">
        <v>105825638</v>
      </c>
      <c r="L146" s="2">
        <v>43562</v>
      </c>
      <c r="M146">
        <v>23</v>
      </c>
      <c r="N146">
        <v>1</v>
      </c>
      <c r="O146">
        <v>7</v>
      </c>
      <c r="P146">
        <v>1</v>
      </c>
      <c r="Q146" t="inlineStr">
        <is>
          <t>B</t>
        </is>
      </c>
    </row>
    <row r="147">
      <c r="A147" t="inlineStr">
        <is>
          <t>OXFORD</t>
        </is>
      </c>
      <c r="B147" t="inlineStr">
        <is>
          <t>WILLIAMSBORO</t>
        </is>
      </c>
      <c r="C147">
        <v>0.0</v>
      </c>
      <c r="E147" t="inlineStr">
        <is>
          <t>MAIN</t>
        </is>
      </c>
      <c r="G147" t="inlineStr">
        <is>
          <t>US 158BUS</t>
        </is>
      </c>
      <c r="H147">
        <v>2.055</v>
      </c>
      <c r="J147" s="604" t="inlineStr">
        <is>
          <t>NIS</t>
        </is>
      </c>
      <c r="K147">
        <v>105849892</v>
      </c>
      <c r="L147" s="2">
        <v>43587</v>
      </c>
      <c r="M147">
        <v>21</v>
      </c>
      <c r="N147">
        <v>1</v>
      </c>
      <c r="O147">
        <v>0</v>
      </c>
      <c r="P147">
        <v>1</v>
      </c>
      <c r="Q147" t="inlineStr">
        <is>
          <t>O</t>
        </is>
      </c>
    </row>
    <row r="148">
      <c r="A148" t="inlineStr">
        <is>
          <t>CREEDMOOR</t>
        </is>
      </c>
      <c r="B148" t="inlineStr">
        <is>
          <t>MAIN</t>
        </is>
      </c>
      <c r="C148">
        <v>0.009</v>
      </c>
      <c r="D148" t="inlineStr">
        <is>
          <t>N</t>
        </is>
      </c>
      <c r="E148" t="inlineStr">
        <is>
          <t>LION</t>
        </is>
      </c>
      <c r="F148" t="inlineStr">
        <is>
          <t>SANDERFORD</t>
        </is>
      </c>
      <c r="G148" t="inlineStr">
        <is>
          <t>NC 50</t>
        </is>
      </c>
      <c r="H148">
        <v>2.946</v>
      </c>
      <c r="J148" s="604" t="inlineStr">
        <is>
          <t>NIS</t>
        </is>
      </c>
      <c r="K148">
        <v>105860727</v>
      </c>
      <c r="L148" s="2">
        <v>43595</v>
      </c>
      <c r="M148">
        <v>28</v>
      </c>
      <c r="N148">
        <v>1</v>
      </c>
      <c r="P148">
        <v>1</v>
      </c>
      <c r="Q148" t="inlineStr">
        <is>
          <t>O</t>
        </is>
      </c>
    </row>
    <row r="149">
      <c r="A149" t="inlineStr">
        <is>
          <t>RURAL</t>
        </is>
      </c>
      <c r="B149" t="inlineStr">
        <is>
          <t>SR 1522</t>
        </is>
      </c>
      <c r="C149">
        <v>0.0</v>
      </c>
      <c r="E149" t="inlineStr">
        <is>
          <t>SR 1146</t>
        </is>
      </c>
      <c r="F149" t="inlineStr">
        <is>
          <t>SR 1523</t>
        </is>
      </c>
      <c r="G149" t="inlineStr">
        <is>
          <t>SR 1522</t>
        </is>
      </c>
      <c r="H149">
        <v>999.999</v>
      </c>
      <c r="J149" s="604" t="inlineStr">
        <is>
          <t>NIS</t>
        </is>
      </c>
      <c r="K149">
        <v>105865220</v>
      </c>
      <c r="L149" s="2">
        <v>43599</v>
      </c>
      <c r="M149">
        <v>30</v>
      </c>
      <c r="N149">
        <v>1</v>
      </c>
      <c r="O149">
        <v>7</v>
      </c>
      <c r="P149">
        <v>1</v>
      </c>
      <c r="Q149" t="inlineStr">
        <is>
          <t>B</t>
        </is>
      </c>
    </row>
    <row r="150">
      <c r="A150" t="inlineStr">
        <is>
          <t>RURAL</t>
        </is>
      </c>
      <c r="B150" t="inlineStr">
        <is>
          <t>US 158</t>
        </is>
      </c>
      <c r="C150">
        <v>0.0</v>
      </c>
      <c r="E150" t="inlineStr">
        <is>
          <t>SR 1522</t>
        </is>
      </c>
      <c r="F150" t="inlineStr">
        <is>
          <t>US 15</t>
        </is>
      </c>
      <c r="G150" t="inlineStr">
        <is>
          <t>US 158</t>
        </is>
      </c>
      <c r="H150">
        <v>14.055</v>
      </c>
      <c r="J150" s="604" t="inlineStr">
        <is>
          <t>NIS</t>
        </is>
      </c>
      <c r="K150">
        <v>105890212</v>
      </c>
      <c r="L150" s="2">
        <v>43620</v>
      </c>
      <c r="M150">
        <v>30</v>
      </c>
      <c r="N150">
        <v>1</v>
      </c>
      <c r="O150">
        <v>7</v>
      </c>
      <c r="P150">
        <v>1</v>
      </c>
      <c r="Q150" t="inlineStr">
        <is>
          <t>O</t>
        </is>
      </c>
    </row>
    <row r="151">
      <c r="A151" t="inlineStr">
        <is>
          <t>RURAL</t>
        </is>
      </c>
      <c r="B151" t="inlineStr">
        <is>
          <t>SR 1522</t>
        </is>
      </c>
      <c r="C151">
        <v>0.3</v>
      </c>
      <c r="D151" t="inlineStr">
        <is>
          <t>E</t>
        </is>
      </c>
      <c r="E151" t="inlineStr">
        <is>
          <t>SR 1521</t>
        </is>
      </c>
      <c r="F151" t="inlineStr">
        <is>
          <t>SR 1526</t>
        </is>
      </c>
      <c r="G151" t="inlineStr">
        <is>
          <t>SR 1522</t>
        </is>
      </c>
      <c r="H151">
        <v>3.404</v>
      </c>
      <c r="J151" s="604" t="inlineStr">
        <is>
          <t>NIS</t>
        </is>
      </c>
      <c r="K151">
        <v>105890878</v>
      </c>
      <c r="L151" s="2">
        <v>43622</v>
      </c>
      <c r="M151">
        <v>27</v>
      </c>
      <c r="N151">
        <v>1</v>
      </c>
      <c r="O151">
        <v>0</v>
      </c>
      <c r="P151">
        <v>1</v>
      </c>
      <c r="Q151" t="inlineStr">
        <is>
          <t>B</t>
        </is>
      </c>
    </row>
    <row r="152">
      <c r="A152" t="inlineStr">
        <is>
          <t>OXFORD</t>
        </is>
      </c>
      <c r="B152" t="inlineStr">
        <is>
          <t>SPRING</t>
        </is>
      </c>
      <c r="C152">
        <v>0.0</v>
      </c>
      <c r="D152" t="inlineStr">
        <is>
          <t>E</t>
        </is>
      </c>
      <c r="E152" t="inlineStr">
        <is>
          <t>LEWIS</t>
        </is>
      </c>
      <c r="F152" t="inlineStr">
        <is>
          <t>CHURCH</t>
        </is>
      </c>
      <c r="G152" t="inlineStr">
        <is>
          <t>SPRING</t>
        </is>
      </c>
      <c r="H152">
        <v>999.999</v>
      </c>
      <c r="J152" s="604" t="inlineStr">
        <is>
          <t>NIS</t>
        </is>
      </c>
      <c r="K152">
        <v>106104024</v>
      </c>
      <c r="L152" s="2">
        <v>43629</v>
      </c>
      <c r="M152">
        <v>19</v>
      </c>
      <c r="N152">
        <v>2</v>
      </c>
      <c r="O152">
        <v>0</v>
      </c>
      <c r="P152">
        <v>2</v>
      </c>
      <c r="Q152" t="inlineStr">
        <is>
          <t>O</t>
        </is>
      </c>
    </row>
    <row r="153">
      <c r="A153" t="inlineStr">
        <is>
          <t>CREEDMOOR</t>
        </is>
      </c>
      <c r="B153" t="inlineStr">
        <is>
          <t>MAIN</t>
        </is>
      </c>
      <c r="C153">
        <v>0.038</v>
      </c>
      <c r="D153" t="inlineStr">
        <is>
          <t>S</t>
        </is>
      </c>
      <c r="E153" t="inlineStr">
        <is>
          <t>ROGER</t>
        </is>
      </c>
      <c r="F153" t="inlineStr">
        <is>
          <t>DOGWOOD</t>
        </is>
      </c>
      <c r="G153" t="inlineStr">
        <is>
          <t>NC 50</t>
        </is>
      </c>
      <c r="H153">
        <v>2.701</v>
      </c>
      <c r="J153" s="604" t="inlineStr">
        <is>
          <t>NIS</t>
        </is>
      </c>
      <c r="K153">
        <v>105898070</v>
      </c>
      <c r="L153" s="2">
        <v>43633</v>
      </c>
      <c r="M153">
        <v>29</v>
      </c>
      <c r="N153">
        <v>1</v>
      </c>
      <c r="O153">
        <v>0</v>
      </c>
      <c r="P153">
        <v>1</v>
      </c>
      <c r="Q153" t="inlineStr">
        <is>
          <t>O</t>
        </is>
      </c>
    </row>
    <row r="154">
      <c r="A154" t="inlineStr">
        <is>
          <t>CREEDMOOR</t>
        </is>
      </c>
      <c r="B154" t="inlineStr">
        <is>
          <t>MAIN</t>
        </is>
      </c>
      <c r="C154">
        <v>0.032</v>
      </c>
      <c r="D154" t="inlineStr">
        <is>
          <t>W</t>
        </is>
      </c>
      <c r="E154" t="inlineStr">
        <is>
          <t>SANDERFORD</t>
        </is>
      </c>
      <c r="F154" t="inlineStr">
        <is>
          <t>*LCL W LYON STREET</t>
        </is>
      </c>
      <c r="G154" t="inlineStr">
        <is>
          <t>NC 50</t>
        </is>
      </c>
      <c r="H154">
        <v>2.934</v>
      </c>
      <c r="J154" s="604" t="inlineStr">
        <is>
          <t>NIS</t>
        </is>
      </c>
      <c r="K154">
        <v>106032449</v>
      </c>
      <c r="L154" s="2">
        <v>43635</v>
      </c>
      <c r="M154">
        <v>30</v>
      </c>
      <c r="N154">
        <v>1</v>
      </c>
      <c r="O154">
        <v>0</v>
      </c>
      <c r="P154">
        <v>1</v>
      </c>
      <c r="Q154" t="inlineStr">
        <is>
          <t>O</t>
        </is>
      </c>
    </row>
    <row r="155">
      <c r="A155" t="inlineStr">
        <is>
          <t>CREEDMOOR</t>
        </is>
      </c>
      <c r="B155" t="inlineStr">
        <is>
          <t>MAIN</t>
        </is>
      </c>
      <c r="C155">
        <v>0.0</v>
      </c>
      <c r="E155" t="inlineStr">
        <is>
          <t>*PP 414 S MAIN ST</t>
        </is>
      </c>
      <c r="F155" t="inlineStr">
        <is>
          <t>*LCL PERRY FARM RD</t>
        </is>
      </c>
      <c r="H155">
        <v>999.999</v>
      </c>
      <c r="J155" s="604" t="inlineStr">
        <is>
          <t>NIS</t>
        </is>
      </c>
      <c r="K155">
        <v>105908438</v>
      </c>
      <c r="L155" s="2">
        <v>43642</v>
      </c>
      <c r="M155">
        <v>22</v>
      </c>
      <c r="N155">
        <v>1</v>
      </c>
      <c r="O155">
        <v>0</v>
      </c>
      <c r="P155">
        <v>1</v>
      </c>
      <c r="Q155" t="inlineStr">
        <is>
          <t>C</t>
        </is>
      </c>
      <c r="R155">
        <v>36.111494</v>
      </c>
      <c r="S155">
        <v>-78.687768</v>
      </c>
      <c r="T155" t="inlineStr">
        <is>
          <t>ITRE_CMV</t>
        </is>
      </c>
      <c r="V155">
        <v>14.816118007701826</v>
      </c>
    </row>
    <row r="156">
      <c r="A156" t="inlineStr">
        <is>
          <t>RURAL</t>
        </is>
      </c>
      <c r="B156" t="inlineStr">
        <is>
          <t>SR 1522</t>
        </is>
      </c>
      <c r="C156">
        <v>0.0</v>
      </c>
      <c r="E156" t="inlineStr">
        <is>
          <t>US 158</t>
        </is>
      </c>
      <c r="F156" t="inlineStr">
        <is>
          <t>SR 1515</t>
        </is>
      </c>
      <c r="G156" t="inlineStr">
        <is>
          <t>SR 1522</t>
        </is>
      </c>
      <c r="H156">
        <v>0.882</v>
      </c>
      <c r="J156" s="604" t="inlineStr">
        <is>
          <t>NIS</t>
        </is>
      </c>
      <c r="K156">
        <v>105921384</v>
      </c>
      <c r="L156" s="2">
        <v>43655</v>
      </c>
      <c r="M156">
        <v>30</v>
      </c>
      <c r="N156">
        <v>1</v>
      </c>
      <c r="O156">
        <v>7</v>
      </c>
      <c r="P156">
        <v>1</v>
      </c>
      <c r="Q156" t="inlineStr">
        <is>
          <t>B</t>
        </is>
      </c>
    </row>
    <row r="157">
      <c r="A157" t="inlineStr">
        <is>
          <t>CREEDMOOR</t>
        </is>
      </c>
      <c r="B157" t="inlineStr">
        <is>
          <t>MAIN</t>
        </is>
      </c>
      <c r="C157">
        <v>0.019</v>
      </c>
      <c r="D157" t="inlineStr">
        <is>
          <t>S</t>
        </is>
      </c>
      <c r="E157" t="inlineStr">
        <is>
          <t>FLEMING</t>
        </is>
      </c>
      <c r="F157" t="inlineStr">
        <is>
          <t>MILL</t>
        </is>
      </c>
      <c r="G157" t="inlineStr">
        <is>
          <t>NC 50</t>
        </is>
      </c>
      <c r="H157">
        <v>3.107</v>
      </c>
      <c r="J157" s="604" t="inlineStr">
        <is>
          <t>NIS</t>
        </is>
      </c>
      <c r="K157">
        <v>105924215</v>
      </c>
      <c r="L157" s="2">
        <v>43660</v>
      </c>
      <c r="M157">
        <v>19</v>
      </c>
      <c r="N157">
        <v>1</v>
      </c>
      <c r="O157">
        <v>0</v>
      </c>
      <c r="P157">
        <v>4</v>
      </c>
      <c r="Q157" t="inlineStr">
        <is>
          <t>O</t>
        </is>
      </c>
    </row>
    <row r="158">
      <c r="A158" t="inlineStr">
        <is>
          <t>OXFORD</t>
        </is>
      </c>
      <c r="B158" t="inlineStr">
        <is>
          <t>MAIN</t>
        </is>
      </c>
      <c r="C158">
        <v>0.011</v>
      </c>
      <c r="D158" t="inlineStr">
        <is>
          <t>N</t>
        </is>
      </c>
      <c r="E158" t="inlineStr">
        <is>
          <t>MCCLANAHAN</t>
        </is>
      </c>
      <c r="F158" t="inlineStr">
        <is>
          <t>HILLSBORO</t>
        </is>
      </c>
      <c r="G158" t="inlineStr">
        <is>
          <t>MAIN</t>
        </is>
      </c>
      <c r="H158">
        <v>999.999</v>
      </c>
      <c r="J158" s="604" t="inlineStr">
        <is>
          <t>NIS</t>
        </is>
      </c>
      <c r="K158">
        <v>105928354</v>
      </c>
      <c r="L158" s="2">
        <v>43663</v>
      </c>
      <c r="M158">
        <v>20</v>
      </c>
      <c r="N158">
        <v>1</v>
      </c>
      <c r="O158">
        <v>0</v>
      </c>
      <c r="P158">
        <v>1</v>
      </c>
      <c r="Q158" t="inlineStr">
        <is>
          <t>O</t>
        </is>
      </c>
    </row>
    <row r="159">
      <c r="A159" t="inlineStr">
        <is>
          <t>RURAL</t>
        </is>
      </c>
      <c r="B159" t="inlineStr">
        <is>
          <t>US 158</t>
        </is>
      </c>
      <c r="C159">
        <v>0.0</v>
      </c>
      <c r="E159" t="inlineStr">
        <is>
          <t>SR 1522</t>
        </is>
      </c>
      <c r="F159" t="inlineStr">
        <is>
          <t>US 15</t>
        </is>
      </c>
      <c r="G159" t="inlineStr">
        <is>
          <t>US 158</t>
        </is>
      </c>
      <c r="H159">
        <v>14.055</v>
      </c>
      <c r="J159" s="604" t="inlineStr">
        <is>
          <t>NIS</t>
        </is>
      </c>
      <c r="K159">
        <v>105930374</v>
      </c>
      <c r="L159" s="2">
        <v>43665</v>
      </c>
      <c r="M159">
        <v>30</v>
      </c>
      <c r="N159">
        <v>1</v>
      </c>
      <c r="O159">
        <v>7</v>
      </c>
      <c r="P159">
        <v>1</v>
      </c>
      <c r="Q159" t="inlineStr">
        <is>
          <t>O</t>
        </is>
      </c>
    </row>
    <row r="160">
      <c r="A160" t="inlineStr">
        <is>
          <t>CREEDMOOR</t>
        </is>
      </c>
      <c r="B160" t="inlineStr">
        <is>
          <t>MAIN</t>
        </is>
      </c>
      <c r="C160">
        <v>0.004</v>
      </c>
      <c r="D160" t="inlineStr">
        <is>
          <t>S</t>
        </is>
      </c>
      <c r="E160" t="inlineStr">
        <is>
          <t>CHURCH</t>
        </is>
      </c>
      <c r="F160" t="inlineStr">
        <is>
          <t>DOGWOOD</t>
        </is>
      </c>
      <c r="G160" t="inlineStr">
        <is>
          <t>NC 50</t>
        </is>
      </c>
      <c r="H160">
        <v>2.864</v>
      </c>
      <c r="J160" s="604" t="inlineStr">
        <is>
          <t>NIS</t>
        </is>
      </c>
      <c r="K160">
        <v>105943302</v>
      </c>
      <c r="L160" s="2">
        <v>43676</v>
      </c>
      <c r="M160">
        <v>30</v>
      </c>
      <c r="N160">
        <v>1</v>
      </c>
      <c r="O160">
        <v>4</v>
      </c>
      <c r="P160">
        <v>1</v>
      </c>
      <c r="Q160" t="inlineStr">
        <is>
          <t>C</t>
        </is>
      </c>
    </row>
    <row r="161">
      <c r="A161" t="inlineStr">
        <is>
          <t>OXFORD</t>
        </is>
      </c>
      <c r="B161" t="inlineStr">
        <is>
          <t>PVA USPS PVA</t>
        </is>
      </c>
      <c r="C161">
        <v>0.006</v>
      </c>
      <c r="D161" t="inlineStr">
        <is>
          <t>N</t>
        </is>
      </c>
      <c r="E161" t="inlineStr">
        <is>
          <t>SPRING</t>
        </is>
      </c>
      <c r="F161" t="inlineStr">
        <is>
          <t>WALL</t>
        </is>
      </c>
      <c r="H161">
        <v>999.999</v>
      </c>
      <c r="J161" s="604" t="inlineStr">
        <is>
          <t>NIS</t>
        </is>
      </c>
      <c r="K161">
        <v>105975736</v>
      </c>
      <c r="L161" s="2">
        <v>43701</v>
      </c>
      <c r="M161">
        <v>31</v>
      </c>
      <c r="N161">
        <v>1</v>
      </c>
      <c r="O161">
        <v>0</v>
      </c>
      <c r="P161">
        <v>1</v>
      </c>
      <c r="Q161" t="inlineStr">
        <is>
          <t>O</t>
        </is>
      </c>
    </row>
    <row r="162">
      <c r="A162" t="inlineStr">
        <is>
          <t>OXFORD</t>
        </is>
      </c>
      <c r="B162" t="inlineStr">
        <is>
          <t>MAIN</t>
        </is>
      </c>
      <c r="C162">
        <v>0.019</v>
      </c>
      <c r="D162" t="inlineStr">
        <is>
          <t>S</t>
        </is>
      </c>
      <c r="E162" t="inlineStr">
        <is>
          <t>HIGH</t>
        </is>
      </c>
      <c r="F162" t="inlineStr">
        <is>
          <t>FRONT</t>
        </is>
      </c>
      <c r="G162" t="inlineStr">
        <is>
          <t>SR 1602</t>
        </is>
      </c>
      <c r="H162">
        <v>1.214</v>
      </c>
      <c r="J162" s="604" t="inlineStr">
        <is>
          <t>NIS</t>
        </is>
      </c>
      <c r="K162">
        <v>105988532</v>
      </c>
      <c r="L162" s="2">
        <v>43722</v>
      </c>
      <c r="M162">
        <v>30</v>
      </c>
      <c r="N162">
        <v>1</v>
      </c>
      <c r="O162">
        <v>0</v>
      </c>
      <c r="P162">
        <v>1</v>
      </c>
      <c r="Q162" t="inlineStr">
        <is>
          <t>O</t>
        </is>
      </c>
    </row>
    <row r="163">
      <c r="A163" t="inlineStr">
        <is>
          <t>OXFORD</t>
        </is>
      </c>
      <c r="B163" t="inlineStr">
        <is>
          <t>SPRING</t>
        </is>
      </c>
      <c r="C163">
        <v>0.0</v>
      </c>
      <c r="E163" t="inlineStr">
        <is>
          <t>GILLIAM</t>
        </is>
      </c>
      <c r="F163" t="inlineStr">
        <is>
          <t>BELL</t>
        </is>
      </c>
      <c r="G163" t="inlineStr">
        <is>
          <t>SPRING</t>
        </is>
      </c>
      <c r="H163">
        <v>0.4</v>
      </c>
      <c r="J163" s="604" t="inlineStr">
        <is>
          <t>NIS</t>
        </is>
      </c>
      <c r="K163">
        <v>105988533</v>
      </c>
      <c r="L163" s="2">
        <v>43722</v>
      </c>
      <c r="M163">
        <v>0</v>
      </c>
      <c r="N163">
        <v>1</v>
      </c>
      <c r="O163">
        <v>0</v>
      </c>
      <c r="P163">
        <v>1</v>
      </c>
    </row>
    <row r="164">
      <c r="A164" t="inlineStr">
        <is>
          <t>RURAL</t>
        </is>
      </c>
      <c r="B164" t="inlineStr">
        <is>
          <t>SR 1522</t>
        </is>
      </c>
      <c r="C164">
        <v>1.0</v>
      </c>
      <c r="D164" t="inlineStr">
        <is>
          <t>E</t>
        </is>
      </c>
      <c r="E164" t="inlineStr">
        <is>
          <t>US 158</t>
        </is>
      </c>
      <c r="F164" t="inlineStr">
        <is>
          <t>SR 1195</t>
        </is>
      </c>
      <c r="G164" t="inlineStr">
        <is>
          <t>SR 1522</t>
        </is>
      </c>
      <c r="H164">
        <v>1.882</v>
      </c>
      <c r="J164" s="604" t="inlineStr">
        <is>
          <t>NIS</t>
        </is>
      </c>
      <c r="K164">
        <v>105994366</v>
      </c>
      <c r="L164" s="2">
        <v>43725</v>
      </c>
      <c r="M164">
        <v>17</v>
      </c>
      <c r="N164">
        <v>1</v>
      </c>
      <c r="O164">
        <v>0</v>
      </c>
      <c r="P164">
        <v>5</v>
      </c>
      <c r="Q164" t="inlineStr">
        <is>
          <t>O</t>
        </is>
      </c>
    </row>
    <row r="165">
      <c r="A165" t="inlineStr">
        <is>
          <t>OXFORD</t>
        </is>
      </c>
      <c r="B165" t="inlineStr">
        <is>
          <t>SR 1161</t>
        </is>
      </c>
      <c r="C165">
        <v>0.0</v>
      </c>
      <c r="E165" t="inlineStr">
        <is>
          <t>SR 1602</t>
        </is>
      </c>
      <c r="F165" t="inlineStr">
        <is>
          <t>HIGHLAND</t>
        </is>
      </c>
      <c r="G165" t="inlineStr">
        <is>
          <t>SR 1161</t>
        </is>
      </c>
      <c r="H165">
        <v>999.999</v>
      </c>
      <c r="J165" s="604" t="inlineStr">
        <is>
          <t>NIS</t>
        </is>
      </c>
      <c r="K165">
        <v>106009333</v>
      </c>
      <c r="L165" s="2">
        <v>43732</v>
      </c>
      <c r="M165">
        <v>19</v>
      </c>
      <c r="N165">
        <v>1</v>
      </c>
      <c r="O165">
        <v>8</v>
      </c>
      <c r="P165">
        <v>4</v>
      </c>
      <c r="Q165" t="inlineStr">
        <is>
          <t>C</t>
        </is>
      </c>
    </row>
    <row r="166">
      <c r="A166" t="inlineStr">
        <is>
          <t>RURAL</t>
        </is>
      </c>
      <c r="B166" t="inlineStr">
        <is>
          <t>SR 1522</t>
        </is>
      </c>
      <c r="C166">
        <v>1.2</v>
      </c>
      <c r="D166" t="inlineStr">
        <is>
          <t>N</t>
        </is>
      </c>
      <c r="E166" t="inlineStr">
        <is>
          <t>SR 1521</t>
        </is>
      </c>
      <c r="F166" t="inlineStr">
        <is>
          <t>SR 1520</t>
        </is>
      </c>
      <c r="G166" t="inlineStr">
        <is>
          <t>SR 1522</t>
        </is>
      </c>
      <c r="H166">
        <v>4.304</v>
      </c>
      <c r="J166" s="604" t="inlineStr">
        <is>
          <t>NIS</t>
        </is>
      </c>
      <c r="K166">
        <v>106014443</v>
      </c>
      <c r="L166" s="2">
        <v>43741</v>
      </c>
      <c r="M166">
        <v>28</v>
      </c>
      <c r="N166">
        <v>1</v>
      </c>
      <c r="O166">
        <v>0</v>
      </c>
      <c r="P166">
        <v>1</v>
      </c>
      <c r="Q166" t="inlineStr">
        <is>
          <t>O</t>
        </is>
      </c>
    </row>
    <row r="167">
      <c r="A167" t="inlineStr">
        <is>
          <t>RURAL</t>
        </is>
      </c>
      <c r="B167" t="inlineStr">
        <is>
          <t>SR 1522</t>
        </is>
      </c>
      <c r="C167">
        <v>0.0</v>
      </c>
      <c r="E167" t="inlineStr">
        <is>
          <t>US 158</t>
        </is>
      </c>
      <c r="F167" t="inlineStr">
        <is>
          <t>SR 1515</t>
        </is>
      </c>
      <c r="G167" t="inlineStr">
        <is>
          <t>SR 1522</t>
        </is>
      </c>
      <c r="H167">
        <v>0.882</v>
      </c>
      <c r="J167" s="604" t="inlineStr">
        <is>
          <t>NIS</t>
        </is>
      </c>
      <c r="K167">
        <v>106039704</v>
      </c>
      <c r="L167" s="2">
        <v>43762</v>
      </c>
      <c r="M167">
        <v>25</v>
      </c>
      <c r="N167">
        <v>1</v>
      </c>
      <c r="O167">
        <v>7</v>
      </c>
      <c r="P167">
        <v>1</v>
      </c>
      <c r="Q167" t="inlineStr">
        <is>
          <t>O</t>
        </is>
      </c>
    </row>
    <row r="168">
      <c r="A168" t="inlineStr">
        <is>
          <t>RURAL</t>
        </is>
      </c>
      <c r="B168" t="inlineStr">
        <is>
          <t>US 158</t>
        </is>
      </c>
      <c r="C168">
        <v>0.004</v>
      </c>
      <c r="D168" t="inlineStr">
        <is>
          <t>E</t>
        </is>
      </c>
      <c r="E168" t="inlineStr">
        <is>
          <t>SR 1602</t>
        </is>
      </c>
      <c r="F168" t="inlineStr">
        <is>
          <t>I 85</t>
        </is>
      </c>
      <c r="G168" t="inlineStr">
        <is>
          <t>US 158</t>
        </is>
      </c>
      <c r="H168">
        <v>999.999</v>
      </c>
      <c r="J168" s="604" t="inlineStr">
        <is>
          <t>NIS</t>
        </is>
      </c>
      <c r="K168">
        <v>106048164</v>
      </c>
      <c r="L168" s="2">
        <v>43768</v>
      </c>
      <c r="M168">
        <v>21</v>
      </c>
      <c r="N168">
        <v>1</v>
      </c>
      <c r="O168">
        <v>0</v>
      </c>
      <c r="P168">
        <v>5</v>
      </c>
      <c r="Q168" t="inlineStr">
        <is>
          <t>O</t>
        </is>
      </c>
    </row>
    <row r="169">
      <c r="A169" t="inlineStr">
        <is>
          <t>CREEDMOOR</t>
        </is>
      </c>
      <c r="B169" t="inlineStr">
        <is>
          <t>MAIN</t>
        </is>
      </c>
      <c r="C169">
        <v>0.063</v>
      </c>
      <c r="D169" t="inlineStr">
        <is>
          <t>S</t>
        </is>
      </c>
      <c r="E169" t="inlineStr">
        <is>
          <t>MOSS</t>
        </is>
      </c>
      <c r="F169" t="inlineStr">
        <is>
          <t>MANGUM</t>
        </is>
      </c>
      <c r="G169" t="inlineStr">
        <is>
          <t>SR 1639</t>
        </is>
      </c>
      <c r="H169">
        <v>0.362</v>
      </c>
      <c r="J169" s="604" t="inlineStr">
        <is>
          <t>NIS</t>
        </is>
      </c>
      <c r="K169">
        <v>106064139</v>
      </c>
      <c r="L169" s="2">
        <v>43774</v>
      </c>
      <c r="M169">
        <v>17</v>
      </c>
      <c r="N169">
        <v>1</v>
      </c>
      <c r="O169">
        <v>0</v>
      </c>
      <c r="P169">
        <v>4</v>
      </c>
      <c r="Q169" t="inlineStr">
        <is>
          <t>O</t>
        </is>
      </c>
    </row>
    <row r="170">
      <c r="A170" t="inlineStr">
        <is>
          <t>OXFORD</t>
        </is>
      </c>
      <c r="B170" t="inlineStr">
        <is>
          <t>MARTIN LUTHER KING</t>
        </is>
      </c>
      <c r="C170">
        <v>0.0</v>
      </c>
      <c r="E170" t="inlineStr">
        <is>
          <t>SPRING</t>
        </is>
      </c>
      <c r="F170" t="inlineStr">
        <is>
          <t>MARTIN LUTHER KING</t>
        </is>
      </c>
      <c r="G170" t="inlineStr">
        <is>
          <t>NC 96</t>
        </is>
      </c>
      <c r="H170">
        <v>17.59</v>
      </c>
      <c r="J170" s="604" t="inlineStr">
        <is>
          <t>NIS</t>
        </is>
      </c>
      <c r="K170">
        <v>106061382</v>
      </c>
      <c r="L170" s="2">
        <v>43783</v>
      </c>
      <c r="M170">
        <v>28</v>
      </c>
      <c r="N170">
        <v>1</v>
      </c>
      <c r="O170">
        <v>0</v>
      </c>
      <c r="P170">
        <v>1</v>
      </c>
      <c r="Q170" t="inlineStr">
        <is>
          <t>O</t>
        </is>
      </c>
    </row>
    <row r="171">
      <c r="A171" t="inlineStr">
        <is>
          <t>OXFORD</t>
        </is>
      </c>
      <c r="B171" t="inlineStr">
        <is>
          <t>MARTIN LUTHER KING</t>
        </is>
      </c>
      <c r="C171">
        <v>0.0</v>
      </c>
      <c r="E171" t="inlineStr">
        <is>
          <t>SPRING</t>
        </is>
      </c>
      <c r="F171" t="inlineStr">
        <is>
          <t>SPRING</t>
        </is>
      </c>
      <c r="G171" t="inlineStr">
        <is>
          <t>NC 96</t>
        </is>
      </c>
      <c r="H171">
        <v>17.59</v>
      </c>
      <c r="J171" s="604" t="inlineStr">
        <is>
          <t>NIS</t>
        </is>
      </c>
      <c r="K171">
        <v>106097128</v>
      </c>
      <c r="L171" s="2">
        <v>43801</v>
      </c>
      <c r="M171">
        <v>21</v>
      </c>
      <c r="N171">
        <v>1</v>
      </c>
      <c r="O171">
        <v>0</v>
      </c>
      <c r="P171">
        <v>1</v>
      </c>
      <c r="Q171" t="inlineStr">
        <is>
          <t>O</t>
        </is>
      </c>
    </row>
    <row r="172">
      <c r="A172" t="inlineStr">
        <is>
          <t>CREEDMOOR</t>
        </is>
      </c>
      <c r="B172" t="inlineStr">
        <is>
          <t>WILTON</t>
        </is>
      </c>
      <c r="C172">
        <v>0.0</v>
      </c>
      <c r="E172" t="inlineStr">
        <is>
          <t>MAIN</t>
        </is>
      </c>
      <c r="F172" t="inlineStr">
        <is>
          <t>DOUGLAS</t>
        </is>
      </c>
      <c r="G172" t="inlineStr">
        <is>
          <t>NC 50</t>
        </is>
      </c>
      <c r="H172">
        <v>3.285</v>
      </c>
      <c r="J172" s="604" t="inlineStr">
        <is>
          <t>NIS</t>
        </is>
      </c>
      <c r="K172">
        <v>106108451</v>
      </c>
      <c r="L172" s="2">
        <v>43823</v>
      </c>
      <c r="M172">
        <v>21</v>
      </c>
      <c r="N172">
        <v>1</v>
      </c>
      <c r="O172">
        <v>0</v>
      </c>
      <c r="P172">
        <v>1</v>
      </c>
      <c r="Q172" t="inlineStr">
        <is>
          <t>C</t>
        </is>
      </c>
    </row>
    <row r="173">
      <c r="A173" t="inlineStr">
        <is>
          <t>CREEDMOOR</t>
        </is>
      </c>
      <c r="B173" t="inlineStr">
        <is>
          <t>MAIN</t>
        </is>
      </c>
      <c r="C173">
        <v>0.0</v>
      </c>
      <c r="E173" t="inlineStr">
        <is>
          <t>CHURCH</t>
        </is>
      </c>
      <c r="F173" t="inlineStr">
        <is>
          <t>ROGER</t>
        </is>
      </c>
      <c r="G173" t="inlineStr">
        <is>
          <t>NC 50</t>
        </is>
      </c>
      <c r="H173">
        <v>2.868</v>
      </c>
      <c r="J173" s="604" t="inlineStr">
        <is>
          <t>NIS</t>
        </is>
      </c>
      <c r="K173">
        <v>106125842</v>
      </c>
      <c r="L173" s="2">
        <v>43845</v>
      </c>
      <c r="M173">
        <v>30</v>
      </c>
      <c r="N173">
        <v>1</v>
      </c>
      <c r="O173">
        <v>7</v>
      </c>
      <c r="P173">
        <v>1</v>
      </c>
      <c r="Q173" t="inlineStr">
        <is>
          <t>C</t>
        </is>
      </c>
    </row>
    <row r="174">
      <c r="A174" t="inlineStr">
        <is>
          <t>OXFORD</t>
        </is>
      </c>
      <c r="B174" t="inlineStr">
        <is>
          <t>ORANGE</t>
        </is>
      </c>
      <c r="C174">
        <v>0.0</v>
      </c>
      <c r="E174" t="inlineStr">
        <is>
          <t>SPRING</t>
        </is>
      </c>
      <c r="F174" t="inlineStr">
        <is>
          <t>SPRING</t>
        </is>
      </c>
      <c r="G174" t="inlineStr">
        <is>
          <t>SPRING</t>
        </is>
      </c>
      <c r="H174">
        <v>999.999</v>
      </c>
      <c r="J174" s="604" t="inlineStr">
        <is>
          <t>NIS</t>
        </is>
      </c>
      <c r="K174">
        <v>106147279</v>
      </c>
      <c r="L174" s="2">
        <v>43867</v>
      </c>
      <c r="M174">
        <v>30</v>
      </c>
      <c r="N174">
        <v>2</v>
      </c>
      <c r="O174">
        <v>0</v>
      </c>
      <c r="P174">
        <v>1</v>
      </c>
      <c r="Q174" t="inlineStr">
        <is>
          <t>O</t>
        </is>
      </c>
    </row>
    <row r="175">
      <c r="A175" t="inlineStr">
        <is>
          <t>CREEDMOOR</t>
        </is>
      </c>
      <c r="B175" t="inlineStr">
        <is>
          <t>MAIN</t>
        </is>
      </c>
      <c r="C175">
        <v>0.0</v>
      </c>
      <c r="E175" t="inlineStr">
        <is>
          <t>MILL</t>
        </is>
      </c>
      <c r="F175" t="inlineStr">
        <is>
          <t>FLEMING</t>
        </is>
      </c>
      <c r="G175" t="inlineStr">
        <is>
          <t>NC 50</t>
        </is>
      </c>
      <c r="H175">
        <v>3.016</v>
      </c>
      <c r="J175" s="604" t="inlineStr">
        <is>
          <t>NIS</t>
        </is>
      </c>
      <c r="K175">
        <v>106157107</v>
      </c>
      <c r="L175" s="2">
        <v>43875</v>
      </c>
      <c r="M175">
        <v>30</v>
      </c>
      <c r="N175">
        <v>1</v>
      </c>
      <c r="O175">
        <v>8</v>
      </c>
      <c r="P175">
        <v>1</v>
      </c>
      <c r="Q175" t="inlineStr">
        <is>
          <t>O</t>
        </is>
      </c>
    </row>
    <row r="176">
      <c r="A176" t="inlineStr">
        <is>
          <t>CREEDMOOR</t>
        </is>
      </c>
      <c r="B176" t="inlineStr">
        <is>
          <t>NC 56</t>
        </is>
      </c>
      <c r="C176">
        <v>0.0</v>
      </c>
      <c r="E176" t="inlineStr">
        <is>
          <t>MAIN</t>
        </is>
      </c>
      <c r="F176" t="inlineStr">
        <is>
          <t>US 15</t>
        </is>
      </c>
      <c r="G176" t="inlineStr">
        <is>
          <t>NC 50</t>
        </is>
      </c>
      <c r="H176">
        <v>3.284</v>
      </c>
      <c r="J176" s="604" t="inlineStr">
        <is>
          <t>NIS</t>
        </is>
      </c>
      <c r="K176">
        <v>106186679</v>
      </c>
      <c r="L176" s="2">
        <v>43907</v>
      </c>
      <c r="M176">
        <v>30</v>
      </c>
      <c r="N176">
        <v>1</v>
      </c>
      <c r="O176">
        <v>7</v>
      </c>
      <c r="P176">
        <v>1</v>
      </c>
      <c r="Q176" t="inlineStr">
        <is>
          <t>O</t>
        </is>
      </c>
    </row>
    <row r="177">
      <c r="A177" t="inlineStr">
        <is>
          <t>RURAL</t>
        </is>
      </c>
      <c r="B177" t="inlineStr">
        <is>
          <t>SR 1522</t>
        </is>
      </c>
      <c r="C177">
        <v>0.3</v>
      </c>
      <c r="D177" t="inlineStr">
        <is>
          <t>W</t>
        </is>
      </c>
      <c r="E177" t="inlineStr">
        <is>
          <t>SR 1533</t>
        </is>
      </c>
      <c r="F177" t="inlineStr">
        <is>
          <t>SR 1521</t>
        </is>
      </c>
      <c r="G177" t="inlineStr">
        <is>
          <t>SR 1522</t>
        </is>
      </c>
      <c r="H177">
        <v>3.806</v>
      </c>
      <c r="J177" s="604" t="inlineStr">
        <is>
          <t>NIS</t>
        </is>
      </c>
      <c r="K177">
        <v>106189866</v>
      </c>
      <c r="L177" s="2">
        <v>43911</v>
      </c>
      <c r="M177">
        <v>19</v>
      </c>
      <c r="N177">
        <v>1</v>
      </c>
      <c r="O177">
        <v>0</v>
      </c>
      <c r="P177">
        <v>1</v>
      </c>
      <c r="Q177" t="inlineStr">
        <is>
          <t>B</t>
        </is>
      </c>
    </row>
    <row r="178">
      <c r="A178" t="inlineStr">
        <is>
          <t>RURAL</t>
        </is>
      </c>
      <c r="B178" t="inlineStr">
        <is>
          <t>US 158</t>
        </is>
      </c>
      <c r="C178">
        <v>0.021</v>
      </c>
      <c r="D178" t="inlineStr">
        <is>
          <t>W</t>
        </is>
      </c>
      <c r="E178" t="inlineStr">
        <is>
          <t>SR 1522</t>
        </is>
      </c>
      <c r="F178" t="inlineStr">
        <is>
          <t>US 15</t>
        </is>
      </c>
      <c r="G178" t="inlineStr">
        <is>
          <t>US 158</t>
        </is>
      </c>
      <c r="H178">
        <v>14.034</v>
      </c>
      <c r="J178" s="604" t="inlineStr">
        <is>
          <t>NIS</t>
        </is>
      </c>
      <c r="K178">
        <v>106194763</v>
      </c>
      <c r="L178" s="2">
        <v>43917</v>
      </c>
      <c r="M178">
        <v>5</v>
      </c>
      <c r="N178">
        <v>1</v>
      </c>
      <c r="O178">
        <v>7</v>
      </c>
      <c r="P178">
        <v>5</v>
      </c>
      <c r="Q178" t="inlineStr">
        <is>
          <t>O</t>
        </is>
      </c>
    </row>
    <row r="179">
      <c r="A179" t="inlineStr">
        <is>
          <t>CREEDMOOR</t>
        </is>
      </c>
      <c r="B179" t="inlineStr">
        <is>
          <t>MAIN</t>
        </is>
      </c>
      <c r="C179">
        <v>0.021</v>
      </c>
      <c r="D179" t="inlineStr">
        <is>
          <t>N</t>
        </is>
      </c>
      <c r="E179" t="inlineStr">
        <is>
          <t>CHURCH</t>
        </is>
      </c>
      <c r="F179" t="inlineStr">
        <is>
          <t>ROGER</t>
        </is>
      </c>
      <c r="G179" t="inlineStr">
        <is>
          <t>NC 50</t>
        </is>
      </c>
      <c r="H179">
        <v>2.889</v>
      </c>
      <c r="J179" s="604" t="inlineStr">
        <is>
          <t>NIS</t>
        </is>
      </c>
      <c r="K179">
        <v>106205408</v>
      </c>
      <c r="L179" s="2">
        <v>43930</v>
      </c>
      <c r="M179">
        <v>21</v>
      </c>
      <c r="N179">
        <v>2</v>
      </c>
      <c r="O179">
        <v>0</v>
      </c>
      <c r="P179">
        <v>1</v>
      </c>
      <c r="Q179" t="inlineStr">
        <is>
          <t>O</t>
        </is>
      </c>
    </row>
    <row r="180">
      <c r="A180" t="inlineStr">
        <is>
          <t>CREEDMOOR</t>
        </is>
      </c>
      <c r="B180" t="inlineStr">
        <is>
          <t>CHURCH</t>
        </is>
      </c>
      <c r="C180">
        <v>0.0</v>
      </c>
      <c r="E180" t="inlineStr">
        <is>
          <t>MAIN</t>
        </is>
      </c>
      <c r="F180" t="inlineStr">
        <is>
          <t>MAIN</t>
        </is>
      </c>
      <c r="G180" t="inlineStr">
        <is>
          <t>SR 1700</t>
        </is>
      </c>
      <c r="H180">
        <v>6.985</v>
      </c>
      <c r="J180" s="604" t="inlineStr">
        <is>
          <t>NIS</t>
        </is>
      </c>
      <c r="K180">
        <v>106205409</v>
      </c>
      <c r="L180" s="2">
        <v>43937</v>
      </c>
      <c r="M180">
        <v>24</v>
      </c>
      <c r="N180">
        <v>1</v>
      </c>
      <c r="O180">
        <v>0</v>
      </c>
      <c r="P180">
        <v>1</v>
      </c>
      <c r="Q180" t="inlineStr">
        <is>
          <t>O</t>
        </is>
      </c>
    </row>
    <row r="181">
      <c r="A181" t="inlineStr">
        <is>
          <t>CREEDMOOR</t>
        </is>
      </c>
      <c r="B181" t="inlineStr">
        <is>
          <t>SANDERFORD</t>
        </is>
      </c>
      <c r="C181">
        <v>0.005</v>
      </c>
      <c r="D181" t="inlineStr">
        <is>
          <t>E</t>
        </is>
      </c>
      <c r="E181" t="inlineStr">
        <is>
          <t>MAIN</t>
        </is>
      </c>
      <c r="F181" t="inlineStr">
        <is>
          <t>MAIN</t>
        </is>
      </c>
      <c r="H181">
        <v>999.999</v>
      </c>
      <c r="J181" s="604" t="inlineStr">
        <is>
          <t>NIS</t>
        </is>
      </c>
      <c r="K181">
        <v>106206844</v>
      </c>
      <c r="L181" s="2">
        <v>43937</v>
      </c>
      <c r="M181">
        <v>21</v>
      </c>
      <c r="N181">
        <v>1</v>
      </c>
      <c r="O181">
        <v>0</v>
      </c>
      <c r="P181">
        <v>1</v>
      </c>
      <c r="Q181" t="inlineStr">
        <is>
          <t>O</t>
        </is>
      </c>
    </row>
    <row r="182">
      <c r="A182" t="inlineStr">
        <is>
          <t>OXFORD</t>
        </is>
      </c>
      <c r="B182" t="inlineStr">
        <is>
          <t>BELL</t>
        </is>
      </c>
      <c r="C182">
        <v>0.0</v>
      </c>
      <c r="E182" t="inlineStr">
        <is>
          <t>SPRING</t>
        </is>
      </c>
      <c r="F182" t="inlineStr">
        <is>
          <t>HIGH</t>
        </is>
      </c>
      <c r="G182" t="inlineStr">
        <is>
          <t>SPRING</t>
        </is>
      </c>
      <c r="H182">
        <v>0.47</v>
      </c>
      <c r="J182" s="604" t="inlineStr">
        <is>
          <t>NIS</t>
        </is>
      </c>
      <c r="K182">
        <v>106209839</v>
      </c>
      <c r="L182" s="2">
        <v>43942</v>
      </c>
      <c r="M182">
        <v>21</v>
      </c>
      <c r="N182">
        <v>1</v>
      </c>
      <c r="O182">
        <v>0</v>
      </c>
      <c r="P182">
        <v>1</v>
      </c>
      <c r="Q182" t="inlineStr">
        <is>
          <t>C</t>
        </is>
      </c>
    </row>
    <row r="183">
      <c r="A183" t="inlineStr">
        <is>
          <t>RURAL</t>
        </is>
      </c>
      <c r="B183" t="inlineStr">
        <is>
          <t>SR 1522</t>
        </is>
      </c>
      <c r="C183">
        <v>0.3</v>
      </c>
      <c r="D183" t="inlineStr">
        <is>
          <t>NE</t>
        </is>
      </c>
      <c r="E183" t="inlineStr">
        <is>
          <t>SR 1521</t>
        </is>
      </c>
      <c r="F183" t="inlineStr">
        <is>
          <t>SR 1533</t>
        </is>
      </c>
      <c r="G183" t="inlineStr">
        <is>
          <t>SR 1522</t>
        </is>
      </c>
      <c r="H183">
        <v>3.404</v>
      </c>
      <c r="J183" s="604" t="inlineStr">
        <is>
          <t>NIS</t>
        </is>
      </c>
      <c r="K183">
        <v>106224797</v>
      </c>
      <c r="L183" s="2">
        <v>43964</v>
      </c>
      <c r="M183">
        <v>17</v>
      </c>
      <c r="N183">
        <v>1</v>
      </c>
      <c r="O183">
        <v>0</v>
      </c>
      <c r="P183">
        <v>1</v>
      </c>
      <c r="Q183" t="inlineStr">
        <is>
          <t>O</t>
        </is>
      </c>
    </row>
    <row r="184">
      <c r="A184" t="inlineStr">
        <is>
          <t>OXFORD</t>
        </is>
      </c>
      <c r="B184" t="inlineStr">
        <is>
          <t>MARTIN LUTHER KING</t>
        </is>
      </c>
      <c r="C184">
        <v>0.0</v>
      </c>
      <c r="E184" t="inlineStr">
        <is>
          <t>SPRING</t>
        </is>
      </c>
      <c r="F184" t="inlineStr">
        <is>
          <t>HILLSBORO</t>
        </is>
      </c>
      <c r="G184" t="inlineStr">
        <is>
          <t>NC 96</t>
        </is>
      </c>
      <c r="H184">
        <v>17.59</v>
      </c>
      <c r="J184" s="604" t="inlineStr">
        <is>
          <t>NIS</t>
        </is>
      </c>
      <c r="K184">
        <v>106238022</v>
      </c>
      <c r="L184" s="2">
        <v>43980</v>
      </c>
      <c r="M184">
        <v>30</v>
      </c>
      <c r="N184">
        <v>1</v>
      </c>
      <c r="O184">
        <v>7</v>
      </c>
      <c r="P184">
        <v>1</v>
      </c>
      <c r="Q184" t="inlineStr">
        <is>
          <t>C</t>
        </is>
      </c>
    </row>
    <row r="185">
      <c r="A185" t="inlineStr">
        <is>
          <t>CREEDMOOR</t>
        </is>
      </c>
      <c r="B185" t="inlineStr">
        <is>
          <t>MAIN</t>
        </is>
      </c>
      <c r="C185">
        <v>0.095</v>
      </c>
      <c r="D185" t="inlineStr">
        <is>
          <t>N</t>
        </is>
      </c>
      <c r="E185" t="inlineStr">
        <is>
          <t>WILTON</t>
        </is>
      </c>
      <c r="F185" t="inlineStr">
        <is>
          <t>MOSS</t>
        </is>
      </c>
      <c r="G185" t="inlineStr">
        <is>
          <t>SR 1639</t>
        </is>
      </c>
      <c r="H185">
        <v>0.095</v>
      </c>
      <c r="J185" s="604" t="inlineStr">
        <is>
          <t>NIS</t>
        </is>
      </c>
      <c r="K185">
        <v>106258582</v>
      </c>
      <c r="L185" s="2">
        <v>44001</v>
      </c>
      <c r="M185">
        <v>21</v>
      </c>
      <c r="N185">
        <v>1</v>
      </c>
      <c r="O185">
        <v>0</v>
      </c>
      <c r="P185">
        <v>1</v>
      </c>
      <c r="Q185" t="inlineStr">
        <is>
          <t>O</t>
        </is>
      </c>
    </row>
    <row r="186">
      <c r="A186" t="inlineStr">
        <is>
          <t>CREEDMOOR</t>
        </is>
      </c>
      <c r="B186" t="inlineStr">
        <is>
          <t>MAIN</t>
        </is>
      </c>
      <c r="C186">
        <v>0.009</v>
      </c>
      <c r="D186" t="inlineStr">
        <is>
          <t>N</t>
        </is>
      </c>
      <c r="E186" t="inlineStr">
        <is>
          <t>SANDERFORD</t>
        </is>
      </c>
      <c r="F186" t="inlineStr">
        <is>
          <t>LION</t>
        </is>
      </c>
      <c r="G186" t="inlineStr">
        <is>
          <t>NC 50</t>
        </is>
      </c>
      <c r="H186">
        <v>2.975</v>
      </c>
      <c r="J186" s="604" t="inlineStr">
        <is>
          <t>NIS</t>
        </is>
      </c>
      <c r="K186">
        <v>106258584</v>
      </c>
      <c r="L186" s="2">
        <v>44004</v>
      </c>
      <c r="M186">
        <v>28</v>
      </c>
      <c r="N186">
        <v>1</v>
      </c>
      <c r="O186">
        <v>0</v>
      </c>
      <c r="P186">
        <v>1</v>
      </c>
      <c r="Q186" t="inlineStr">
        <is>
          <t>O</t>
        </is>
      </c>
    </row>
    <row r="187">
      <c r="A187" t="inlineStr">
        <is>
          <t>STOVALL</t>
        </is>
      </c>
      <c r="B187" t="inlineStr">
        <is>
          <t>MAIN</t>
        </is>
      </c>
      <c r="C187">
        <v>1.0</v>
      </c>
      <c r="D187" t="inlineStr">
        <is>
          <t>E</t>
        </is>
      </c>
      <c r="E187" t="inlineStr">
        <is>
          <t>US 15</t>
        </is>
      </c>
      <c r="F187" t="inlineStr">
        <is>
          <t>SR 1415</t>
        </is>
      </c>
      <c r="G187" t="inlineStr">
        <is>
          <t>SR 1639</t>
        </is>
      </c>
      <c r="H187">
        <v>0.535</v>
      </c>
      <c r="J187" s="604" t="inlineStr">
        <is>
          <t>NIS</t>
        </is>
      </c>
      <c r="K187">
        <v>106269194</v>
      </c>
      <c r="L187" s="2">
        <v>44015</v>
      </c>
      <c r="M187">
        <v>21</v>
      </c>
      <c r="N187">
        <v>1</v>
      </c>
      <c r="O187">
        <v>5</v>
      </c>
      <c r="P187">
        <v>1</v>
      </c>
      <c r="Q187" t="inlineStr">
        <is>
          <t>O</t>
        </is>
      </c>
    </row>
    <row r="188">
      <c r="A188" t="inlineStr">
        <is>
          <t>RURAL</t>
        </is>
      </c>
      <c r="B188" t="inlineStr">
        <is>
          <t>SR 1522</t>
        </is>
      </c>
      <c r="C188">
        <v>0.0</v>
      </c>
      <c r="E188" t="inlineStr">
        <is>
          <t>US 158</t>
        </is>
      </c>
      <c r="F188" t="inlineStr">
        <is>
          <t>US 15</t>
        </is>
      </c>
      <c r="G188" t="inlineStr">
        <is>
          <t>SR 1522</t>
        </is>
      </c>
      <c r="H188">
        <v>0.882</v>
      </c>
      <c r="J188" s="604" t="inlineStr">
        <is>
          <t>NIS</t>
        </is>
      </c>
      <c r="K188">
        <v>106301368</v>
      </c>
      <c r="L188" s="2">
        <v>44047</v>
      </c>
      <c r="M188">
        <v>30</v>
      </c>
      <c r="N188">
        <v>1</v>
      </c>
      <c r="O188">
        <v>7</v>
      </c>
      <c r="P188">
        <v>1</v>
      </c>
      <c r="Q188" t="inlineStr">
        <is>
          <t>C</t>
        </is>
      </c>
    </row>
    <row r="189">
      <c r="A189" t="inlineStr">
        <is>
          <t>OXFORD</t>
        </is>
      </c>
      <c r="B189" t="inlineStr">
        <is>
          <t>MAIN</t>
        </is>
      </c>
      <c r="C189">
        <v>0.0</v>
      </c>
      <c r="D189" t="inlineStr">
        <is>
          <t>E</t>
        </is>
      </c>
      <c r="E189" t="inlineStr">
        <is>
          <t>FRONT</t>
        </is>
      </c>
      <c r="F189" t="inlineStr">
        <is>
          <t>MAIN</t>
        </is>
      </c>
      <c r="G189" t="inlineStr">
        <is>
          <t>SR 1602</t>
        </is>
      </c>
      <c r="H189">
        <v>1.149</v>
      </c>
      <c r="J189" s="604" t="inlineStr">
        <is>
          <t>NIS</t>
        </is>
      </c>
      <c r="K189">
        <v>106307253</v>
      </c>
      <c r="L189" s="2">
        <v>44053</v>
      </c>
      <c r="M189">
        <v>1</v>
      </c>
      <c r="N189">
        <v>1</v>
      </c>
      <c r="O189">
        <v>0</v>
      </c>
      <c r="P189">
        <v>1</v>
      </c>
      <c r="Q189" t="inlineStr">
        <is>
          <t>O</t>
        </is>
      </c>
    </row>
    <row r="190">
      <c r="A190" t="inlineStr">
        <is>
          <t>CREEDMOOR</t>
        </is>
      </c>
      <c r="B190" t="inlineStr">
        <is>
          <t>MAIN</t>
        </is>
      </c>
      <c r="C190">
        <v>0.0</v>
      </c>
      <c r="E190" t="inlineStr">
        <is>
          <t>ROGER</t>
        </is>
      </c>
      <c r="F190" t="inlineStr">
        <is>
          <t>CHURCH</t>
        </is>
      </c>
      <c r="G190" t="inlineStr">
        <is>
          <t>NC 50</t>
        </is>
      </c>
      <c r="H190">
        <v>2.739</v>
      </c>
      <c r="J190" s="604" t="inlineStr">
        <is>
          <t>NIS</t>
        </is>
      </c>
      <c r="K190">
        <v>106312212</v>
      </c>
      <c r="L190" s="2">
        <v>44056</v>
      </c>
      <c r="M190">
        <v>25</v>
      </c>
      <c r="N190">
        <v>1</v>
      </c>
      <c r="O190">
        <v>0</v>
      </c>
      <c r="P190">
        <v>1</v>
      </c>
      <c r="Q190" t="inlineStr">
        <is>
          <t>O</t>
        </is>
      </c>
    </row>
    <row r="191">
      <c r="A191" t="inlineStr">
        <is>
          <t>RURAL</t>
        </is>
      </c>
      <c r="B191" t="inlineStr">
        <is>
          <t>SR 1522</t>
        </is>
      </c>
      <c r="C191">
        <v>0.8</v>
      </c>
      <c r="D191" t="inlineStr">
        <is>
          <t>E</t>
        </is>
      </c>
      <c r="E191" t="inlineStr">
        <is>
          <t>SR 1515</t>
        </is>
      </c>
      <c r="F191" t="inlineStr">
        <is>
          <t>SR 1523</t>
        </is>
      </c>
      <c r="G191" t="inlineStr">
        <is>
          <t>SR 1522</t>
        </is>
      </c>
      <c r="H191">
        <v>2.008</v>
      </c>
      <c r="J191" s="604" t="inlineStr">
        <is>
          <t>NIS</t>
        </is>
      </c>
      <c r="K191">
        <v>106313586</v>
      </c>
      <c r="L191" s="2">
        <v>44058</v>
      </c>
      <c r="M191">
        <v>19</v>
      </c>
      <c r="N191">
        <v>2</v>
      </c>
      <c r="O191">
        <v>0</v>
      </c>
      <c r="P191">
        <v>5</v>
      </c>
      <c r="Q191" t="inlineStr">
        <is>
          <t>B</t>
        </is>
      </c>
    </row>
    <row r="192">
      <c r="A192" t="inlineStr">
        <is>
          <t>RURAL</t>
        </is>
      </c>
      <c r="B192" t="inlineStr">
        <is>
          <t>SR 1195</t>
        </is>
      </c>
      <c r="C192">
        <v>0.0</v>
      </c>
      <c r="E192" t="inlineStr">
        <is>
          <t>SR 1522</t>
        </is>
      </c>
      <c r="F192" t="inlineStr">
        <is>
          <t>US 15</t>
        </is>
      </c>
      <c r="G192" t="inlineStr">
        <is>
          <t>SR 1195</t>
        </is>
      </c>
      <c r="H192">
        <v>999.999</v>
      </c>
      <c r="J192" s="604" t="inlineStr">
        <is>
          <t>NIS</t>
        </is>
      </c>
      <c r="K192">
        <v>106311206</v>
      </c>
      <c r="L192" s="2">
        <v>44061</v>
      </c>
      <c r="M192">
        <v>30</v>
      </c>
      <c r="N192">
        <v>1</v>
      </c>
      <c r="O192">
        <v>7</v>
      </c>
      <c r="P192">
        <v>1</v>
      </c>
      <c r="Q192" t="inlineStr">
        <is>
          <t>O</t>
        </is>
      </c>
    </row>
    <row r="193">
      <c r="A193" t="inlineStr">
        <is>
          <t>RURAL</t>
        </is>
      </c>
      <c r="B193" t="inlineStr">
        <is>
          <t>SR 1195</t>
        </is>
      </c>
      <c r="C193">
        <v>0.0</v>
      </c>
      <c r="E193" t="inlineStr">
        <is>
          <t>SR 1522</t>
        </is>
      </c>
      <c r="F193" t="inlineStr">
        <is>
          <t>US 15</t>
        </is>
      </c>
      <c r="G193" t="inlineStr">
        <is>
          <t>SR 1195</t>
        </is>
      </c>
      <c r="H193">
        <v>999.999</v>
      </c>
      <c r="J193" s="604" t="inlineStr">
        <is>
          <t>NIS</t>
        </is>
      </c>
      <c r="K193">
        <v>106320590</v>
      </c>
      <c r="L193" s="2">
        <v>44068</v>
      </c>
      <c r="M193">
        <v>23</v>
      </c>
      <c r="N193">
        <v>1</v>
      </c>
      <c r="O193">
        <v>7</v>
      </c>
      <c r="P193">
        <v>1</v>
      </c>
      <c r="Q193" t="inlineStr">
        <is>
          <t>O</t>
        </is>
      </c>
    </row>
    <row r="194">
      <c r="A194" t="inlineStr">
        <is>
          <t>CREEDMOOR</t>
        </is>
      </c>
      <c r="B194" t="inlineStr">
        <is>
          <t>MAIN</t>
        </is>
      </c>
      <c r="C194">
        <v>0.018</v>
      </c>
      <c r="D194" t="inlineStr">
        <is>
          <t>N</t>
        </is>
      </c>
      <c r="E194" t="inlineStr">
        <is>
          <t>MILL</t>
        </is>
      </c>
      <c r="F194" t="inlineStr">
        <is>
          <t>FLEMING</t>
        </is>
      </c>
      <c r="G194" t="inlineStr">
        <is>
          <t>NC 50</t>
        </is>
      </c>
      <c r="H194">
        <v>3.034</v>
      </c>
      <c r="J194" s="604" t="inlineStr">
        <is>
          <t>NIS</t>
        </is>
      </c>
      <c r="K194">
        <v>106398136</v>
      </c>
      <c r="L194" s="2">
        <v>44069</v>
      </c>
      <c r="M194">
        <v>0</v>
      </c>
      <c r="N194">
        <v>1</v>
      </c>
      <c r="O194">
        <v>0</v>
      </c>
      <c r="P194">
        <v>1</v>
      </c>
      <c r="Q194" t="inlineStr">
        <is>
          <t>O</t>
        </is>
      </c>
    </row>
    <row r="195">
      <c r="A195" t="inlineStr">
        <is>
          <t>CREEDMOOR</t>
        </is>
      </c>
      <c r="B195" t="inlineStr">
        <is>
          <t>MAIN</t>
        </is>
      </c>
      <c r="C195">
        <v>0.024</v>
      </c>
      <c r="D195" t="inlineStr">
        <is>
          <t>N</t>
        </is>
      </c>
      <c r="E195" t="inlineStr">
        <is>
          <t>MILL</t>
        </is>
      </c>
      <c r="F195" t="inlineStr">
        <is>
          <t>FLEMING</t>
        </is>
      </c>
      <c r="G195" t="inlineStr">
        <is>
          <t>NC 50</t>
        </is>
      </c>
      <c r="H195">
        <v>3.04</v>
      </c>
      <c r="J195" s="604" t="inlineStr">
        <is>
          <t>NIS</t>
        </is>
      </c>
      <c r="K195">
        <v>106398133</v>
      </c>
      <c r="L195" s="2">
        <v>44071</v>
      </c>
      <c r="M195">
        <v>20</v>
      </c>
      <c r="N195">
        <v>1</v>
      </c>
      <c r="O195">
        <v>0</v>
      </c>
      <c r="P195">
        <v>4</v>
      </c>
      <c r="Q195" t="inlineStr">
        <is>
          <t>O</t>
        </is>
      </c>
    </row>
    <row r="196">
      <c r="A196" t="inlineStr">
        <is>
          <t>OXFORD</t>
        </is>
      </c>
      <c r="B196" t="inlineStr">
        <is>
          <t>WILLIAMSBORO</t>
        </is>
      </c>
      <c r="C196">
        <v>0.0</v>
      </c>
      <c r="E196" t="inlineStr">
        <is>
          <t>MAIN</t>
        </is>
      </c>
      <c r="F196" t="inlineStr">
        <is>
          <t>COLLEGE</t>
        </is>
      </c>
      <c r="G196" t="inlineStr">
        <is>
          <t>US 158BUS</t>
        </is>
      </c>
      <c r="H196">
        <v>2.055</v>
      </c>
      <c r="J196" s="604" t="inlineStr">
        <is>
          <t>NIS</t>
        </is>
      </c>
      <c r="K196">
        <v>106342283</v>
      </c>
      <c r="L196" s="2">
        <v>44076</v>
      </c>
      <c r="M196">
        <v>21</v>
      </c>
      <c r="N196">
        <v>1</v>
      </c>
      <c r="O196">
        <v>0</v>
      </c>
      <c r="P196">
        <v>1</v>
      </c>
      <c r="Q196" t="inlineStr">
        <is>
          <t>O</t>
        </is>
      </c>
    </row>
    <row r="197">
      <c r="A197" t="inlineStr">
        <is>
          <t>CREEDMOOR</t>
        </is>
      </c>
      <c r="B197" t="inlineStr">
        <is>
          <t>WILTON</t>
        </is>
      </c>
      <c r="C197">
        <v>0.014</v>
      </c>
      <c r="D197" t="inlineStr">
        <is>
          <t>W</t>
        </is>
      </c>
      <c r="E197" t="inlineStr">
        <is>
          <t>MAIN</t>
        </is>
      </c>
      <c r="F197" t="inlineStr">
        <is>
          <t>DURHAM</t>
        </is>
      </c>
      <c r="G197" t="inlineStr">
        <is>
          <t>NC 50</t>
        </is>
      </c>
      <c r="H197">
        <v>3.299</v>
      </c>
      <c r="J197" s="604" t="inlineStr">
        <is>
          <t>NIS</t>
        </is>
      </c>
      <c r="K197">
        <v>106335625</v>
      </c>
      <c r="L197" s="2">
        <v>44078</v>
      </c>
      <c r="M197">
        <v>21</v>
      </c>
      <c r="N197">
        <v>1</v>
      </c>
      <c r="O197">
        <v>0</v>
      </c>
      <c r="P197">
        <v>1</v>
      </c>
      <c r="Q197" t="inlineStr">
        <is>
          <t>O</t>
        </is>
      </c>
    </row>
    <row r="198">
      <c r="A198" t="inlineStr">
        <is>
          <t>OXFORD</t>
        </is>
      </c>
      <c r="B198" t="inlineStr">
        <is>
          <t>MAIN</t>
        </is>
      </c>
      <c r="C198">
        <v>0.019</v>
      </c>
      <c r="D198" t="inlineStr">
        <is>
          <t>N</t>
        </is>
      </c>
      <c r="E198" t="inlineStr">
        <is>
          <t>SYCAMORE</t>
        </is>
      </c>
      <c r="F198" t="inlineStr">
        <is>
          <t>MAIN</t>
        </is>
      </c>
      <c r="G198" t="inlineStr">
        <is>
          <t>SR 1602</t>
        </is>
      </c>
      <c r="H198">
        <v>1.275</v>
      </c>
      <c r="J198" s="604" t="inlineStr">
        <is>
          <t>NIS</t>
        </is>
      </c>
      <c r="K198">
        <v>106352948</v>
      </c>
      <c r="L198" s="2">
        <v>44096</v>
      </c>
      <c r="M198">
        <v>20</v>
      </c>
      <c r="N198">
        <v>1</v>
      </c>
      <c r="O198">
        <v>0</v>
      </c>
      <c r="P198">
        <v>1</v>
      </c>
      <c r="Q198" t="inlineStr">
        <is>
          <t>O</t>
        </is>
      </c>
    </row>
    <row r="199">
      <c r="A199" t="inlineStr">
        <is>
          <t>OXFORD</t>
        </is>
      </c>
      <c r="B199" t="inlineStr">
        <is>
          <t>MAIN</t>
        </is>
      </c>
      <c r="C199">
        <v>0.006</v>
      </c>
      <c r="D199" t="inlineStr">
        <is>
          <t>S</t>
        </is>
      </c>
      <c r="E199" t="inlineStr">
        <is>
          <t>COURT</t>
        </is>
      </c>
      <c r="F199" t="inlineStr">
        <is>
          <t>COURT</t>
        </is>
      </c>
      <c r="G199" t="inlineStr">
        <is>
          <t>SR 1602</t>
        </is>
      </c>
      <c r="H199">
        <v>1.471</v>
      </c>
      <c r="J199" s="604" t="inlineStr">
        <is>
          <t>NIS</t>
        </is>
      </c>
      <c r="K199">
        <v>106346459</v>
      </c>
      <c r="L199" s="2">
        <v>44097</v>
      </c>
      <c r="M199">
        <v>30</v>
      </c>
      <c r="N199">
        <v>1</v>
      </c>
      <c r="O199">
        <v>0</v>
      </c>
      <c r="P199">
        <v>1</v>
      </c>
    </row>
    <row r="200">
      <c r="A200" t="inlineStr">
        <is>
          <t>RURAL</t>
        </is>
      </c>
      <c r="B200" t="inlineStr">
        <is>
          <t>SR 1195</t>
        </is>
      </c>
      <c r="C200">
        <v>0.0</v>
      </c>
      <c r="E200" t="inlineStr">
        <is>
          <t>SR 1522</t>
        </is>
      </c>
      <c r="F200" t="inlineStr">
        <is>
          <t>US 15</t>
        </is>
      </c>
      <c r="G200" t="inlineStr">
        <is>
          <t>SR 1195</t>
        </is>
      </c>
      <c r="H200">
        <v>999.999</v>
      </c>
      <c r="J200" s="604" t="inlineStr">
        <is>
          <t>NIS</t>
        </is>
      </c>
      <c r="K200">
        <v>106369050</v>
      </c>
      <c r="L200" s="2">
        <v>44118</v>
      </c>
      <c r="M200">
        <v>30</v>
      </c>
      <c r="N200">
        <v>1</v>
      </c>
      <c r="O200">
        <v>7</v>
      </c>
      <c r="P200">
        <v>1</v>
      </c>
      <c r="Q200" t="inlineStr">
        <is>
          <t>O</t>
        </is>
      </c>
    </row>
    <row r="201">
      <c r="A201" t="inlineStr">
        <is>
          <t>CREEDMOOR</t>
        </is>
      </c>
      <c r="B201" t="inlineStr">
        <is>
          <t>PVA CITY TAVERN PVA</t>
        </is>
      </c>
      <c r="C201">
        <v>0.028</v>
      </c>
      <c r="D201" t="inlineStr">
        <is>
          <t>E</t>
        </is>
      </c>
      <c r="E201" t="inlineStr">
        <is>
          <t>MAIN</t>
        </is>
      </c>
      <c r="F201" t="inlineStr">
        <is>
          <t>MILL</t>
        </is>
      </c>
      <c r="H201">
        <v>999.999</v>
      </c>
      <c r="J201" s="604" t="inlineStr">
        <is>
          <t>NIS</t>
        </is>
      </c>
      <c r="K201">
        <v>106415098</v>
      </c>
      <c r="L201" s="2">
        <v>44158</v>
      </c>
      <c r="M201">
        <v>21</v>
      </c>
      <c r="N201">
        <v>1</v>
      </c>
      <c r="O201">
        <v>0</v>
      </c>
      <c r="P201">
        <v>1</v>
      </c>
      <c r="Q201" t="inlineStr">
        <is>
          <t>O</t>
        </is>
      </c>
    </row>
    <row r="202">
      <c r="A202" t="inlineStr">
        <is>
          <t>CREEDMOOR</t>
        </is>
      </c>
      <c r="B202" t="inlineStr">
        <is>
          <t>MAIN</t>
        </is>
      </c>
      <c r="C202">
        <v>0.0</v>
      </c>
      <c r="E202" t="inlineStr">
        <is>
          <t>*LCL 205 N MAIN ST</t>
        </is>
      </c>
      <c r="F202" t="inlineStr">
        <is>
          <t>SANDERFORD</t>
        </is>
      </c>
      <c r="H202">
        <v>999.999</v>
      </c>
      <c r="J202" s="604" t="inlineStr">
        <is>
          <t>NIS</t>
        </is>
      </c>
      <c r="K202">
        <v>106415662</v>
      </c>
      <c r="L202" s="2">
        <v>44159</v>
      </c>
      <c r="M202">
        <v>28</v>
      </c>
      <c r="N202">
        <v>1</v>
      </c>
      <c r="O202">
        <v>0</v>
      </c>
      <c r="P202">
        <v>1</v>
      </c>
      <c r="Q202" t="inlineStr">
        <is>
          <t>O</t>
        </is>
      </c>
    </row>
    <row r="203">
      <c r="A203" t="inlineStr">
        <is>
          <t>RURAL</t>
        </is>
      </c>
      <c r="B203" t="inlineStr">
        <is>
          <t>SR 1522</t>
        </is>
      </c>
      <c r="C203">
        <v>0.3</v>
      </c>
      <c r="D203" t="inlineStr">
        <is>
          <t>S</t>
        </is>
      </c>
      <c r="E203" t="inlineStr">
        <is>
          <t>US 158</t>
        </is>
      </c>
      <c r="F203" t="inlineStr">
        <is>
          <t>US 158BUS</t>
        </is>
      </c>
      <c r="G203" t="inlineStr">
        <is>
          <t>SR 1522</t>
        </is>
      </c>
      <c r="H203">
        <v>0.582</v>
      </c>
      <c r="J203" s="604" t="inlineStr">
        <is>
          <t>NIS</t>
        </is>
      </c>
      <c r="K203">
        <v>106418480</v>
      </c>
      <c r="L203" s="2">
        <v>44161</v>
      </c>
      <c r="M203">
        <v>17</v>
      </c>
      <c r="N203">
        <v>2</v>
      </c>
      <c r="O203">
        <v>0</v>
      </c>
      <c r="P203">
        <v>5</v>
      </c>
      <c r="Q203" t="inlineStr">
        <is>
          <t>O</t>
        </is>
      </c>
    </row>
    <row r="204">
      <c r="A204" t="inlineStr">
        <is>
          <t>CREEDMOOR</t>
        </is>
      </c>
      <c r="B204" t="inlineStr">
        <is>
          <t>MAIN</t>
        </is>
      </c>
      <c r="C204">
        <v>0.0</v>
      </c>
      <c r="E204" t="inlineStr">
        <is>
          <t>US 15</t>
        </is>
      </c>
      <c r="F204" t="inlineStr">
        <is>
          <t>OAK</t>
        </is>
      </c>
      <c r="G204" t="inlineStr">
        <is>
          <t>SR 1639</t>
        </is>
      </c>
      <c r="H204">
        <v>0.535</v>
      </c>
      <c r="J204" s="604" t="inlineStr">
        <is>
          <t>NIS</t>
        </is>
      </c>
      <c r="K204">
        <v>106427602</v>
      </c>
      <c r="L204" s="2">
        <v>44169</v>
      </c>
      <c r="M204">
        <v>21</v>
      </c>
      <c r="N204">
        <v>1</v>
      </c>
      <c r="O204">
        <v>8</v>
      </c>
      <c r="P204">
        <v>1</v>
      </c>
      <c r="Q204" t="inlineStr">
        <is>
          <t>O</t>
        </is>
      </c>
    </row>
    <row r="205">
      <c r="A205" t="inlineStr">
        <is>
          <t>RURAL</t>
        </is>
      </c>
      <c r="B205" t="inlineStr">
        <is>
          <t>US 158</t>
        </is>
      </c>
      <c r="C205">
        <v>0.0</v>
      </c>
      <c r="E205" t="inlineStr">
        <is>
          <t>SR 1522</t>
        </is>
      </c>
      <c r="F205" t="inlineStr">
        <is>
          <t>US 15</t>
        </is>
      </c>
      <c r="G205" t="inlineStr">
        <is>
          <t>US 158</t>
        </is>
      </c>
      <c r="H205">
        <v>14.055</v>
      </c>
      <c r="J205" s="604" t="inlineStr">
        <is>
          <t>NIS</t>
        </is>
      </c>
      <c r="K205">
        <v>106435224</v>
      </c>
      <c r="L205" s="2">
        <v>44176</v>
      </c>
      <c r="M205">
        <v>19</v>
      </c>
      <c r="N205">
        <v>1</v>
      </c>
      <c r="O205">
        <v>7</v>
      </c>
      <c r="P205">
        <v>1</v>
      </c>
      <c r="Q205" t="inlineStr">
        <is>
          <t>O</t>
        </is>
      </c>
    </row>
    <row r="206">
      <c r="A206" t="inlineStr">
        <is>
          <t>OXFORD</t>
        </is>
      </c>
      <c r="B206" t="inlineStr">
        <is>
          <t>WILLIAMSBORO</t>
        </is>
      </c>
      <c r="C206">
        <v>0.004</v>
      </c>
      <c r="D206" t="inlineStr">
        <is>
          <t>W</t>
        </is>
      </c>
      <c r="E206" t="inlineStr">
        <is>
          <t>MAIN</t>
        </is>
      </c>
      <c r="F206" t="inlineStr">
        <is>
          <t>WILLIAMSBORO</t>
        </is>
      </c>
      <c r="G206" t="inlineStr">
        <is>
          <t>US 158BUS</t>
        </is>
      </c>
      <c r="H206">
        <v>2.051</v>
      </c>
      <c r="J206" s="604" t="inlineStr">
        <is>
          <t>NIS</t>
        </is>
      </c>
      <c r="K206">
        <v>106463140</v>
      </c>
      <c r="L206" s="2">
        <v>44201</v>
      </c>
      <c r="M206">
        <v>31</v>
      </c>
      <c r="N206">
        <v>1</v>
      </c>
      <c r="O206">
        <v>0</v>
      </c>
      <c r="P206">
        <v>1</v>
      </c>
      <c r="Q206" t="inlineStr">
        <is>
          <t>O</t>
        </is>
      </c>
    </row>
    <row r="207">
      <c r="A207" t="inlineStr">
        <is>
          <t>OXFORD</t>
        </is>
      </c>
      <c r="B207" t="inlineStr">
        <is>
          <t>MARTIN LUTHER KING</t>
        </is>
      </c>
      <c r="C207">
        <v>0.0</v>
      </c>
      <c r="E207" t="inlineStr">
        <is>
          <t>SPRING</t>
        </is>
      </c>
      <c r="F207" t="inlineStr">
        <is>
          <t>SPRING</t>
        </is>
      </c>
      <c r="G207" t="inlineStr">
        <is>
          <t>NC 96</t>
        </is>
      </c>
      <c r="H207">
        <v>17.59</v>
      </c>
      <c r="J207" s="604" t="inlineStr">
        <is>
          <t>NIS</t>
        </is>
      </c>
      <c r="K207">
        <v>106464535</v>
      </c>
      <c r="L207" s="2">
        <v>44203</v>
      </c>
      <c r="M207">
        <v>30</v>
      </c>
      <c r="N207">
        <v>1</v>
      </c>
      <c r="O207">
        <v>0</v>
      </c>
      <c r="P207">
        <v>1</v>
      </c>
      <c r="Q207" t="inlineStr">
        <is>
          <t>B</t>
        </is>
      </c>
    </row>
    <row r="208">
      <c r="A208" t="inlineStr">
        <is>
          <t>OXFORD</t>
        </is>
      </c>
      <c r="B208" t="inlineStr">
        <is>
          <t>LEWIS</t>
        </is>
      </c>
      <c r="C208">
        <v>0.0</v>
      </c>
      <c r="E208" t="inlineStr">
        <is>
          <t>SPRING</t>
        </is>
      </c>
      <c r="F208" t="inlineStr">
        <is>
          <t>HILLSBORO</t>
        </is>
      </c>
      <c r="G208" t="inlineStr">
        <is>
          <t>US 15</t>
        </is>
      </c>
      <c r="H208">
        <v>20.498</v>
      </c>
      <c r="J208" s="604" t="inlineStr">
        <is>
          <t>NIS</t>
        </is>
      </c>
      <c r="K208">
        <v>106464531</v>
      </c>
      <c r="L208" s="2">
        <v>44206</v>
      </c>
      <c r="M208">
        <v>30</v>
      </c>
      <c r="N208">
        <v>1</v>
      </c>
      <c r="O208">
        <v>0</v>
      </c>
      <c r="P208">
        <v>1</v>
      </c>
      <c r="Q208" t="inlineStr">
        <is>
          <t>C</t>
        </is>
      </c>
    </row>
    <row r="209">
      <c r="A209" t="inlineStr">
        <is>
          <t>OXFORD</t>
        </is>
      </c>
      <c r="B209" t="inlineStr">
        <is>
          <t>US 158</t>
        </is>
      </c>
      <c r="C209">
        <v>0.0</v>
      </c>
      <c r="E209" t="inlineStr">
        <is>
          <t>SR 1522</t>
        </is>
      </c>
      <c r="F209" t="inlineStr">
        <is>
          <t>US 15</t>
        </is>
      </c>
      <c r="G209" t="inlineStr">
        <is>
          <t>US 158</t>
        </is>
      </c>
      <c r="H209">
        <v>14.055</v>
      </c>
      <c r="J209" s="604" t="inlineStr">
        <is>
          <t>NIS</t>
        </is>
      </c>
      <c r="K209">
        <v>106471444</v>
      </c>
      <c r="L209" s="2">
        <v>44219</v>
      </c>
      <c r="M209">
        <v>30</v>
      </c>
      <c r="N209">
        <v>1</v>
      </c>
      <c r="O209">
        <v>7</v>
      </c>
      <c r="P209">
        <v>5</v>
      </c>
      <c r="Q209" t="inlineStr">
        <is>
          <t>O</t>
        </is>
      </c>
    </row>
    <row r="210">
      <c r="A210" t="inlineStr">
        <is>
          <t>RURAL</t>
        </is>
      </c>
      <c r="B210" t="inlineStr">
        <is>
          <t>US 158</t>
        </is>
      </c>
      <c r="C210">
        <v>0.0</v>
      </c>
      <c r="E210" t="inlineStr">
        <is>
          <t>SR 1522</t>
        </is>
      </c>
      <c r="F210" t="inlineStr">
        <is>
          <t>US 15</t>
        </is>
      </c>
      <c r="G210" t="inlineStr">
        <is>
          <t>US 158</t>
        </is>
      </c>
      <c r="H210">
        <v>14.055</v>
      </c>
      <c r="J210" s="604" t="inlineStr">
        <is>
          <t>NIS</t>
        </is>
      </c>
      <c r="K210">
        <v>106482608</v>
      </c>
      <c r="L210" s="2">
        <v>44230</v>
      </c>
      <c r="M210">
        <v>30</v>
      </c>
      <c r="N210">
        <v>1</v>
      </c>
      <c r="O210">
        <v>7</v>
      </c>
      <c r="P210">
        <v>1</v>
      </c>
      <c r="Q210" t="inlineStr">
        <is>
          <t>O</t>
        </is>
      </c>
    </row>
    <row r="211">
      <c r="A211" t="inlineStr">
        <is>
          <t>OXFORD</t>
        </is>
      </c>
      <c r="B211" t="inlineStr">
        <is>
          <t>OXFORD</t>
        </is>
      </c>
      <c r="C211">
        <v>0.0</v>
      </c>
      <c r="E211" t="inlineStr">
        <is>
          <t>SALEM</t>
        </is>
      </c>
      <c r="F211" t="inlineStr">
        <is>
          <t>COLLEGE</t>
        </is>
      </c>
      <c r="G211" t="inlineStr">
        <is>
          <t>US 158</t>
        </is>
      </c>
      <c r="H211">
        <v>14.055</v>
      </c>
      <c r="J211" s="604" t="inlineStr">
        <is>
          <t>NIS</t>
        </is>
      </c>
      <c r="K211">
        <v>106500195</v>
      </c>
      <c r="L211" s="2">
        <v>44254</v>
      </c>
      <c r="M211">
        <v>1</v>
      </c>
      <c r="N211">
        <v>2</v>
      </c>
      <c r="O211">
        <v>0</v>
      </c>
      <c r="P211">
        <v>5</v>
      </c>
      <c r="Q211" t="inlineStr">
        <is>
          <t>O</t>
        </is>
      </c>
    </row>
    <row r="212">
      <c r="A212" t="inlineStr">
        <is>
          <t>RURAL</t>
        </is>
      </c>
      <c r="B212" t="inlineStr">
        <is>
          <t>US 158</t>
        </is>
      </c>
      <c r="C212">
        <v>0.0</v>
      </c>
      <c r="E212" t="inlineStr">
        <is>
          <t>SR 1522</t>
        </is>
      </c>
      <c r="F212" t="inlineStr">
        <is>
          <t>US 15</t>
        </is>
      </c>
      <c r="G212" t="inlineStr">
        <is>
          <t>US 158</t>
        </is>
      </c>
      <c r="H212">
        <v>14.055</v>
      </c>
      <c r="J212" s="604" t="inlineStr">
        <is>
          <t>NIS</t>
        </is>
      </c>
      <c r="K212">
        <v>106508286</v>
      </c>
      <c r="L212" s="2">
        <v>44260</v>
      </c>
      <c r="M212">
        <v>30</v>
      </c>
      <c r="N212">
        <v>1</v>
      </c>
      <c r="O212">
        <v>7</v>
      </c>
      <c r="P212">
        <v>5</v>
      </c>
      <c r="Q212" t="inlineStr">
        <is>
          <t>B</t>
        </is>
      </c>
    </row>
    <row r="213">
      <c r="A213" t="inlineStr">
        <is>
          <t>OXFORD</t>
        </is>
      </c>
      <c r="B213" t="inlineStr">
        <is>
          <t>WILLIAMSBORO</t>
        </is>
      </c>
      <c r="C213">
        <v>0.0</v>
      </c>
      <c r="E213" t="inlineStr">
        <is>
          <t>SPRING</t>
        </is>
      </c>
      <c r="F213" t="inlineStr">
        <is>
          <t>DOGWOOD</t>
        </is>
      </c>
      <c r="G213" t="inlineStr">
        <is>
          <t>US 158BUS</t>
        </is>
      </c>
      <c r="H213">
        <v>2.685</v>
      </c>
      <c r="J213" s="604" t="inlineStr">
        <is>
          <t>NIS</t>
        </is>
      </c>
      <c r="K213">
        <v>106510965</v>
      </c>
      <c r="L213" s="2">
        <v>44265</v>
      </c>
      <c r="M213">
        <v>23</v>
      </c>
      <c r="N213">
        <v>1</v>
      </c>
      <c r="O213">
        <v>0</v>
      </c>
      <c r="P213">
        <v>1</v>
      </c>
      <c r="Q213" t="inlineStr">
        <is>
          <t>C</t>
        </is>
      </c>
    </row>
    <row r="214">
      <c r="A214" t="inlineStr">
        <is>
          <t>RURAL</t>
        </is>
      </c>
      <c r="B214" t="inlineStr">
        <is>
          <t>SR 1522</t>
        </is>
      </c>
      <c r="C214">
        <v>0.1</v>
      </c>
      <c r="D214" t="inlineStr">
        <is>
          <t>W</t>
        </is>
      </c>
      <c r="E214" t="inlineStr">
        <is>
          <t>SR 1521</t>
        </is>
      </c>
      <c r="F214" t="inlineStr">
        <is>
          <t>SR 1533</t>
        </is>
      </c>
      <c r="G214" t="inlineStr">
        <is>
          <t>SR 1522</t>
        </is>
      </c>
      <c r="H214">
        <v>3.004</v>
      </c>
      <c r="J214" s="604" t="inlineStr">
        <is>
          <t>NIS</t>
        </is>
      </c>
      <c r="K214">
        <v>106533831</v>
      </c>
      <c r="L214" s="2">
        <v>44283</v>
      </c>
      <c r="M214">
        <v>19</v>
      </c>
      <c r="N214">
        <v>1</v>
      </c>
      <c r="O214">
        <v>0</v>
      </c>
      <c r="P214">
        <v>5</v>
      </c>
      <c r="Q214" t="inlineStr">
        <is>
          <t>O</t>
        </is>
      </c>
    </row>
    <row r="215">
      <c r="A215" t="inlineStr">
        <is>
          <t>RURAL</t>
        </is>
      </c>
      <c r="B215" t="inlineStr">
        <is>
          <t>SR 1522</t>
        </is>
      </c>
      <c r="C215">
        <v>0.004</v>
      </c>
      <c r="D215" t="inlineStr">
        <is>
          <t>N</t>
        </is>
      </c>
      <c r="E215" t="inlineStr">
        <is>
          <t>US 158</t>
        </is>
      </c>
      <c r="F215" t="inlineStr">
        <is>
          <t>SR 1515</t>
        </is>
      </c>
      <c r="G215" t="inlineStr">
        <is>
          <t>SR 1522</t>
        </is>
      </c>
      <c r="H215">
        <v>0.886</v>
      </c>
      <c r="J215" s="604" t="inlineStr">
        <is>
          <t>NIS</t>
        </is>
      </c>
      <c r="K215">
        <v>106540370</v>
      </c>
      <c r="L215" s="2">
        <v>44295</v>
      </c>
      <c r="M215">
        <v>21</v>
      </c>
      <c r="N215">
        <v>1</v>
      </c>
      <c r="O215">
        <v>0</v>
      </c>
      <c r="P215">
        <v>1</v>
      </c>
      <c r="Q215" t="inlineStr">
        <is>
          <t>O</t>
        </is>
      </c>
    </row>
    <row r="216">
      <c r="A216" t="inlineStr">
        <is>
          <t>OXFORD</t>
        </is>
      </c>
      <c r="B216" t="inlineStr">
        <is>
          <t>ORANGE</t>
        </is>
      </c>
      <c r="C216">
        <v>0.0</v>
      </c>
      <c r="E216" t="inlineStr">
        <is>
          <t>SPRING</t>
        </is>
      </c>
      <c r="F216" t="inlineStr">
        <is>
          <t>HILLSBORO</t>
        </is>
      </c>
      <c r="G216" t="inlineStr">
        <is>
          <t>SPRING</t>
        </is>
      </c>
      <c r="H216">
        <v>999.999</v>
      </c>
      <c r="J216" s="604" t="inlineStr">
        <is>
          <t>NIS</t>
        </is>
      </c>
      <c r="K216">
        <v>106579086</v>
      </c>
      <c r="L216" s="2">
        <v>44318</v>
      </c>
      <c r="M216">
        <v>30</v>
      </c>
      <c r="N216">
        <v>1</v>
      </c>
      <c r="O216">
        <v>0</v>
      </c>
      <c r="P216">
        <v>1</v>
      </c>
      <c r="Q216" t="inlineStr">
        <is>
          <t>O</t>
        </is>
      </c>
    </row>
    <row r="217">
      <c r="A217" t="inlineStr">
        <is>
          <t>OXFORD</t>
        </is>
      </c>
      <c r="B217" t="inlineStr">
        <is>
          <t>WALL</t>
        </is>
      </c>
      <c r="C217">
        <v>0.0</v>
      </c>
      <c r="E217" t="inlineStr">
        <is>
          <t>SPRING</t>
        </is>
      </c>
      <c r="F217" t="inlineStr">
        <is>
          <t>HILLSBORO</t>
        </is>
      </c>
      <c r="G217" t="inlineStr">
        <is>
          <t>SPRING</t>
        </is>
      </c>
      <c r="H217">
        <v>0.22</v>
      </c>
      <c r="J217" s="604" t="inlineStr">
        <is>
          <t>NIS</t>
        </is>
      </c>
      <c r="K217">
        <v>106577549</v>
      </c>
      <c r="L217" s="2">
        <v>44327</v>
      </c>
      <c r="M217">
        <v>30</v>
      </c>
      <c r="N217">
        <v>1</v>
      </c>
      <c r="O217">
        <v>0</v>
      </c>
      <c r="P217">
        <v>1</v>
      </c>
      <c r="Q217" t="inlineStr">
        <is>
          <t>O</t>
        </is>
      </c>
      <c r="R217">
        <v>36.309759</v>
      </c>
      <c r="S217">
        <v>-78.588781</v>
      </c>
      <c r="T217" t="inlineStr">
        <is>
          <t>ITRE_CMV</t>
        </is>
      </c>
      <c r="V217">
        <v>0.08299121832006201</v>
      </c>
    </row>
    <row r="218">
      <c r="A218" t="inlineStr">
        <is>
          <t>RURAL</t>
        </is>
      </c>
      <c r="B218" t="inlineStr">
        <is>
          <t>US 158</t>
        </is>
      </c>
      <c r="C218">
        <v>0.0</v>
      </c>
      <c r="E218" t="inlineStr">
        <is>
          <t>SR 1602</t>
        </is>
      </c>
      <c r="F218" t="inlineStr">
        <is>
          <t>MALULI</t>
        </is>
      </c>
      <c r="G218" t="inlineStr">
        <is>
          <t>US 158</t>
        </is>
      </c>
      <c r="H218">
        <v>999.999</v>
      </c>
      <c r="J218" s="604" t="inlineStr">
        <is>
          <t>NIS</t>
        </is>
      </c>
      <c r="K218">
        <v>106619014</v>
      </c>
      <c r="L218" s="2">
        <v>44363</v>
      </c>
      <c r="M218">
        <v>30</v>
      </c>
      <c r="N218">
        <v>1</v>
      </c>
      <c r="O218">
        <v>7</v>
      </c>
      <c r="P218">
        <v>4</v>
      </c>
      <c r="Q218" t="inlineStr">
        <is>
          <t>O</t>
        </is>
      </c>
    </row>
    <row r="219">
      <c r="A219" t="inlineStr">
        <is>
          <t>RURAL</t>
        </is>
      </c>
      <c r="B219" t="inlineStr">
        <is>
          <t>SR 1522</t>
        </is>
      </c>
      <c r="C219">
        <v>0.2</v>
      </c>
      <c r="D219" t="inlineStr">
        <is>
          <t>N</t>
        </is>
      </c>
      <c r="E219" t="inlineStr">
        <is>
          <t>US 158</t>
        </is>
      </c>
      <c r="F219" t="inlineStr">
        <is>
          <t>SR 1515</t>
        </is>
      </c>
      <c r="G219" t="inlineStr">
        <is>
          <t>SR 1522</t>
        </is>
      </c>
      <c r="H219">
        <v>1.082</v>
      </c>
      <c r="J219" s="604" t="inlineStr">
        <is>
          <t>NIS</t>
        </is>
      </c>
      <c r="K219">
        <v>106636747</v>
      </c>
      <c r="L219" s="2">
        <v>44392</v>
      </c>
      <c r="M219">
        <v>28</v>
      </c>
      <c r="N219">
        <v>1</v>
      </c>
      <c r="O219">
        <v>0</v>
      </c>
      <c r="P219">
        <v>1</v>
      </c>
      <c r="Q219" t="inlineStr">
        <is>
          <t>O</t>
        </is>
      </c>
    </row>
    <row r="220">
      <c r="A220" t="inlineStr">
        <is>
          <t>OXFORD</t>
        </is>
      </c>
      <c r="B220" t="inlineStr">
        <is>
          <t>RALEIGH</t>
        </is>
      </c>
      <c r="C220">
        <v>0.0</v>
      </c>
      <c r="D220" t="inlineStr">
        <is>
          <t>S</t>
        </is>
      </c>
      <c r="E220" t="inlineStr">
        <is>
          <t>SPRING</t>
        </is>
      </c>
      <c r="F220" t="inlineStr">
        <is>
          <t>OXFORD</t>
        </is>
      </c>
      <c r="G220" t="inlineStr">
        <is>
          <t>RALEIGH</t>
        </is>
      </c>
      <c r="H220">
        <v>999.999</v>
      </c>
      <c r="J220" s="604" t="inlineStr">
        <is>
          <t>NIS</t>
        </is>
      </c>
      <c r="K220">
        <v>106680830</v>
      </c>
      <c r="L220" s="2">
        <v>44435</v>
      </c>
      <c r="M220">
        <v>3</v>
      </c>
      <c r="N220">
        <v>1</v>
      </c>
      <c r="O220">
        <v>0</v>
      </c>
      <c r="P220">
        <v>1</v>
      </c>
      <c r="Q220" t="inlineStr">
        <is>
          <t>O</t>
        </is>
      </c>
    </row>
    <row r="221">
      <c r="A221" t="inlineStr">
        <is>
          <t>OXFORD</t>
        </is>
      </c>
      <c r="B221" t="inlineStr">
        <is>
          <t>PVA SUNTRUST PVA</t>
        </is>
      </c>
      <c r="C221">
        <v>0.004</v>
      </c>
      <c r="D221" t="inlineStr">
        <is>
          <t>E</t>
        </is>
      </c>
      <c r="E221" t="inlineStr">
        <is>
          <t>MAIN</t>
        </is>
      </c>
      <c r="F221" t="inlineStr">
        <is>
          <t>MAIN</t>
        </is>
      </c>
      <c r="H221">
        <v>999.999</v>
      </c>
      <c r="J221" s="604" t="inlineStr">
        <is>
          <t>NIS</t>
        </is>
      </c>
      <c r="K221">
        <v>106711659</v>
      </c>
      <c r="L221" s="2">
        <v>44450</v>
      </c>
      <c r="M221">
        <v>31</v>
      </c>
      <c r="N221">
        <v>1</v>
      </c>
      <c r="O221">
        <v>0</v>
      </c>
      <c r="P221">
        <v>1</v>
      </c>
      <c r="Q221" t="inlineStr">
        <is>
          <t>O</t>
        </is>
      </c>
    </row>
    <row r="222">
      <c r="A222" t="inlineStr">
        <is>
          <t>RURAL</t>
        </is>
      </c>
      <c r="B222" t="inlineStr">
        <is>
          <t>SR 1522</t>
        </is>
      </c>
      <c r="C222">
        <v>0.0</v>
      </c>
      <c r="E222" t="inlineStr">
        <is>
          <t>PVA OXFORD PREP SCHOOL</t>
        </is>
      </c>
      <c r="F222" t="inlineStr">
        <is>
          <t>SR 1523</t>
        </is>
      </c>
      <c r="H222">
        <v>999.999</v>
      </c>
      <c r="J222" s="604" t="inlineStr">
        <is>
          <t>NIS</t>
        </is>
      </c>
      <c r="K222">
        <v>106696985</v>
      </c>
      <c r="L222" s="2">
        <v>44454</v>
      </c>
      <c r="M222">
        <v>24</v>
      </c>
      <c r="N222">
        <v>1</v>
      </c>
      <c r="O222">
        <v>4</v>
      </c>
      <c r="P222">
        <v>1</v>
      </c>
      <c r="Q222" t="inlineStr">
        <is>
          <t>O</t>
        </is>
      </c>
    </row>
    <row r="223">
      <c r="A223" t="inlineStr">
        <is>
          <t>OXFORD</t>
        </is>
      </c>
      <c r="B223" t="inlineStr">
        <is>
          <t>PVA BANK ST</t>
        </is>
      </c>
      <c r="C223">
        <v>0.0</v>
      </c>
      <c r="E223" t="inlineStr">
        <is>
          <t>PVA MAIN ST</t>
        </is>
      </c>
      <c r="F223" t="inlineStr">
        <is>
          <t>PVA WALL ST</t>
        </is>
      </c>
      <c r="G223" t="inlineStr">
        <is>
          <t>MAIN</t>
        </is>
      </c>
      <c r="H223">
        <v>999.999</v>
      </c>
      <c r="J223" s="604" t="inlineStr">
        <is>
          <t>NIS</t>
        </is>
      </c>
      <c r="K223">
        <v>106818280</v>
      </c>
      <c r="L223" s="2">
        <v>44456</v>
      </c>
      <c r="M223">
        <v>30</v>
      </c>
      <c r="N223">
        <v>1</v>
      </c>
      <c r="O223">
        <v>0</v>
      </c>
      <c r="P223">
        <v>1</v>
      </c>
    </row>
    <row r="224">
      <c r="A224" t="inlineStr">
        <is>
          <t>RURAL</t>
        </is>
      </c>
      <c r="B224" t="inlineStr">
        <is>
          <t>SR 1522</t>
        </is>
      </c>
      <c r="C224">
        <v>0.01</v>
      </c>
      <c r="D224" t="inlineStr">
        <is>
          <t>N</t>
        </is>
      </c>
      <c r="E224" t="inlineStr">
        <is>
          <t>SR 1528</t>
        </is>
      </c>
      <c r="F224" t="inlineStr">
        <is>
          <t>US 158</t>
        </is>
      </c>
      <c r="G224" t="inlineStr">
        <is>
          <t>SR 1522</t>
        </is>
      </c>
      <c r="H224">
        <v>0.533</v>
      </c>
      <c r="J224" s="604" t="inlineStr">
        <is>
          <t>NIS</t>
        </is>
      </c>
      <c r="K224">
        <v>106727073</v>
      </c>
      <c r="L224" s="2">
        <v>44482</v>
      </c>
      <c r="M224">
        <v>17</v>
      </c>
      <c r="N224">
        <v>1</v>
      </c>
      <c r="O224">
        <v>0</v>
      </c>
      <c r="P224">
        <v>5</v>
      </c>
      <c r="Q224" t="inlineStr">
        <is>
          <t>O</t>
        </is>
      </c>
    </row>
    <row r="225">
      <c r="A225" t="inlineStr">
        <is>
          <t>RURAL</t>
        </is>
      </c>
      <c r="B225" t="inlineStr">
        <is>
          <t>SR 1521</t>
        </is>
      </c>
      <c r="C225">
        <v>0.0</v>
      </c>
      <c r="E225" t="inlineStr">
        <is>
          <t>SR 1522</t>
        </is>
      </c>
      <c r="F225" t="inlineStr">
        <is>
          <t>SR 1524</t>
        </is>
      </c>
      <c r="G225" t="inlineStr">
        <is>
          <t>SR 1521</t>
        </is>
      </c>
      <c r="H225">
        <v>3.289</v>
      </c>
      <c r="J225" s="604" t="inlineStr">
        <is>
          <t>NIS</t>
        </is>
      </c>
      <c r="K225">
        <v>106752512</v>
      </c>
      <c r="L225" s="2">
        <v>44498</v>
      </c>
      <c r="M225">
        <v>28</v>
      </c>
      <c r="N225">
        <v>2</v>
      </c>
      <c r="O225">
        <v>8</v>
      </c>
      <c r="P225">
        <v>3</v>
      </c>
      <c r="Q225" t="inlineStr">
        <is>
          <t>O</t>
        </is>
      </c>
    </row>
    <row r="226">
      <c r="A226" t="inlineStr">
        <is>
          <t>OXFORD</t>
        </is>
      </c>
      <c r="B226" t="inlineStr">
        <is>
          <t>FRONT</t>
        </is>
      </c>
      <c r="C226">
        <v>0.01</v>
      </c>
      <c r="D226" t="inlineStr">
        <is>
          <t>E</t>
        </is>
      </c>
      <c r="E226" t="inlineStr">
        <is>
          <t>MAIN</t>
        </is>
      </c>
      <c r="F226" t="inlineStr">
        <is>
          <t>COGGESHALL</t>
        </is>
      </c>
      <c r="G226" t="inlineStr">
        <is>
          <t>SR 1602</t>
        </is>
      </c>
      <c r="H226">
        <v>1.139</v>
      </c>
      <c r="J226" s="604" t="inlineStr">
        <is>
          <t>NIS</t>
        </is>
      </c>
      <c r="K226">
        <v>106785794</v>
      </c>
      <c r="L226" s="2">
        <v>44501</v>
      </c>
      <c r="M226">
        <v>1</v>
      </c>
      <c r="N226">
        <v>1</v>
      </c>
      <c r="O226">
        <v>0</v>
      </c>
      <c r="P226">
        <v>1</v>
      </c>
      <c r="Q226" t="inlineStr">
        <is>
          <t>O</t>
        </is>
      </c>
    </row>
    <row r="227">
      <c r="A227" t="inlineStr">
        <is>
          <t>OXFORD</t>
        </is>
      </c>
      <c r="B227" t="inlineStr">
        <is>
          <t>WILLIAMSBORO</t>
        </is>
      </c>
      <c r="C227">
        <v>0.0</v>
      </c>
      <c r="E227" t="inlineStr">
        <is>
          <t>MAIN</t>
        </is>
      </c>
      <c r="F227" t="inlineStr">
        <is>
          <t>MAIN</t>
        </is>
      </c>
      <c r="G227" t="inlineStr">
        <is>
          <t>US 158BUS</t>
        </is>
      </c>
      <c r="H227">
        <v>2.055</v>
      </c>
      <c r="J227" s="604" t="inlineStr">
        <is>
          <t>NIS</t>
        </is>
      </c>
      <c r="K227">
        <v>106762748</v>
      </c>
      <c r="L227" s="2">
        <v>44510</v>
      </c>
      <c r="M227">
        <v>31</v>
      </c>
      <c r="N227">
        <v>1</v>
      </c>
      <c r="O227">
        <v>0</v>
      </c>
      <c r="P227">
        <v>1</v>
      </c>
      <c r="Q227" t="inlineStr">
        <is>
          <t>O</t>
        </is>
      </c>
    </row>
    <row r="228">
      <c r="A228" t="inlineStr">
        <is>
          <t>CREEDMOOR</t>
        </is>
      </c>
      <c r="B228" t="inlineStr">
        <is>
          <t>PVA DOLLAR TREE</t>
        </is>
      </c>
      <c r="C228">
        <v>0.019</v>
      </c>
      <c r="D228" t="inlineStr">
        <is>
          <t>W</t>
        </is>
      </c>
      <c r="E228" t="inlineStr">
        <is>
          <t>MAIN</t>
        </is>
      </c>
      <c r="H228">
        <v>999.999</v>
      </c>
      <c r="J228" s="604" t="inlineStr">
        <is>
          <t>NIS</t>
        </is>
      </c>
      <c r="K228">
        <v>106802910</v>
      </c>
      <c r="L228" s="2">
        <v>44523</v>
      </c>
      <c r="M228">
        <v>31</v>
      </c>
      <c r="N228">
        <v>1</v>
      </c>
      <c r="O228">
        <v>4</v>
      </c>
      <c r="P228">
        <v>1</v>
      </c>
      <c r="Q228" t="inlineStr">
        <is>
          <t>O</t>
        </is>
      </c>
    </row>
    <row r="229">
      <c r="A229" t="inlineStr">
        <is>
          <t>CREEDMOOR</t>
        </is>
      </c>
      <c r="B229" t="inlineStr">
        <is>
          <t>MAIN</t>
        </is>
      </c>
      <c r="C229">
        <v>0.0</v>
      </c>
      <c r="E229" t="inlineStr">
        <is>
          <t>US 15</t>
        </is>
      </c>
      <c r="F229" t="inlineStr">
        <is>
          <t>SAM MOSS-HAYES</t>
        </is>
      </c>
      <c r="G229" t="inlineStr">
        <is>
          <t>SR 1639</t>
        </is>
      </c>
      <c r="H229">
        <v>0.535</v>
      </c>
      <c r="J229" s="604" t="inlineStr">
        <is>
          <t>NIS</t>
        </is>
      </c>
      <c r="K229">
        <v>106782773</v>
      </c>
      <c r="L229" s="2">
        <v>44524</v>
      </c>
      <c r="M229">
        <v>21</v>
      </c>
      <c r="N229">
        <v>1</v>
      </c>
      <c r="O229">
        <v>9</v>
      </c>
      <c r="P229">
        <v>1</v>
      </c>
      <c r="Q229" t="inlineStr">
        <is>
          <t>O</t>
        </is>
      </c>
    </row>
    <row r="230">
      <c r="A230" t="inlineStr">
        <is>
          <t>OXFORD</t>
        </is>
      </c>
      <c r="B230" t="inlineStr">
        <is>
          <t>SALEM</t>
        </is>
      </c>
      <c r="C230">
        <v>0.25</v>
      </c>
      <c r="D230" t="inlineStr">
        <is>
          <t>S</t>
        </is>
      </c>
      <c r="E230" t="inlineStr">
        <is>
          <t>EDGEWOOD</t>
        </is>
      </c>
      <c r="F230" t="inlineStr">
        <is>
          <t>WILLIAMSBORO</t>
        </is>
      </c>
      <c r="H230">
        <v>999.999</v>
      </c>
      <c r="J230" s="604" t="inlineStr">
        <is>
          <t>NIS</t>
        </is>
      </c>
      <c r="K230">
        <v>106802901</v>
      </c>
      <c r="L230" s="2">
        <v>44525</v>
      </c>
      <c r="M230">
        <v>17</v>
      </c>
      <c r="N230">
        <v>1</v>
      </c>
      <c r="O230">
        <v>0</v>
      </c>
      <c r="P230">
        <v>5</v>
      </c>
      <c r="Q230" t="inlineStr">
        <is>
          <t>O</t>
        </is>
      </c>
    </row>
    <row r="231">
      <c r="A231" t="inlineStr">
        <is>
          <t>RURAL</t>
        </is>
      </c>
      <c r="B231" t="inlineStr">
        <is>
          <t>US 158</t>
        </is>
      </c>
      <c r="C231">
        <v>0.0</v>
      </c>
      <c r="E231" t="inlineStr">
        <is>
          <t>SR 1522</t>
        </is>
      </c>
      <c r="F231" t="inlineStr">
        <is>
          <t>SR 1515</t>
        </is>
      </c>
      <c r="G231" t="inlineStr">
        <is>
          <t>US 158</t>
        </is>
      </c>
      <c r="H231">
        <v>14.055</v>
      </c>
      <c r="J231" s="604" t="inlineStr">
        <is>
          <t>NIS</t>
        </is>
      </c>
      <c r="K231">
        <v>106812161</v>
      </c>
      <c r="L231" s="2">
        <v>44552</v>
      </c>
      <c r="M231">
        <v>30</v>
      </c>
      <c r="N231">
        <v>1</v>
      </c>
      <c r="O231">
        <v>7</v>
      </c>
      <c r="P231">
        <v>1</v>
      </c>
      <c r="Q231" t="inlineStr">
        <is>
          <t>O</t>
        </is>
      </c>
    </row>
    <row r="232">
      <c r="A232" t="inlineStr">
        <is>
          <t>RURAL</t>
        </is>
      </c>
      <c r="B232" t="inlineStr">
        <is>
          <t>US 158</t>
        </is>
      </c>
      <c r="C232">
        <v>0.0</v>
      </c>
      <c r="E232" t="inlineStr">
        <is>
          <t>SR 1522</t>
        </is>
      </c>
      <c r="F232" t="inlineStr">
        <is>
          <t>US 15</t>
        </is>
      </c>
      <c r="G232" t="inlineStr">
        <is>
          <t>US 158</t>
        </is>
      </c>
      <c r="H232">
        <v>14.055</v>
      </c>
      <c r="J232" s="604" t="inlineStr">
        <is>
          <t>NIS</t>
        </is>
      </c>
      <c r="K232">
        <v>106826767</v>
      </c>
      <c r="L232" s="2">
        <v>44565</v>
      </c>
      <c r="M232">
        <v>30</v>
      </c>
      <c r="N232">
        <v>1</v>
      </c>
      <c r="O232">
        <v>7</v>
      </c>
      <c r="P232">
        <v>1</v>
      </c>
      <c r="Q232" t="inlineStr">
        <is>
          <t>B</t>
        </is>
      </c>
    </row>
    <row r="233">
      <c r="A233" t="inlineStr">
        <is>
          <t>OXFORD</t>
        </is>
      </c>
      <c r="B233" t="inlineStr">
        <is>
          <t>MAIN</t>
        </is>
      </c>
      <c r="C233">
        <v>0.0</v>
      </c>
      <c r="E233" t="inlineStr">
        <is>
          <t>LITTLE JOHN</t>
        </is>
      </c>
      <c r="F233" t="inlineStr">
        <is>
          <t>LITTLE JOHN</t>
        </is>
      </c>
      <c r="G233" t="inlineStr">
        <is>
          <t>SR 1602</t>
        </is>
      </c>
      <c r="H233">
        <v>1.421</v>
      </c>
      <c r="J233" s="604" t="inlineStr">
        <is>
          <t>NIS</t>
        </is>
      </c>
      <c r="K233">
        <v>106915254</v>
      </c>
      <c r="L233" s="2">
        <v>44572</v>
      </c>
      <c r="M233">
        <v>18</v>
      </c>
      <c r="N233">
        <v>1</v>
      </c>
      <c r="O233">
        <v>0</v>
      </c>
      <c r="P233">
        <v>1</v>
      </c>
    </row>
    <row r="234">
      <c r="A234" t="inlineStr">
        <is>
          <t>RURAL</t>
        </is>
      </c>
      <c r="B234" t="inlineStr">
        <is>
          <t>US 158</t>
        </is>
      </c>
      <c r="C234">
        <v>0.0</v>
      </c>
      <c r="E234" t="inlineStr">
        <is>
          <t>SR 1522</t>
        </is>
      </c>
      <c r="F234" t="inlineStr">
        <is>
          <t>US 15</t>
        </is>
      </c>
      <c r="G234" t="inlineStr">
        <is>
          <t>US 158</t>
        </is>
      </c>
      <c r="H234">
        <v>14.055</v>
      </c>
      <c r="J234" s="604" t="inlineStr">
        <is>
          <t>NIS</t>
        </is>
      </c>
      <c r="K234">
        <v>106854292</v>
      </c>
      <c r="L234" s="2">
        <v>44588</v>
      </c>
      <c r="M234">
        <v>30</v>
      </c>
      <c r="N234">
        <v>1</v>
      </c>
      <c r="O234">
        <v>7</v>
      </c>
      <c r="P234">
        <v>1</v>
      </c>
      <c r="Q234" t="inlineStr">
        <is>
          <t>B</t>
        </is>
      </c>
    </row>
    <row r="235">
      <c r="A235" t="inlineStr">
        <is>
          <t>RURAL</t>
        </is>
      </c>
      <c r="B235" t="inlineStr">
        <is>
          <t>SR 1515</t>
        </is>
      </c>
      <c r="C235">
        <v>0.0</v>
      </c>
      <c r="E235" t="inlineStr">
        <is>
          <t>SR 1522</t>
        </is>
      </c>
      <c r="F235" t="inlineStr">
        <is>
          <t>SR 1523</t>
        </is>
      </c>
      <c r="G235" t="inlineStr">
        <is>
          <t>SR 1515</t>
        </is>
      </c>
      <c r="H235">
        <v>10.078</v>
      </c>
      <c r="J235" s="604" t="inlineStr">
        <is>
          <t>NIS</t>
        </is>
      </c>
      <c r="K235">
        <v>106860515</v>
      </c>
      <c r="L235" s="2">
        <v>44604</v>
      </c>
      <c r="M235">
        <v>24</v>
      </c>
      <c r="N235">
        <v>1</v>
      </c>
      <c r="O235">
        <v>8</v>
      </c>
      <c r="P235">
        <v>1</v>
      </c>
      <c r="Q235" t="inlineStr">
        <is>
          <t>O</t>
        </is>
      </c>
    </row>
    <row r="236">
      <c r="A236" t="inlineStr">
        <is>
          <t>OXFORD</t>
        </is>
      </c>
      <c r="B236" t="inlineStr">
        <is>
          <t>MARTIN LUTHER KING</t>
        </is>
      </c>
      <c r="C236">
        <v>0.0</v>
      </c>
      <c r="E236" t="inlineStr">
        <is>
          <t>SPRING</t>
        </is>
      </c>
      <c r="F236" t="inlineStr">
        <is>
          <t>MARTIN LUTHER KING</t>
        </is>
      </c>
      <c r="G236" t="inlineStr">
        <is>
          <t>NC 96</t>
        </is>
      </c>
      <c r="H236">
        <v>17.59</v>
      </c>
      <c r="J236" s="604" t="inlineStr">
        <is>
          <t>NIS</t>
        </is>
      </c>
      <c r="K236">
        <v>107036300</v>
      </c>
      <c r="L236" s="2">
        <v>44605</v>
      </c>
      <c r="M236">
        <v>21</v>
      </c>
      <c r="N236">
        <v>1</v>
      </c>
      <c r="O236">
        <v>7</v>
      </c>
      <c r="P236">
        <v>2</v>
      </c>
      <c r="Q236" t="inlineStr">
        <is>
          <t>O</t>
        </is>
      </c>
    </row>
    <row r="237">
      <c r="A237" t="inlineStr">
        <is>
          <t>OXFORD</t>
        </is>
      </c>
      <c r="B237" t="inlineStr">
        <is>
          <t>SPRING</t>
        </is>
      </c>
      <c r="C237">
        <v>0.0</v>
      </c>
      <c r="E237" t="inlineStr">
        <is>
          <t>BELL</t>
        </is>
      </c>
      <c r="F237" t="inlineStr">
        <is>
          <t>BELL</t>
        </is>
      </c>
      <c r="G237" t="inlineStr">
        <is>
          <t>SPRING</t>
        </is>
      </c>
      <c r="H237">
        <v>0.47</v>
      </c>
      <c r="J237" s="604" t="inlineStr">
        <is>
          <t>NIS</t>
        </is>
      </c>
      <c r="K237">
        <v>106974955</v>
      </c>
      <c r="L237" s="2">
        <v>44628</v>
      </c>
      <c r="M237">
        <v>13</v>
      </c>
      <c r="N237">
        <v>1</v>
      </c>
      <c r="O237">
        <v>0</v>
      </c>
      <c r="P237">
        <v>1</v>
      </c>
      <c r="Q237" t="inlineStr">
        <is>
          <t>O</t>
        </is>
      </c>
    </row>
    <row r="238">
      <c r="A238" t="inlineStr">
        <is>
          <t>OXFORD</t>
        </is>
      </c>
      <c r="B238" t="inlineStr">
        <is>
          <t>MARTIN LUTHER KING</t>
        </is>
      </c>
      <c r="C238">
        <v>0.0</v>
      </c>
      <c r="E238" t="inlineStr">
        <is>
          <t>SPRING</t>
        </is>
      </c>
      <c r="F238" t="inlineStr">
        <is>
          <t>MARTIN LUTHER KING</t>
        </is>
      </c>
      <c r="G238" t="inlineStr">
        <is>
          <t>NC 96</t>
        </is>
      </c>
      <c r="H238">
        <v>17.59</v>
      </c>
      <c r="J238" s="604" t="inlineStr">
        <is>
          <t>NIS</t>
        </is>
      </c>
      <c r="K238">
        <v>106915253</v>
      </c>
      <c r="L238" s="2">
        <v>44646</v>
      </c>
      <c r="M238">
        <v>21</v>
      </c>
      <c r="N238">
        <v>1</v>
      </c>
      <c r="O238">
        <v>7</v>
      </c>
      <c r="P238">
        <v>1</v>
      </c>
      <c r="Q238" t="inlineStr">
        <is>
          <t>A</t>
        </is>
      </c>
    </row>
    <row r="239">
      <c r="A239" t="inlineStr">
        <is>
          <t>RURAL</t>
        </is>
      </c>
      <c r="B239" t="inlineStr">
        <is>
          <t>SR 1522</t>
        </is>
      </c>
      <c r="C239">
        <v>0.2</v>
      </c>
      <c r="D239" t="inlineStr">
        <is>
          <t>N</t>
        </is>
      </c>
      <c r="E239" t="inlineStr">
        <is>
          <t>SR 1515</t>
        </is>
      </c>
      <c r="F239" t="inlineStr">
        <is>
          <t>SR 1521</t>
        </is>
      </c>
      <c r="G239" t="inlineStr">
        <is>
          <t>SR 1522</t>
        </is>
      </c>
      <c r="H239">
        <v>1.408</v>
      </c>
      <c r="J239" s="604" t="inlineStr">
        <is>
          <t>NIS</t>
        </is>
      </c>
      <c r="K239">
        <v>106910589</v>
      </c>
      <c r="L239" s="2">
        <v>44651</v>
      </c>
      <c r="M239">
        <v>5</v>
      </c>
      <c r="N239">
        <v>2</v>
      </c>
      <c r="O239">
        <v>0</v>
      </c>
      <c r="P239">
        <v>5</v>
      </c>
      <c r="Q239" t="inlineStr">
        <is>
          <t>B</t>
        </is>
      </c>
    </row>
    <row r="240">
      <c r="A240" t="inlineStr">
        <is>
          <t>RURAL</t>
        </is>
      </c>
      <c r="B240" t="inlineStr">
        <is>
          <t>SR 1515</t>
        </is>
      </c>
      <c r="C240">
        <v>0.004</v>
      </c>
      <c r="D240" t="inlineStr">
        <is>
          <t>W</t>
        </is>
      </c>
      <c r="E240" t="inlineStr">
        <is>
          <t>SR 1522</t>
        </is>
      </c>
      <c r="F240" t="inlineStr">
        <is>
          <t>PVA OXFORD PARK BLVD</t>
        </is>
      </c>
      <c r="G240" t="inlineStr">
        <is>
          <t>SR 1515</t>
        </is>
      </c>
      <c r="H240">
        <v>10.074</v>
      </c>
      <c r="J240" s="604" t="inlineStr">
        <is>
          <t>NIS</t>
        </is>
      </c>
      <c r="K240">
        <v>106909550</v>
      </c>
      <c r="L240" s="2">
        <v>44652</v>
      </c>
      <c r="M240">
        <v>24</v>
      </c>
      <c r="N240">
        <v>1</v>
      </c>
      <c r="O240">
        <v>8</v>
      </c>
      <c r="P240">
        <v>1</v>
      </c>
      <c r="Q240" t="inlineStr">
        <is>
          <t>O</t>
        </is>
      </c>
    </row>
    <row r="241">
      <c r="A241" t="inlineStr">
        <is>
          <t>OXFORD</t>
        </is>
      </c>
      <c r="B241" t="inlineStr">
        <is>
          <t>BELL</t>
        </is>
      </c>
      <c r="C241">
        <v>0.0</v>
      </c>
      <c r="E241" t="inlineStr">
        <is>
          <t>SPRING</t>
        </is>
      </c>
      <c r="F241" t="inlineStr">
        <is>
          <t>BELL</t>
        </is>
      </c>
      <c r="G241" t="inlineStr">
        <is>
          <t>SPRING</t>
        </is>
      </c>
      <c r="H241">
        <v>0.47</v>
      </c>
      <c r="J241" s="604" t="inlineStr">
        <is>
          <t>NIS</t>
        </is>
      </c>
      <c r="K241">
        <v>107036687</v>
      </c>
      <c r="L241" s="2">
        <v>44694</v>
      </c>
      <c r="M241">
        <v>21</v>
      </c>
      <c r="N241">
        <v>1</v>
      </c>
      <c r="O241">
        <v>0</v>
      </c>
      <c r="P241">
        <v>1</v>
      </c>
      <c r="Q241" t="inlineStr">
        <is>
          <t>O</t>
        </is>
      </c>
    </row>
    <row r="242">
      <c r="A242" t="inlineStr">
        <is>
          <t>OXFORD</t>
        </is>
      </c>
      <c r="B242" t="inlineStr">
        <is>
          <t>MARTIN LUTHER KING</t>
        </is>
      </c>
      <c r="C242">
        <v>0.0</v>
      </c>
      <c r="E242" t="inlineStr">
        <is>
          <t>SPRING</t>
        </is>
      </c>
      <c r="F242" t="inlineStr">
        <is>
          <t>HILLSBORO</t>
        </is>
      </c>
      <c r="G242" t="inlineStr">
        <is>
          <t>NC 96</t>
        </is>
      </c>
      <c r="H242">
        <v>17.59</v>
      </c>
      <c r="J242" s="604" t="inlineStr">
        <is>
          <t>NIS</t>
        </is>
      </c>
      <c r="K242">
        <v>106996484</v>
      </c>
      <c r="L242" s="2">
        <v>44723</v>
      </c>
      <c r="M242">
        <v>21</v>
      </c>
      <c r="N242">
        <v>1</v>
      </c>
      <c r="O242">
        <v>0</v>
      </c>
      <c r="P242">
        <v>2</v>
      </c>
      <c r="Q242" t="inlineStr">
        <is>
          <t>O</t>
        </is>
      </c>
    </row>
    <row r="243">
      <c r="A243" t="inlineStr">
        <is>
          <t>OXFORD</t>
        </is>
      </c>
      <c r="B243" t="inlineStr">
        <is>
          <t>SPRING</t>
        </is>
      </c>
      <c r="C243">
        <v>0.0</v>
      </c>
      <c r="E243" t="inlineStr">
        <is>
          <t>GRANVILLE</t>
        </is>
      </c>
      <c r="F243" t="inlineStr">
        <is>
          <t>MARTIN LUTHER KING</t>
        </is>
      </c>
      <c r="G243" t="inlineStr">
        <is>
          <t>SPRING</t>
        </is>
      </c>
      <c r="H243">
        <v>0.09</v>
      </c>
      <c r="J243" s="604" t="inlineStr">
        <is>
          <t>NIS</t>
        </is>
      </c>
      <c r="K243">
        <v>106996485</v>
      </c>
      <c r="L243" s="2">
        <v>44728</v>
      </c>
      <c r="M243">
        <v>28</v>
      </c>
      <c r="N243">
        <v>1</v>
      </c>
      <c r="O243">
        <v>0</v>
      </c>
      <c r="P243">
        <v>1</v>
      </c>
      <c r="Q243" t="inlineStr">
        <is>
          <t>O</t>
        </is>
      </c>
    </row>
    <row r="244">
      <c r="A244" t="inlineStr">
        <is>
          <t>OXFORD</t>
        </is>
      </c>
      <c r="B244" t="inlineStr">
        <is>
          <t>MARTIN LUTHER KING</t>
        </is>
      </c>
      <c r="C244">
        <v>0.0</v>
      </c>
      <c r="E244" t="inlineStr">
        <is>
          <t>SPRING</t>
        </is>
      </c>
      <c r="F244" t="inlineStr">
        <is>
          <t>HILLSBORO</t>
        </is>
      </c>
      <c r="G244" t="inlineStr">
        <is>
          <t>NC 96</t>
        </is>
      </c>
      <c r="H244">
        <v>17.59</v>
      </c>
      <c r="J244" s="604" t="inlineStr">
        <is>
          <t>NIS</t>
        </is>
      </c>
      <c r="K244">
        <v>107036677</v>
      </c>
      <c r="L244" s="2">
        <v>44728</v>
      </c>
      <c r="M244">
        <v>31</v>
      </c>
      <c r="N244">
        <v>1</v>
      </c>
      <c r="O244">
        <v>0</v>
      </c>
      <c r="P244">
        <v>1</v>
      </c>
      <c r="Q244" t="inlineStr">
        <is>
          <t>O</t>
        </is>
      </c>
    </row>
    <row r="245">
      <c r="A245" t="inlineStr">
        <is>
          <t>OXFORD</t>
        </is>
      </c>
      <c r="B245" t="inlineStr">
        <is>
          <t>MAIN</t>
        </is>
      </c>
      <c r="C245">
        <v>0.019</v>
      </c>
      <c r="D245" t="inlineStr">
        <is>
          <t>N</t>
        </is>
      </c>
      <c r="E245" t="inlineStr">
        <is>
          <t>WILLIAMSBORO</t>
        </is>
      </c>
      <c r="F245" t="inlineStr">
        <is>
          <t>WILLIAMSBORO</t>
        </is>
      </c>
      <c r="G245" t="inlineStr">
        <is>
          <t>SR 1602</t>
        </is>
      </c>
      <c r="H245">
        <v>1.504</v>
      </c>
      <c r="J245" s="604" t="inlineStr">
        <is>
          <t>NIS</t>
        </is>
      </c>
      <c r="K245">
        <v>106990903</v>
      </c>
      <c r="L245" s="2">
        <v>44729</v>
      </c>
      <c r="M245">
        <v>31</v>
      </c>
      <c r="N245">
        <v>1</v>
      </c>
      <c r="O245">
        <v>0</v>
      </c>
      <c r="P245">
        <v>1</v>
      </c>
      <c r="Q245" t="inlineStr">
        <is>
          <t>O</t>
        </is>
      </c>
    </row>
    <row r="246">
      <c r="A246" t="inlineStr">
        <is>
          <t>RURAL</t>
        </is>
      </c>
      <c r="B246" t="inlineStr">
        <is>
          <t>SR 1522</t>
        </is>
      </c>
      <c r="C246">
        <v>0.2</v>
      </c>
      <c r="D246" t="inlineStr">
        <is>
          <t>S</t>
        </is>
      </c>
      <c r="E246" t="inlineStr">
        <is>
          <t>SR 1525</t>
        </is>
      </c>
      <c r="F246" t="inlineStr">
        <is>
          <t>SR 1195</t>
        </is>
      </c>
      <c r="G246" t="inlineStr">
        <is>
          <t>SR 1522</t>
        </is>
      </c>
      <c r="H246">
        <v>2.284</v>
      </c>
      <c r="J246" s="604" t="inlineStr">
        <is>
          <t>NIS</t>
        </is>
      </c>
      <c r="K246">
        <v>106993246</v>
      </c>
      <c r="L246" s="2">
        <v>44732</v>
      </c>
      <c r="M246">
        <v>17</v>
      </c>
      <c r="N246">
        <v>1</v>
      </c>
      <c r="O246">
        <v>0</v>
      </c>
      <c r="P246">
        <v>1</v>
      </c>
      <c r="Q246" t="inlineStr">
        <is>
          <t>O</t>
        </is>
      </c>
    </row>
    <row r="247">
      <c r="A247" t="inlineStr">
        <is>
          <t>OXFORD</t>
        </is>
      </c>
      <c r="B247" t="inlineStr">
        <is>
          <t>LEWIS</t>
        </is>
      </c>
      <c r="C247">
        <v>0.0</v>
      </c>
      <c r="E247" t="inlineStr">
        <is>
          <t>SPRING</t>
        </is>
      </c>
      <c r="F247" t="inlineStr">
        <is>
          <t>HILLSBORO</t>
        </is>
      </c>
      <c r="G247" t="inlineStr">
        <is>
          <t>US 15</t>
        </is>
      </c>
      <c r="H247">
        <v>20.498</v>
      </c>
      <c r="J247" s="604" t="inlineStr">
        <is>
          <t>NIS</t>
        </is>
      </c>
      <c r="K247">
        <v>107036690</v>
      </c>
      <c r="L247" s="2">
        <v>44733</v>
      </c>
      <c r="M247">
        <v>21</v>
      </c>
      <c r="N247">
        <v>1</v>
      </c>
      <c r="O247">
        <v>0</v>
      </c>
      <c r="P247">
        <v>1</v>
      </c>
      <c r="Q247" t="inlineStr">
        <is>
          <t>O</t>
        </is>
      </c>
    </row>
    <row r="248">
      <c r="A248" t="inlineStr">
        <is>
          <t>RURAL</t>
        </is>
      </c>
      <c r="B248" t="inlineStr">
        <is>
          <t>US 158</t>
        </is>
      </c>
      <c r="C248">
        <v>0.0</v>
      </c>
      <c r="E248" t="inlineStr">
        <is>
          <t>SR 1522</t>
        </is>
      </c>
      <c r="F248" t="inlineStr">
        <is>
          <t>SR 1515</t>
        </is>
      </c>
      <c r="G248" t="inlineStr">
        <is>
          <t>US 158</t>
        </is>
      </c>
      <c r="H248">
        <v>14.055</v>
      </c>
      <c r="J248" s="604" t="inlineStr">
        <is>
          <t>NIS</t>
        </is>
      </c>
      <c r="K248">
        <v>107005802</v>
      </c>
      <c r="L248" s="2">
        <v>44744</v>
      </c>
      <c r="M248">
        <v>23</v>
      </c>
      <c r="N248">
        <v>1</v>
      </c>
      <c r="O248">
        <v>7</v>
      </c>
      <c r="P248">
        <v>1</v>
      </c>
      <c r="Q248" t="inlineStr">
        <is>
          <t>B</t>
        </is>
      </c>
    </row>
    <row r="249">
      <c r="A249" t="inlineStr">
        <is>
          <t>OXFORD</t>
        </is>
      </c>
      <c r="B249" t="inlineStr">
        <is>
          <t>MAIN</t>
        </is>
      </c>
      <c r="C249">
        <v>0.095</v>
      </c>
      <c r="D249" t="inlineStr">
        <is>
          <t>S</t>
        </is>
      </c>
      <c r="E249" t="inlineStr">
        <is>
          <t>COURT</t>
        </is>
      </c>
      <c r="F249" t="inlineStr">
        <is>
          <t>LITTLE JOHN</t>
        </is>
      </c>
      <c r="G249" t="inlineStr">
        <is>
          <t>SR 1602</t>
        </is>
      </c>
      <c r="H249">
        <v>1.382</v>
      </c>
      <c r="J249" s="604" t="inlineStr">
        <is>
          <t>NIS</t>
        </is>
      </c>
      <c r="K249">
        <v>107020234</v>
      </c>
      <c r="L249" s="2">
        <v>44756</v>
      </c>
      <c r="M249">
        <v>31</v>
      </c>
      <c r="N249">
        <v>1</v>
      </c>
      <c r="O249">
        <v>0</v>
      </c>
      <c r="P249">
        <v>1</v>
      </c>
      <c r="Q249" t="inlineStr">
        <is>
          <t>O</t>
        </is>
      </c>
    </row>
    <row r="250">
      <c r="A250" t="inlineStr">
        <is>
          <t>OXFORD</t>
        </is>
      </c>
      <c r="B250" t="inlineStr">
        <is>
          <t>SPRING</t>
        </is>
      </c>
      <c r="C250">
        <v>0.009</v>
      </c>
      <c r="D250" t="inlineStr">
        <is>
          <t>E</t>
        </is>
      </c>
      <c r="E250" t="inlineStr">
        <is>
          <t>GILLIAM</t>
        </is>
      </c>
      <c r="F250" t="inlineStr">
        <is>
          <t>GILLIAM</t>
        </is>
      </c>
      <c r="G250" t="inlineStr">
        <is>
          <t>SPRING</t>
        </is>
      </c>
      <c r="H250">
        <v>0.409</v>
      </c>
      <c r="J250" s="604" t="inlineStr">
        <is>
          <t>NIS</t>
        </is>
      </c>
      <c r="K250">
        <v>107036682</v>
      </c>
      <c r="L250" s="2">
        <v>44760</v>
      </c>
      <c r="M250">
        <v>31</v>
      </c>
      <c r="N250">
        <v>1</v>
      </c>
      <c r="O250">
        <v>0</v>
      </c>
      <c r="P250">
        <v>1</v>
      </c>
      <c r="Q250" t="inlineStr">
        <is>
          <t>O</t>
        </is>
      </c>
    </row>
    <row r="251">
      <c r="A251" t="inlineStr">
        <is>
          <t>RURAL</t>
        </is>
      </c>
      <c r="B251" t="inlineStr">
        <is>
          <t>SR 1522</t>
        </is>
      </c>
      <c r="C251">
        <v>0.3</v>
      </c>
      <c r="D251" t="inlineStr">
        <is>
          <t>N</t>
        </is>
      </c>
      <c r="E251" t="inlineStr">
        <is>
          <t>SR 1515</t>
        </is>
      </c>
      <c r="F251" t="inlineStr">
        <is>
          <t>SR 1521</t>
        </is>
      </c>
      <c r="G251" t="inlineStr">
        <is>
          <t>SR 1522</t>
        </is>
      </c>
      <c r="H251">
        <v>1.508</v>
      </c>
      <c r="J251" s="604" t="inlineStr">
        <is>
          <t>NIS</t>
        </is>
      </c>
      <c r="K251">
        <v>107035517</v>
      </c>
      <c r="L251" s="2">
        <v>44776</v>
      </c>
      <c r="M251">
        <v>29</v>
      </c>
      <c r="N251">
        <v>1</v>
      </c>
      <c r="O251">
        <v>0</v>
      </c>
      <c r="P251">
        <v>1</v>
      </c>
      <c r="Q251" t="inlineStr">
        <is>
          <t>O</t>
        </is>
      </c>
    </row>
    <row r="252">
      <c r="A252" t="inlineStr">
        <is>
          <t>OXFORD</t>
        </is>
      </c>
      <c r="B252" t="inlineStr">
        <is>
          <t>SPRING</t>
        </is>
      </c>
      <c r="C252">
        <v>0.0</v>
      </c>
      <c r="E252" t="inlineStr">
        <is>
          <t>MARTIN LUTHER KING</t>
        </is>
      </c>
      <c r="F252" t="inlineStr">
        <is>
          <t>MARTIN LUTHER KING</t>
        </is>
      </c>
      <c r="G252" t="inlineStr">
        <is>
          <t>SPRING</t>
        </is>
      </c>
      <c r="H252">
        <v>999.999</v>
      </c>
      <c r="J252" s="604" t="inlineStr">
        <is>
          <t>NIS</t>
        </is>
      </c>
      <c r="K252">
        <v>107047616</v>
      </c>
      <c r="L252" s="2">
        <v>44782</v>
      </c>
      <c r="M252">
        <v>28</v>
      </c>
      <c r="N252">
        <v>1</v>
      </c>
      <c r="O252">
        <v>0</v>
      </c>
      <c r="P252">
        <v>1</v>
      </c>
      <c r="Q252" t="inlineStr">
        <is>
          <t>O</t>
        </is>
      </c>
    </row>
    <row r="253">
      <c r="A253" t="inlineStr">
        <is>
          <t>OXFORD</t>
        </is>
      </c>
      <c r="B253" t="inlineStr">
        <is>
          <t>MARTIN LUTHER KING</t>
        </is>
      </c>
      <c r="C253">
        <v>0.0</v>
      </c>
      <c r="E253" t="inlineStr">
        <is>
          <t>SPRING</t>
        </is>
      </c>
      <c r="F253" t="inlineStr">
        <is>
          <t>SPRING</t>
        </is>
      </c>
      <c r="G253" t="inlineStr">
        <is>
          <t>NC 96</t>
        </is>
      </c>
      <c r="H253">
        <v>17.59</v>
      </c>
      <c r="J253" s="604" t="inlineStr">
        <is>
          <t>NIS</t>
        </is>
      </c>
      <c r="K253">
        <v>107074299</v>
      </c>
      <c r="L253" s="2">
        <v>44815</v>
      </c>
      <c r="M253">
        <v>30</v>
      </c>
      <c r="N253">
        <v>1</v>
      </c>
      <c r="O253">
        <v>0</v>
      </c>
      <c r="P253">
        <v>1</v>
      </c>
      <c r="Q253" t="inlineStr">
        <is>
          <t>C</t>
        </is>
      </c>
    </row>
    <row r="254">
      <c r="A254" t="inlineStr">
        <is>
          <t>CREEDMOOR</t>
        </is>
      </c>
      <c r="B254" t="inlineStr">
        <is>
          <t>PVA MAIN ST</t>
        </is>
      </c>
      <c r="C254">
        <v>0.0</v>
      </c>
      <c r="E254" t="inlineStr">
        <is>
          <t>PVA 404 N MAIN ST</t>
        </is>
      </c>
      <c r="F254" t="inlineStr">
        <is>
          <t>MILL</t>
        </is>
      </c>
      <c r="H254">
        <v>999.999</v>
      </c>
      <c r="J254" s="604" t="inlineStr">
        <is>
          <t>NIS</t>
        </is>
      </c>
      <c r="K254">
        <v>107090844</v>
      </c>
      <c r="L254" s="2">
        <v>44820</v>
      </c>
      <c r="M254">
        <v>31</v>
      </c>
      <c r="N254">
        <v>1</v>
      </c>
      <c r="O254">
        <v>0</v>
      </c>
      <c r="P254">
        <v>4</v>
      </c>
      <c r="Q254" t="inlineStr">
        <is>
          <t>O</t>
        </is>
      </c>
    </row>
    <row r="255">
      <c r="A255" t="inlineStr">
        <is>
          <t>OXFORD</t>
        </is>
      </c>
      <c r="B255" t="inlineStr">
        <is>
          <t>SPRING</t>
        </is>
      </c>
      <c r="C255">
        <v>0.0</v>
      </c>
      <c r="E255" t="inlineStr">
        <is>
          <t>WALL</t>
        </is>
      </c>
      <c r="F255" t="inlineStr">
        <is>
          <t>MARTIN LUTHER KING</t>
        </is>
      </c>
      <c r="G255" t="inlineStr">
        <is>
          <t>SPRING</t>
        </is>
      </c>
      <c r="H255">
        <v>0.22</v>
      </c>
      <c r="J255" s="604" t="inlineStr">
        <is>
          <t>NIS</t>
        </is>
      </c>
      <c r="K255">
        <v>107101708</v>
      </c>
      <c r="L255" s="2">
        <v>44840</v>
      </c>
      <c r="M255">
        <v>26</v>
      </c>
      <c r="N255">
        <v>1</v>
      </c>
      <c r="O255">
        <v>0</v>
      </c>
      <c r="P255">
        <v>1</v>
      </c>
      <c r="Q255" t="inlineStr">
        <is>
          <t>O</t>
        </is>
      </c>
    </row>
    <row r="256">
      <c r="A256" t="inlineStr">
        <is>
          <t>OXFORD</t>
        </is>
      </c>
      <c r="B256" t="inlineStr">
        <is>
          <t>SPRING</t>
        </is>
      </c>
      <c r="C256">
        <v>0.0</v>
      </c>
      <c r="E256" t="inlineStr">
        <is>
          <t>MARTIN LUTHER KING</t>
        </is>
      </c>
      <c r="F256" t="inlineStr">
        <is>
          <t>GRANVILLE</t>
        </is>
      </c>
      <c r="G256" t="inlineStr">
        <is>
          <t>SPRING</t>
        </is>
      </c>
      <c r="H256">
        <v>999.999</v>
      </c>
      <c r="J256" s="604" t="inlineStr">
        <is>
          <t>NIS</t>
        </is>
      </c>
      <c r="K256">
        <v>107119312</v>
      </c>
      <c r="L256" s="2">
        <v>44851</v>
      </c>
      <c r="M256">
        <v>21</v>
      </c>
      <c r="N256">
        <v>1</v>
      </c>
      <c r="O256">
        <v>0</v>
      </c>
      <c r="P256">
        <v>1</v>
      </c>
      <c r="Q256" t="inlineStr">
        <is>
          <t>O</t>
        </is>
      </c>
    </row>
    <row r="257">
      <c r="A257" t="inlineStr">
        <is>
          <t>OXFORD</t>
        </is>
      </c>
      <c r="B257" t="inlineStr">
        <is>
          <t>MARTIN LUTHER KING</t>
        </is>
      </c>
      <c r="C257">
        <v>0.0</v>
      </c>
      <c r="E257" t="inlineStr">
        <is>
          <t>SPRING</t>
        </is>
      </c>
      <c r="F257" t="inlineStr">
        <is>
          <t>MARTIN LUTHER KING</t>
        </is>
      </c>
      <c r="G257" t="inlineStr">
        <is>
          <t>NC 96</t>
        </is>
      </c>
      <c r="H257">
        <v>17.59</v>
      </c>
      <c r="J257" s="604" t="inlineStr">
        <is>
          <t>NIS</t>
        </is>
      </c>
      <c r="K257">
        <v>107136874</v>
      </c>
      <c r="L257" s="2">
        <v>44863</v>
      </c>
      <c r="M257">
        <v>22</v>
      </c>
      <c r="N257">
        <v>1</v>
      </c>
      <c r="O257">
        <v>0</v>
      </c>
      <c r="P257">
        <v>1</v>
      </c>
    </row>
    <row r="258">
      <c r="A258" t="inlineStr">
        <is>
          <t>OXFORD</t>
        </is>
      </c>
      <c r="B258" t="inlineStr">
        <is>
          <t>SR 1522</t>
        </is>
      </c>
      <c r="C258">
        <v>0.0</v>
      </c>
      <c r="D258" t="inlineStr">
        <is>
          <t>S</t>
        </is>
      </c>
      <c r="E258" t="inlineStr">
        <is>
          <t>US 158</t>
        </is>
      </c>
      <c r="F258" t="inlineStr">
        <is>
          <t>NC 96</t>
        </is>
      </c>
      <c r="G258" t="inlineStr">
        <is>
          <t>SR 1522</t>
        </is>
      </c>
      <c r="H258">
        <v>0.882</v>
      </c>
      <c r="J258" s="604" t="inlineStr">
        <is>
          <t>NIS</t>
        </is>
      </c>
      <c r="K258">
        <v>107148989</v>
      </c>
      <c r="L258" s="2">
        <v>44873</v>
      </c>
      <c r="M258">
        <v>28</v>
      </c>
      <c r="N258">
        <v>1</v>
      </c>
      <c r="O258">
        <v>7</v>
      </c>
      <c r="P258">
        <v>1</v>
      </c>
      <c r="Q258" t="inlineStr">
        <is>
          <t>O</t>
        </is>
      </c>
    </row>
    <row r="259">
      <c r="A259" t="inlineStr">
        <is>
          <t>CREEDMOOR</t>
        </is>
      </c>
      <c r="B259" t="inlineStr">
        <is>
          <t>MAIN</t>
        </is>
      </c>
      <c r="C259">
        <v>0.0</v>
      </c>
      <c r="E259" t="inlineStr">
        <is>
          <t>LION</t>
        </is>
      </c>
      <c r="F259" t="inlineStr">
        <is>
          <t>MAIN</t>
        </is>
      </c>
      <c r="G259" t="inlineStr">
        <is>
          <t>NC 50</t>
        </is>
      </c>
      <c r="H259">
        <v>2.937</v>
      </c>
      <c r="J259" s="604" t="inlineStr">
        <is>
          <t>NIS</t>
        </is>
      </c>
      <c r="K259">
        <v>107170707</v>
      </c>
      <c r="L259" s="2">
        <v>44876</v>
      </c>
      <c r="M259">
        <v>30</v>
      </c>
      <c r="N259">
        <v>1</v>
      </c>
      <c r="O259">
        <v>0</v>
      </c>
      <c r="P259">
        <v>1</v>
      </c>
      <c r="Q259" t="inlineStr">
        <is>
          <t>C</t>
        </is>
      </c>
    </row>
    <row r="260">
      <c r="A260" t="inlineStr">
        <is>
          <t>RURAL</t>
        </is>
      </c>
      <c r="B260" t="inlineStr">
        <is>
          <t>SR 1522</t>
        </is>
      </c>
      <c r="C260">
        <v>0.004</v>
      </c>
      <c r="D260" t="inlineStr">
        <is>
          <t>N</t>
        </is>
      </c>
      <c r="E260" t="inlineStr">
        <is>
          <t>US 158</t>
        </is>
      </c>
      <c r="F260" t="inlineStr">
        <is>
          <t>SR 1515</t>
        </is>
      </c>
      <c r="G260" t="inlineStr">
        <is>
          <t>SR 1522</t>
        </is>
      </c>
      <c r="H260">
        <v>0.886</v>
      </c>
      <c r="J260" s="604" t="inlineStr">
        <is>
          <t>NIS</t>
        </is>
      </c>
      <c r="K260">
        <v>107156144</v>
      </c>
      <c r="L260" s="2">
        <v>44882</v>
      </c>
      <c r="M260">
        <v>21</v>
      </c>
      <c r="N260">
        <v>1</v>
      </c>
      <c r="O260">
        <v>7</v>
      </c>
      <c r="P260">
        <v>1</v>
      </c>
      <c r="Q260" t="inlineStr">
        <is>
          <t>O</t>
        </is>
      </c>
    </row>
    <row r="261">
      <c r="A261" t="inlineStr">
        <is>
          <t>OXFORD</t>
        </is>
      </c>
      <c r="B261" t="inlineStr">
        <is>
          <t>LEWIS</t>
        </is>
      </c>
      <c r="C261">
        <v>0.0</v>
      </c>
      <c r="E261" t="inlineStr">
        <is>
          <t>SPRING</t>
        </is>
      </c>
      <c r="F261" t="inlineStr">
        <is>
          <t>HILLSBORO</t>
        </is>
      </c>
      <c r="G261" t="inlineStr">
        <is>
          <t>US 15</t>
        </is>
      </c>
      <c r="H261">
        <v>20.498</v>
      </c>
      <c r="J261" s="604" t="inlineStr">
        <is>
          <t>NIS</t>
        </is>
      </c>
      <c r="K261">
        <v>107155534</v>
      </c>
      <c r="L261" s="2">
        <v>44887</v>
      </c>
      <c r="M261">
        <v>30</v>
      </c>
      <c r="N261">
        <v>1</v>
      </c>
      <c r="O261">
        <v>0</v>
      </c>
      <c r="P261">
        <v>1</v>
      </c>
      <c r="Q261" t="inlineStr">
        <is>
          <t>O</t>
        </is>
      </c>
    </row>
    <row r="262">
      <c r="A262" t="inlineStr">
        <is>
          <t>OXFORD</t>
        </is>
      </c>
      <c r="B262" t="inlineStr">
        <is>
          <t>HILLSBORO</t>
        </is>
      </c>
      <c r="C262">
        <v>0.0</v>
      </c>
      <c r="E262" t="inlineStr">
        <is>
          <t>SPRING</t>
        </is>
      </c>
      <c r="F262" t="inlineStr">
        <is>
          <t>CHURCH</t>
        </is>
      </c>
      <c r="G262" t="inlineStr">
        <is>
          <t>SR 1004</t>
        </is>
      </c>
      <c r="H262">
        <v>17.824</v>
      </c>
      <c r="J262" s="604" t="inlineStr">
        <is>
          <t>NIS</t>
        </is>
      </c>
      <c r="K262">
        <v>107157374</v>
      </c>
      <c r="L262" s="2">
        <v>44888</v>
      </c>
      <c r="M262">
        <v>30</v>
      </c>
      <c r="N262">
        <v>1</v>
      </c>
      <c r="O262">
        <v>8</v>
      </c>
      <c r="P262">
        <v>1</v>
      </c>
      <c r="Q262" t="inlineStr">
        <is>
          <t>O</t>
        </is>
      </c>
    </row>
    <row r="263">
      <c r="A263" t="inlineStr">
        <is>
          <t>OXFORD</t>
        </is>
      </c>
      <c r="B263" t="inlineStr">
        <is>
          <t>WALL</t>
        </is>
      </c>
      <c r="C263">
        <v>0.0</v>
      </c>
      <c r="E263" t="inlineStr">
        <is>
          <t>SPRING</t>
        </is>
      </c>
      <c r="G263" t="inlineStr">
        <is>
          <t>SPRING</t>
        </is>
      </c>
      <c r="H263">
        <v>0.22</v>
      </c>
      <c r="J263" s="604" t="inlineStr">
        <is>
          <t>NIS</t>
        </is>
      </c>
      <c r="K263">
        <v>107164598</v>
      </c>
      <c r="L263" s="2">
        <v>44895</v>
      </c>
      <c r="M263">
        <v>31</v>
      </c>
      <c r="N263">
        <v>1</v>
      </c>
      <c r="O263">
        <v>0</v>
      </c>
      <c r="P263">
        <v>1</v>
      </c>
    </row>
    <row r="264">
      <c r="A264" t="inlineStr">
        <is>
          <t>RURAL</t>
        </is>
      </c>
      <c r="B264" t="inlineStr">
        <is>
          <t>US 158</t>
        </is>
      </c>
      <c r="C264">
        <v>0.0</v>
      </c>
      <c r="E264" t="inlineStr">
        <is>
          <t>SR 1602</t>
        </is>
      </c>
      <c r="F264" t="inlineStr">
        <is>
          <t>I 85</t>
        </is>
      </c>
      <c r="G264" t="inlineStr">
        <is>
          <t>US 158</t>
        </is>
      </c>
      <c r="H264">
        <v>999.999</v>
      </c>
      <c r="J264" s="604" t="inlineStr">
        <is>
          <t>NIS</t>
        </is>
      </c>
      <c r="K264">
        <v>107197910</v>
      </c>
      <c r="L264" s="2">
        <v>44924</v>
      </c>
      <c r="M264">
        <v>23</v>
      </c>
      <c r="N264">
        <v>1</v>
      </c>
      <c r="O264">
        <v>7</v>
      </c>
      <c r="P264">
        <v>5</v>
      </c>
      <c r="Q264" t="inlineStr">
        <is>
          <t>O</t>
        </is>
      </c>
      <c r="R264">
        <v>36.31332</v>
      </c>
      <c r="S264">
        <v>-78.55304</v>
      </c>
      <c r="T264" t="inlineStr">
        <is>
          <t>DMV349CLEANED</t>
        </is>
      </c>
      <c r="V264">
        <v>1.9225297088210442</v>
      </c>
    </row>
    <row r="265">
      <c r="A265" t="inlineStr">
        <is>
          <t>RURAL</t>
        </is>
      </c>
      <c r="B265" t="inlineStr">
        <is>
          <t>SR 1522</t>
        </is>
      </c>
      <c r="C265">
        <v>0.085</v>
      </c>
      <c r="D265" t="inlineStr">
        <is>
          <t>N</t>
        </is>
      </c>
      <c r="E265" t="inlineStr">
        <is>
          <t>SR 1525</t>
        </is>
      </c>
      <c r="F265" t="inlineStr">
        <is>
          <t>SR 1513</t>
        </is>
      </c>
      <c r="G265" t="inlineStr">
        <is>
          <t>SR 1522</t>
        </is>
      </c>
      <c r="H265">
        <v>2.569</v>
      </c>
      <c r="J265" s="604" t="inlineStr">
        <is>
          <t>NIS</t>
        </is>
      </c>
      <c r="K265">
        <v>107211217</v>
      </c>
      <c r="L265" s="2">
        <v>44929</v>
      </c>
      <c r="M265">
        <v>19</v>
      </c>
      <c r="N265">
        <v>1</v>
      </c>
      <c r="O265">
        <v>0</v>
      </c>
      <c r="P265">
        <v>1</v>
      </c>
      <c r="Q265" t="inlineStr">
        <is>
          <t>O</t>
        </is>
      </c>
    </row>
    <row r="266">
      <c r="A266" t="inlineStr">
        <is>
          <t>OXFORD</t>
        </is>
      </c>
      <c r="B266" t="inlineStr">
        <is>
          <t>SR 1521</t>
        </is>
      </c>
      <c r="C266">
        <v>0.0</v>
      </c>
      <c r="E266" t="inlineStr">
        <is>
          <t>SR 1522</t>
        </is>
      </c>
      <c r="F266" t="inlineStr">
        <is>
          <t>US 158</t>
        </is>
      </c>
      <c r="G266" t="inlineStr">
        <is>
          <t>SR 1521</t>
        </is>
      </c>
      <c r="H266">
        <v>3.289</v>
      </c>
      <c r="J266" s="604" t="inlineStr">
        <is>
          <t>NIS</t>
        </is>
      </c>
      <c r="K266">
        <v>107210034</v>
      </c>
      <c r="L266" s="2">
        <v>44936</v>
      </c>
      <c r="M266">
        <v>17</v>
      </c>
      <c r="N266">
        <v>1</v>
      </c>
      <c r="O266">
        <v>0</v>
      </c>
      <c r="P266">
        <v>5</v>
      </c>
      <c r="Q266" t="inlineStr">
        <is>
          <t>O</t>
        </is>
      </c>
    </row>
    <row r="267">
      <c r="A267" t="inlineStr">
        <is>
          <t>RURAL</t>
        </is>
      </c>
      <c r="B267" t="inlineStr">
        <is>
          <t>SR 1522</t>
        </is>
      </c>
      <c r="C267">
        <v>0.1</v>
      </c>
      <c r="D267" t="inlineStr">
        <is>
          <t>W</t>
        </is>
      </c>
      <c r="E267" t="inlineStr">
        <is>
          <t>SR 1533</t>
        </is>
      </c>
      <c r="F267" t="inlineStr">
        <is>
          <t>SR 1304</t>
        </is>
      </c>
      <c r="G267" t="inlineStr">
        <is>
          <t>SR 1522</t>
        </is>
      </c>
      <c r="H267">
        <v>4.006</v>
      </c>
      <c r="J267" s="604" t="inlineStr">
        <is>
          <t>NIS</t>
        </is>
      </c>
      <c r="K267">
        <v>107216920</v>
      </c>
      <c r="L267" s="2">
        <v>44943</v>
      </c>
      <c r="M267">
        <v>19</v>
      </c>
      <c r="N267">
        <v>3</v>
      </c>
      <c r="O267">
        <v>0</v>
      </c>
      <c r="P267">
        <v>5</v>
      </c>
      <c r="Q267" t="inlineStr">
        <is>
          <t>O</t>
        </is>
      </c>
    </row>
    <row r="268">
      <c r="A268" t="inlineStr">
        <is>
          <t>OXFORD</t>
        </is>
      </c>
      <c r="B268" t="inlineStr">
        <is>
          <t>SR 1522</t>
        </is>
      </c>
      <c r="C268">
        <v>0.0</v>
      </c>
      <c r="D268" t="inlineStr">
        <is>
          <t>S</t>
        </is>
      </c>
      <c r="E268" t="inlineStr">
        <is>
          <t>SR 1195</t>
        </is>
      </c>
      <c r="F268" t="inlineStr">
        <is>
          <t>US 158</t>
        </is>
      </c>
      <c r="G268" t="inlineStr">
        <is>
          <t>SR 1522</t>
        </is>
      </c>
      <c r="H268">
        <v>999.999</v>
      </c>
      <c r="J268" s="604" t="inlineStr">
        <is>
          <t>NIS</t>
        </is>
      </c>
      <c r="K268">
        <v>107219393</v>
      </c>
      <c r="L268" s="2">
        <v>44943</v>
      </c>
      <c r="M268">
        <v>21</v>
      </c>
      <c r="N268">
        <v>2</v>
      </c>
      <c r="O268">
        <v>7</v>
      </c>
      <c r="P268">
        <v>1</v>
      </c>
      <c r="Q268" t="inlineStr">
        <is>
          <t>C</t>
        </is>
      </c>
    </row>
    <row r="269">
      <c r="A269" t="inlineStr">
        <is>
          <t>RURAL</t>
        </is>
      </c>
      <c r="B269" t="inlineStr">
        <is>
          <t>US 158</t>
        </is>
      </c>
      <c r="C269">
        <v>0.0</v>
      </c>
      <c r="E269" t="inlineStr">
        <is>
          <t>SR 1602</t>
        </is>
      </c>
      <c r="F269" t="inlineStr">
        <is>
          <t>US 158BUS</t>
        </is>
      </c>
      <c r="G269" t="inlineStr">
        <is>
          <t>US 158</t>
        </is>
      </c>
      <c r="H269">
        <v>999.999</v>
      </c>
      <c r="J269" s="604" t="inlineStr">
        <is>
          <t>NIS</t>
        </is>
      </c>
      <c r="K269">
        <v>107219725</v>
      </c>
      <c r="L269" s="2">
        <v>44946</v>
      </c>
      <c r="M269">
        <v>30</v>
      </c>
      <c r="N269">
        <v>1</v>
      </c>
      <c r="O269">
        <v>7</v>
      </c>
      <c r="P269">
        <v>1</v>
      </c>
      <c r="Q269" t="inlineStr">
        <is>
          <t>O</t>
        </is>
      </c>
      <c r="R269">
        <v>36.31287</v>
      </c>
      <c r="S269">
        <v>-78.55065</v>
      </c>
      <c r="T269" t="inlineStr">
        <is>
          <t>DMV349CLEANED</t>
        </is>
      </c>
      <c r="V269">
        <v>2.051516268329768</v>
      </c>
    </row>
    <row r="270">
      <c r="A270" t="inlineStr">
        <is>
          <t>OXFORD</t>
        </is>
      </c>
      <c r="B270" t="inlineStr">
        <is>
          <t>MAIN</t>
        </is>
      </c>
      <c r="C270">
        <v>0.0</v>
      </c>
      <c r="E270" t="inlineStr">
        <is>
          <t>COURT</t>
        </is>
      </c>
      <c r="F270" t="inlineStr">
        <is>
          <t>WILLIAMSBORO</t>
        </is>
      </c>
      <c r="G270" t="inlineStr">
        <is>
          <t>SR 1602</t>
        </is>
      </c>
      <c r="H270">
        <v>1.477</v>
      </c>
      <c r="J270" s="604" t="inlineStr">
        <is>
          <t>NIS</t>
        </is>
      </c>
      <c r="K270">
        <v>107223842</v>
      </c>
      <c r="L270" s="2">
        <v>44951</v>
      </c>
      <c r="M270">
        <v>31</v>
      </c>
      <c r="N270">
        <v>2</v>
      </c>
      <c r="O270">
        <v>0</v>
      </c>
      <c r="P270">
        <v>1</v>
      </c>
      <c r="Q270" t="inlineStr">
        <is>
          <t>O</t>
        </is>
      </c>
    </row>
    <row r="271">
      <c r="A271" t="inlineStr">
        <is>
          <t>CREEDMOOR</t>
        </is>
      </c>
      <c r="B271" t="inlineStr">
        <is>
          <t>NC 56</t>
        </is>
      </c>
      <c r="C271">
        <v>0.0</v>
      </c>
      <c r="E271" t="inlineStr">
        <is>
          <t>MAIN</t>
        </is>
      </c>
      <c r="F271" t="inlineStr">
        <is>
          <t>*LCL CRESENT HEIGHTS DRIVE</t>
        </is>
      </c>
      <c r="G271" t="inlineStr">
        <is>
          <t>NC 50</t>
        </is>
      </c>
      <c r="H271">
        <v>3.284</v>
      </c>
      <c r="J271" s="604" t="inlineStr">
        <is>
          <t>NIS</t>
        </is>
      </c>
      <c r="K271">
        <v>107265352</v>
      </c>
      <c r="L271" s="2">
        <v>44979</v>
      </c>
      <c r="M271">
        <v>21</v>
      </c>
      <c r="N271">
        <v>1</v>
      </c>
      <c r="O271">
        <v>0</v>
      </c>
      <c r="P271">
        <v>1</v>
      </c>
      <c r="Q271" t="inlineStr">
        <is>
          <t>O</t>
        </is>
      </c>
    </row>
    <row r="272">
      <c r="A272" t="inlineStr">
        <is>
          <t>CREEDMOOR</t>
        </is>
      </c>
      <c r="B272" t="inlineStr">
        <is>
          <t>PVA MAIN STREET</t>
        </is>
      </c>
      <c r="C272">
        <v>0.0</v>
      </c>
      <c r="E272" t="inlineStr">
        <is>
          <t>MAIN</t>
        </is>
      </c>
      <c r="F272" t="inlineStr">
        <is>
          <t>LION</t>
        </is>
      </c>
      <c r="G272" t="inlineStr">
        <is>
          <t>SR 1127</t>
        </is>
      </c>
      <c r="H272">
        <v>5.073</v>
      </c>
      <c r="J272" s="604" t="inlineStr">
        <is>
          <t>NIS</t>
        </is>
      </c>
      <c r="K272">
        <v>107265353</v>
      </c>
      <c r="L272" s="2">
        <v>44984</v>
      </c>
      <c r="M272">
        <v>30</v>
      </c>
      <c r="N272">
        <v>1</v>
      </c>
      <c r="O272">
        <v>0</v>
      </c>
      <c r="P272">
        <v>1</v>
      </c>
      <c r="Q272" t="inlineStr">
        <is>
          <t>O</t>
        </is>
      </c>
    </row>
    <row r="273">
      <c r="A273" t="inlineStr">
        <is>
          <t>OXFORD</t>
        </is>
      </c>
      <c r="B273" t="inlineStr">
        <is>
          <t>PVA HICKS GYM</t>
        </is>
      </c>
      <c r="C273">
        <v>0.0</v>
      </c>
      <c r="E273" t="inlineStr">
        <is>
          <t>SPRING</t>
        </is>
      </c>
      <c r="F273" t="inlineStr">
        <is>
          <t>COOPER</t>
        </is>
      </c>
      <c r="H273">
        <v>999.999</v>
      </c>
      <c r="J273" s="604" t="inlineStr">
        <is>
          <t>NIS</t>
        </is>
      </c>
      <c r="K273">
        <v>107268202</v>
      </c>
      <c r="L273" s="2">
        <v>44997</v>
      </c>
      <c r="M273">
        <v>32</v>
      </c>
      <c r="N273">
        <v>1</v>
      </c>
      <c r="O273">
        <v>0</v>
      </c>
      <c r="P273">
        <v>1</v>
      </c>
      <c r="Q273" t="inlineStr">
        <is>
          <t>O</t>
        </is>
      </c>
    </row>
    <row r="274">
      <c r="A274" t="inlineStr">
        <is>
          <t>RURAL</t>
        </is>
      </c>
      <c r="B274" t="inlineStr">
        <is>
          <t>US 158</t>
        </is>
      </c>
      <c r="C274">
        <v>0.0</v>
      </c>
      <c r="E274" t="inlineStr">
        <is>
          <t>SR 1522</t>
        </is>
      </c>
      <c r="F274" t="inlineStr">
        <is>
          <t>SR 1515</t>
        </is>
      </c>
      <c r="G274" t="inlineStr">
        <is>
          <t>US 158</t>
        </is>
      </c>
      <c r="H274">
        <v>14.055</v>
      </c>
      <c r="J274" s="604" t="inlineStr">
        <is>
          <t>NIS</t>
        </is>
      </c>
      <c r="K274">
        <v>107279987</v>
      </c>
      <c r="L274" s="2">
        <v>45007</v>
      </c>
      <c r="M274">
        <v>23</v>
      </c>
      <c r="N274">
        <v>1</v>
      </c>
      <c r="O274">
        <v>7</v>
      </c>
      <c r="P274">
        <v>1</v>
      </c>
      <c r="Q274" t="inlineStr">
        <is>
          <t>O</t>
        </is>
      </c>
    </row>
    <row r="275">
      <c r="A275" t="inlineStr">
        <is>
          <t>RURAL</t>
        </is>
      </c>
      <c r="B275" t="inlineStr">
        <is>
          <t>US 158</t>
        </is>
      </c>
      <c r="C275">
        <v>0.0</v>
      </c>
      <c r="E275" t="inlineStr">
        <is>
          <t>SR 1522</t>
        </is>
      </c>
      <c r="F275" t="inlineStr">
        <is>
          <t>SR 1515</t>
        </is>
      </c>
      <c r="G275" t="inlineStr">
        <is>
          <t>US 158</t>
        </is>
      </c>
      <c r="H275">
        <v>14.055</v>
      </c>
      <c r="J275" s="604" t="inlineStr">
        <is>
          <t>NIS</t>
        </is>
      </c>
      <c r="K275">
        <v>107286901</v>
      </c>
      <c r="L275" s="2">
        <v>45013</v>
      </c>
      <c r="M275">
        <v>30</v>
      </c>
      <c r="N275">
        <v>1</v>
      </c>
      <c r="O275">
        <v>7</v>
      </c>
      <c r="P275">
        <v>1</v>
      </c>
      <c r="Q275" t="inlineStr">
        <is>
          <t>B</t>
        </is>
      </c>
    </row>
    <row r="276">
      <c r="A276" t="inlineStr">
        <is>
          <t>RURAL</t>
        </is>
      </c>
      <c r="B276" t="inlineStr">
        <is>
          <t>US 158</t>
        </is>
      </c>
      <c r="C276">
        <v>0.0</v>
      </c>
      <c r="E276" t="inlineStr">
        <is>
          <t>SR 1522</t>
        </is>
      </c>
      <c r="G276" t="inlineStr">
        <is>
          <t>US 158</t>
        </is>
      </c>
      <c r="H276">
        <v>14.055</v>
      </c>
      <c r="J276" s="604" t="inlineStr">
        <is>
          <t>NIS</t>
        </is>
      </c>
      <c r="K276">
        <v>107321539</v>
      </c>
      <c r="L276" s="2">
        <v>45037</v>
      </c>
      <c r="M276">
        <v>23</v>
      </c>
      <c r="N276">
        <v>1</v>
      </c>
      <c r="O276">
        <v>7</v>
      </c>
      <c r="P276">
        <v>1</v>
      </c>
      <c r="Q276" t="inlineStr">
        <is>
          <t>O</t>
        </is>
      </c>
    </row>
    <row r="277">
      <c r="A277" t="inlineStr">
        <is>
          <t>OXFORD</t>
        </is>
      </c>
      <c r="B277" t="inlineStr">
        <is>
          <t>SPRING</t>
        </is>
      </c>
      <c r="C277">
        <v>0.0</v>
      </c>
      <c r="E277" t="inlineStr">
        <is>
          <t>LEWIS</t>
        </is>
      </c>
      <c r="F277" t="inlineStr">
        <is>
          <t>MAPLE</t>
        </is>
      </c>
      <c r="G277" t="inlineStr">
        <is>
          <t>SPRING</t>
        </is>
      </c>
      <c r="H277">
        <v>999.999</v>
      </c>
      <c r="J277" s="604" t="inlineStr">
        <is>
          <t>NIS</t>
        </is>
      </c>
      <c r="K277">
        <v>107358288</v>
      </c>
      <c r="L277" s="2">
        <v>45070</v>
      </c>
      <c r="M277">
        <v>32</v>
      </c>
      <c r="N277">
        <v>1</v>
      </c>
      <c r="O277">
        <v>0</v>
      </c>
      <c r="P277">
        <v>1</v>
      </c>
      <c r="Q277" t="inlineStr">
        <is>
          <t>C</t>
        </is>
      </c>
    </row>
    <row r="278">
      <c r="A278" t="inlineStr">
        <is>
          <t>OXFORD</t>
        </is>
      </c>
      <c r="B278" t="inlineStr">
        <is>
          <t>PVA COURT ST</t>
        </is>
      </c>
      <c r="C278">
        <v>0.0</v>
      </c>
      <c r="E278" t="inlineStr">
        <is>
          <t>MAIN</t>
        </is>
      </c>
      <c r="F278" t="inlineStr">
        <is>
          <t>MAIN</t>
        </is>
      </c>
      <c r="G278" t="inlineStr">
        <is>
          <t>SR 1602</t>
        </is>
      </c>
      <c r="H278">
        <v>1.477</v>
      </c>
      <c r="J278" s="604" t="inlineStr">
        <is>
          <t>NIS</t>
        </is>
      </c>
      <c r="K278">
        <v>107358296</v>
      </c>
      <c r="L278" s="2">
        <v>45071</v>
      </c>
      <c r="M278">
        <v>20</v>
      </c>
      <c r="N278">
        <v>1</v>
      </c>
      <c r="O278">
        <v>0</v>
      </c>
      <c r="P278">
        <v>1</v>
      </c>
    </row>
    <row r="279">
      <c r="A279" t="inlineStr">
        <is>
          <t>RURAL</t>
        </is>
      </c>
      <c r="B279" t="inlineStr">
        <is>
          <t>US 158</t>
        </is>
      </c>
      <c r="C279">
        <v>0.0</v>
      </c>
      <c r="E279" t="inlineStr">
        <is>
          <t>SR 1522</t>
        </is>
      </c>
      <c r="G279" t="inlineStr">
        <is>
          <t>US 158</t>
        </is>
      </c>
      <c r="H279">
        <v>14.055</v>
      </c>
      <c r="J279" s="604" t="inlineStr">
        <is>
          <t>NIS</t>
        </is>
      </c>
      <c r="K279">
        <v>107364884</v>
      </c>
      <c r="L279" s="2">
        <v>45084</v>
      </c>
      <c r="M279">
        <v>26</v>
      </c>
      <c r="N279">
        <v>2</v>
      </c>
      <c r="O279">
        <v>7</v>
      </c>
      <c r="P279">
        <v>1</v>
      </c>
      <c r="Q279" t="inlineStr">
        <is>
          <t>O</t>
        </is>
      </c>
    </row>
    <row r="280">
      <c r="A280" t="inlineStr">
        <is>
          <t>OXFORD</t>
        </is>
      </c>
      <c r="B280" t="inlineStr">
        <is>
          <t>MAIN</t>
        </is>
      </c>
      <c r="C280">
        <v>0.0</v>
      </c>
      <c r="E280" t="inlineStr">
        <is>
          <t>COURT</t>
        </is>
      </c>
      <c r="F280" t="inlineStr">
        <is>
          <t>WILLIAMSBORO</t>
        </is>
      </c>
      <c r="G280" t="inlineStr">
        <is>
          <t>SR 1602</t>
        </is>
      </c>
      <c r="H280">
        <v>1.477</v>
      </c>
      <c r="J280" s="604" t="inlineStr">
        <is>
          <t>NIS</t>
        </is>
      </c>
      <c r="K280">
        <v>107361796</v>
      </c>
      <c r="L280" s="2">
        <v>45087</v>
      </c>
      <c r="M280">
        <v>21</v>
      </c>
      <c r="N280">
        <v>1</v>
      </c>
      <c r="O280">
        <v>0</v>
      </c>
      <c r="P280">
        <v>1</v>
      </c>
    </row>
    <row r="281">
      <c r="A281" t="inlineStr">
        <is>
          <t>RURAL</t>
        </is>
      </c>
      <c r="B281" t="inlineStr">
        <is>
          <t>US 158</t>
        </is>
      </c>
      <c r="C281">
        <v>0.0</v>
      </c>
      <c r="E281" t="inlineStr">
        <is>
          <t>SR 1602</t>
        </is>
      </c>
      <c r="F281" t="inlineStr">
        <is>
          <t>I 85</t>
        </is>
      </c>
      <c r="G281" t="inlineStr">
        <is>
          <t>US 158</t>
        </is>
      </c>
      <c r="H281">
        <v>999.999</v>
      </c>
      <c r="J281" s="604" t="inlineStr">
        <is>
          <t>NIS</t>
        </is>
      </c>
      <c r="K281">
        <v>107375014</v>
      </c>
      <c r="L281" s="2">
        <v>45096</v>
      </c>
      <c r="M281">
        <v>23</v>
      </c>
      <c r="N281">
        <v>2</v>
      </c>
      <c r="O281">
        <v>7</v>
      </c>
      <c r="P281">
        <v>1</v>
      </c>
      <c r="Q281" t="inlineStr">
        <is>
          <t>O</t>
        </is>
      </c>
      <c r="R281">
        <v>36.31334</v>
      </c>
      <c r="S281">
        <v>-78.55296</v>
      </c>
      <c r="T281" t="inlineStr">
        <is>
          <t>DMV349CLEANED</t>
        </is>
      </c>
      <c r="V281">
        <v>1.9271159683546826</v>
      </c>
    </row>
    <row r="282">
      <c r="A282" t="inlineStr">
        <is>
          <t>RURAL</t>
        </is>
      </c>
      <c r="B282" t="inlineStr">
        <is>
          <t>SR 1522</t>
        </is>
      </c>
      <c r="C282">
        <v>0.5</v>
      </c>
      <c r="D282" t="inlineStr">
        <is>
          <t>S</t>
        </is>
      </c>
      <c r="E282" t="inlineStr">
        <is>
          <t>SR 1525</t>
        </is>
      </c>
      <c r="F282" t="inlineStr">
        <is>
          <t>SR 1515</t>
        </is>
      </c>
      <c r="G282" t="inlineStr">
        <is>
          <t>SR 1522</t>
        </is>
      </c>
      <c r="H282">
        <v>1.984</v>
      </c>
      <c r="J282" s="604" t="inlineStr">
        <is>
          <t>NIS</t>
        </is>
      </c>
      <c r="K282">
        <v>107434441</v>
      </c>
      <c r="L282" s="2">
        <v>45146</v>
      </c>
      <c r="M282">
        <v>24</v>
      </c>
      <c r="N282">
        <v>1</v>
      </c>
      <c r="O282">
        <v>8</v>
      </c>
      <c r="P282">
        <v>1</v>
      </c>
      <c r="Q282" t="inlineStr">
        <is>
          <t>C</t>
        </is>
      </c>
    </row>
    <row r="283">
      <c r="A283" t="inlineStr">
        <is>
          <t>RURAL</t>
        </is>
      </c>
      <c r="B283" t="inlineStr">
        <is>
          <t>US 158</t>
        </is>
      </c>
      <c r="C283">
        <v>0.026</v>
      </c>
      <c r="D283" t="inlineStr">
        <is>
          <t>E</t>
        </is>
      </c>
      <c r="E283" t="inlineStr">
        <is>
          <t>SR 1602</t>
        </is>
      </c>
      <c r="F283" t="inlineStr">
        <is>
          <t>SR 1521</t>
        </is>
      </c>
      <c r="G283" t="inlineStr">
        <is>
          <t>US 158</t>
        </is>
      </c>
      <c r="H283">
        <v>999.999</v>
      </c>
      <c r="J283" s="604" t="inlineStr">
        <is>
          <t>NIS</t>
        </is>
      </c>
      <c r="K283">
        <v>107445952</v>
      </c>
      <c r="L283" s="2">
        <v>45170</v>
      </c>
      <c r="M283">
        <v>28</v>
      </c>
      <c r="N283">
        <v>1</v>
      </c>
      <c r="O283">
        <v>0</v>
      </c>
      <c r="P283">
        <v>1</v>
      </c>
      <c r="Q283" t="inlineStr">
        <is>
          <t>O</t>
        </is>
      </c>
      <c r="R283">
        <v>36.31347</v>
      </c>
      <c r="S283">
        <v>-78.55239</v>
      </c>
      <c r="T283" t="inlineStr">
        <is>
          <t>DMV349CLEANED</t>
        </is>
      </c>
      <c r="V283">
        <v>1.959698683234712</v>
      </c>
    </row>
    <row r="284">
      <c r="A284" t="inlineStr">
        <is>
          <t>OXFORD</t>
        </is>
      </c>
      <c r="B284" t="inlineStr">
        <is>
          <t>MARTIN LUTHER KING</t>
        </is>
      </c>
      <c r="C284">
        <v>0.0</v>
      </c>
      <c r="E284" t="inlineStr">
        <is>
          <t>SPRING</t>
        </is>
      </c>
      <c r="F284" t="inlineStr">
        <is>
          <t>HILLSBORO</t>
        </is>
      </c>
      <c r="G284" t="inlineStr">
        <is>
          <t>NC 96</t>
        </is>
      </c>
      <c r="H284">
        <v>17.59</v>
      </c>
      <c r="J284" s="604" t="inlineStr">
        <is>
          <t>NIS</t>
        </is>
      </c>
      <c r="K284">
        <v>107580773</v>
      </c>
      <c r="L284" s="2">
        <v>45195</v>
      </c>
      <c r="M284">
        <v>21</v>
      </c>
      <c r="N284">
        <v>1</v>
      </c>
      <c r="O284">
        <v>0</v>
      </c>
      <c r="P284">
        <v>1</v>
      </c>
      <c r="Q284" t="inlineStr">
        <is>
          <t>O</t>
        </is>
      </c>
    </row>
    <row r="285">
      <c r="A285" t="inlineStr">
        <is>
          <t>OXFORD</t>
        </is>
      </c>
      <c r="B285" t="inlineStr">
        <is>
          <t>LEWIS</t>
        </is>
      </c>
      <c r="C285">
        <v>0.0</v>
      </c>
      <c r="E285" t="inlineStr">
        <is>
          <t>SPRING</t>
        </is>
      </c>
      <c r="F285" t="inlineStr">
        <is>
          <t>SPRING</t>
        </is>
      </c>
      <c r="G285" t="inlineStr">
        <is>
          <t>US 15</t>
        </is>
      </c>
      <c r="H285">
        <v>20.498</v>
      </c>
      <c r="J285" s="604" t="inlineStr">
        <is>
          <t>NIS</t>
        </is>
      </c>
      <c r="K285">
        <v>107528341</v>
      </c>
      <c r="L285" s="2">
        <v>45237</v>
      </c>
      <c r="M285">
        <v>24</v>
      </c>
      <c r="N285">
        <v>1</v>
      </c>
      <c r="O285">
        <v>7</v>
      </c>
      <c r="P285">
        <v>1</v>
      </c>
      <c r="Q285" t="inlineStr">
        <is>
          <t>O</t>
        </is>
      </c>
    </row>
    <row r="286">
      <c r="A286" t="inlineStr">
        <is>
          <t>RURAL</t>
        </is>
      </c>
      <c r="B286" t="inlineStr">
        <is>
          <t>US 158</t>
        </is>
      </c>
      <c r="C286">
        <v>0.0</v>
      </c>
      <c r="E286" t="inlineStr">
        <is>
          <t>SR 1522</t>
        </is>
      </c>
      <c r="F286" t="inlineStr">
        <is>
          <t>SR 1515</t>
        </is>
      </c>
      <c r="G286" t="inlineStr">
        <is>
          <t>US 158</t>
        </is>
      </c>
      <c r="H286">
        <v>14.055</v>
      </c>
      <c r="J286" s="604" t="inlineStr">
        <is>
          <t>NIS</t>
        </is>
      </c>
      <c r="K286">
        <v>107522308</v>
      </c>
      <c r="L286" s="2">
        <v>45239</v>
      </c>
      <c r="M286">
        <v>30</v>
      </c>
      <c r="N286">
        <v>1</v>
      </c>
      <c r="O286">
        <v>7</v>
      </c>
      <c r="P286">
        <v>5</v>
      </c>
      <c r="Q286" t="inlineStr">
        <is>
          <t>B</t>
        </is>
      </c>
    </row>
    <row r="287">
      <c r="A287" t="inlineStr">
        <is>
          <t>OXFORD</t>
        </is>
      </c>
      <c r="B287" t="inlineStr">
        <is>
          <t>LEWIS</t>
        </is>
      </c>
      <c r="C287">
        <v>0.0</v>
      </c>
      <c r="E287" t="inlineStr">
        <is>
          <t>SPRING</t>
        </is>
      </c>
      <c r="F287" t="inlineStr">
        <is>
          <t>LEWIS</t>
        </is>
      </c>
      <c r="G287" t="inlineStr">
        <is>
          <t>US 15</t>
        </is>
      </c>
      <c r="H287">
        <v>20.498</v>
      </c>
      <c r="J287" s="604" t="inlineStr">
        <is>
          <t>NIS</t>
        </is>
      </c>
      <c r="K287">
        <v>107537539</v>
      </c>
      <c r="L287" s="2">
        <v>45248</v>
      </c>
      <c r="M287">
        <v>27</v>
      </c>
      <c r="N287">
        <v>1</v>
      </c>
      <c r="O287">
        <v>0</v>
      </c>
      <c r="P287">
        <v>4</v>
      </c>
      <c r="Q287" t="inlineStr">
        <is>
          <t>C</t>
        </is>
      </c>
    </row>
    <row r="288">
      <c r="A288" t="inlineStr">
        <is>
          <t>RURAL</t>
        </is>
      </c>
      <c r="B288" t="inlineStr">
        <is>
          <t>SR 1522</t>
        </is>
      </c>
      <c r="C288">
        <v>0.5</v>
      </c>
      <c r="D288" t="inlineStr">
        <is>
          <t>E</t>
        </is>
      </c>
      <c r="E288" t="inlineStr">
        <is>
          <t>SR 1533</t>
        </is>
      </c>
      <c r="F288" t="inlineStr">
        <is>
          <t>CL-VANCE</t>
        </is>
      </c>
      <c r="G288" t="inlineStr">
        <is>
          <t>SR 1522</t>
        </is>
      </c>
      <c r="H288">
        <v>4.606</v>
      </c>
      <c r="J288" s="604" t="inlineStr">
        <is>
          <t>NIS</t>
        </is>
      </c>
      <c r="K288">
        <v>107534530</v>
      </c>
      <c r="L288" s="2">
        <v>45249</v>
      </c>
      <c r="M288">
        <v>19</v>
      </c>
      <c r="N288">
        <v>1</v>
      </c>
      <c r="O288">
        <v>0</v>
      </c>
      <c r="P288">
        <v>1</v>
      </c>
      <c r="Q288" t="inlineStr">
        <is>
          <t>O</t>
        </is>
      </c>
    </row>
    <row r="289">
      <c r="A289" t="inlineStr">
        <is>
          <t>RURAL</t>
        </is>
      </c>
      <c r="B289" t="inlineStr">
        <is>
          <t>SR 1522</t>
        </is>
      </c>
      <c r="C289">
        <v>0.2</v>
      </c>
      <c r="D289" t="inlineStr">
        <is>
          <t>S</t>
        </is>
      </c>
      <c r="E289" t="inlineStr">
        <is>
          <t>SR 1515</t>
        </is>
      </c>
      <c r="F289" t="inlineStr">
        <is>
          <t>US 158</t>
        </is>
      </c>
      <c r="G289" t="inlineStr">
        <is>
          <t>SR 1522</t>
        </is>
      </c>
      <c r="H289">
        <v>1.008</v>
      </c>
      <c r="J289" s="604" t="inlineStr">
        <is>
          <t>NIS</t>
        </is>
      </c>
      <c r="K289">
        <v>107555740</v>
      </c>
      <c r="L289" s="2">
        <v>45258</v>
      </c>
      <c r="M289">
        <v>21</v>
      </c>
      <c r="N289">
        <v>1</v>
      </c>
      <c r="O289">
        <v>0</v>
      </c>
      <c r="P289">
        <v>1</v>
      </c>
      <c r="Q289" t="inlineStr">
        <is>
          <t>O</t>
        </is>
      </c>
    </row>
    <row r="290">
      <c r="A290" t="inlineStr">
        <is>
          <t>OXFORD</t>
        </is>
      </c>
      <c r="B290" t="inlineStr">
        <is>
          <t>SPRING</t>
        </is>
      </c>
      <c r="C290">
        <v>0.0</v>
      </c>
      <c r="E290" t="inlineStr">
        <is>
          <t>GRANVILLE</t>
        </is>
      </c>
      <c r="F290" t="inlineStr">
        <is>
          <t>ORANGE</t>
        </is>
      </c>
      <c r="G290" t="inlineStr">
        <is>
          <t>SPRING</t>
        </is>
      </c>
      <c r="H290">
        <v>0.09</v>
      </c>
      <c r="J290" s="604" t="inlineStr">
        <is>
          <t>NIS</t>
        </is>
      </c>
      <c r="K290">
        <v>107575368</v>
      </c>
      <c r="L290" s="2">
        <v>45265</v>
      </c>
      <c r="M290">
        <v>32</v>
      </c>
      <c r="N290">
        <v>1</v>
      </c>
      <c r="O290">
        <v>0</v>
      </c>
      <c r="P290">
        <v>2</v>
      </c>
      <c r="Q290" t="inlineStr">
        <is>
          <t>C</t>
        </is>
      </c>
    </row>
    <row r="291">
      <c r="A291" t="inlineStr">
        <is>
          <t>RURAL</t>
        </is>
      </c>
      <c r="B291" t="inlineStr">
        <is>
          <t>US 158</t>
        </is>
      </c>
      <c r="C291">
        <v>0.0</v>
      </c>
      <c r="E291" t="inlineStr">
        <is>
          <t>SR 1602</t>
        </is>
      </c>
      <c r="F291" t="inlineStr">
        <is>
          <t>SR 1521</t>
        </is>
      </c>
      <c r="G291" t="inlineStr">
        <is>
          <t>US 158</t>
        </is>
      </c>
      <c r="H291">
        <v>999.999</v>
      </c>
      <c r="J291" s="604" t="inlineStr">
        <is>
          <t>NIS</t>
        </is>
      </c>
      <c r="K291">
        <v>107573677</v>
      </c>
      <c r="L291" s="2">
        <v>45276</v>
      </c>
      <c r="M291">
        <v>30</v>
      </c>
      <c r="N291">
        <v>1</v>
      </c>
      <c r="O291">
        <v>7</v>
      </c>
      <c r="P291">
        <v>1</v>
      </c>
      <c r="Q291" t="inlineStr">
        <is>
          <t>B</t>
        </is>
      </c>
      <c r="R291">
        <v>36.31333</v>
      </c>
      <c r="S291">
        <v>-78.55307</v>
      </c>
      <c r="T291" t="inlineStr">
        <is>
          <t>DMV349CLEANED</t>
        </is>
      </c>
      <c r="V291">
        <v>1.9209530182706198</v>
      </c>
    </row>
    <row r="292">
      <c r="A292" t="inlineStr">
        <is>
          <t>CREEDMOOR</t>
        </is>
      </c>
      <c r="B292" t="inlineStr">
        <is>
          <t>MAIN</t>
        </is>
      </c>
      <c r="C292">
        <v>0.01</v>
      </c>
      <c r="D292" t="inlineStr">
        <is>
          <t>N</t>
        </is>
      </c>
      <c r="E292" t="inlineStr">
        <is>
          <t>MAIN</t>
        </is>
      </c>
      <c r="F292" t="inlineStr">
        <is>
          <t>MOSS</t>
        </is>
      </c>
      <c r="G292" t="inlineStr">
        <is>
          <t>SR 1127</t>
        </is>
      </c>
      <c r="H292">
        <v>5.083</v>
      </c>
      <c r="J292" s="604" t="inlineStr">
        <is>
          <t>NIS</t>
        </is>
      </c>
      <c r="K292">
        <v>107809369</v>
      </c>
      <c r="L292" s="2">
        <v>45300</v>
      </c>
      <c r="M292">
        <v>21</v>
      </c>
      <c r="N292">
        <v>2</v>
      </c>
      <c r="P292">
        <v>1</v>
      </c>
      <c r="Q292" t="inlineStr">
        <is>
          <t>O</t>
        </is>
      </c>
    </row>
    <row r="293">
      <c r="A293" t="inlineStr">
        <is>
          <t>OXFORD</t>
        </is>
      </c>
      <c r="B293" t="inlineStr">
        <is>
          <t>HILLSBORO</t>
        </is>
      </c>
      <c r="C293">
        <v>0.0</v>
      </c>
      <c r="E293" t="inlineStr">
        <is>
          <t>SPRING</t>
        </is>
      </c>
      <c r="F293" t="inlineStr">
        <is>
          <t>CHURCH</t>
        </is>
      </c>
      <c r="G293" t="inlineStr">
        <is>
          <t>SR 1004</t>
        </is>
      </c>
      <c r="H293">
        <v>17.824</v>
      </c>
      <c r="J293" s="604" t="inlineStr">
        <is>
          <t>NIS</t>
        </is>
      </c>
      <c r="K293">
        <v>107611249</v>
      </c>
      <c r="L293" s="2">
        <v>45317</v>
      </c>
      <c r="M293">
        <v>21</v>
      </c>
      <c r="N293">
        <v>2</v>
      </c>
      <c r="O293">
        <v>0</v>
      </c>
      <c r="P293">
        <v>4</v>
      </c>
      <c r="Q293" t="inlineStr">
        <is>
          <t>O</t>
        </is>
      </c>
    </row>
    <row r="294">
      <c r="A294" t="inlineStr">
        <is>
          <t>RURAL</t>
        </is>
      </c>
      <c r="B294" t="inlineStr">
        <is>
          <t>SR 1522</t>
        </is>
      </c>
      <c r="C294">
        <v>0.0</v>
      </c>
      <c r="E294" t="inlineStr">
        <is>
          <t>SR 1195</t>
        </is>
      </c>
      <c r="F294" t="inlineStr">
        <is>
          <t>US 15</t>
        </is>
      </c>
      <c r="G294" t="inlineStr">
        <is>
          <t>SR 1522</t>
        </is>
      </c>
      <c r="H294">
        <v>999.999</v>
      </c>
      <c r="J294" s="604" t="inlineStr">
        <is>
          <t>NIS</t>
        </is>
      </c>
      <c r="K294">
        <v>107609658</v>
      </c>
      <c r="L294" s="2">
        <v>45321</v>
      </c>
      <c r="M294">
        <v>21</v>
      </c>
      <c r="N294">
        <v>1</v>
      </c>
      <c r="O294">
        <v>7</v>
      </c>
      <c r="P294">
        <v>1</v>
      </c>
      <c r="Q294" t="inlineStr">
        <is>
          <t>C</t>
        </is>
      </c>
    </row>
    <row r="295">
      <c r="A295" t="inlineStr">
        <is>
          <t>RURAL</t>
        </is>
      </c>
      <c r="B295" t="inlineStr">
        <is>
          <t>US 158</t>
        </is>
      </c>
      <c r="C295">
        <v>0.0</v>
      </c>
      <c r="E295" t="inlineStr">
        <is>
          <t>SR 1522</t>
        </is>
      </c>
      <c r="F295" t="inlineStr">
        <is>
          <t>SR 1515</t>
        </is>
      </c>
      <c r="G295" t="inlineStr">
        <is>
          <t>US 158</t>
        </is>
      </c>
      <c r="H295">
        <v>14.055</v>
      </c>
      <c r="J295" s="604" t="inlineStr">
        <is>
          <t>NIS</t>
        </is>
      </c>
      <c r="K295">
        <v>107636167</v>
      </c>
      <c r="L295" s="2">
        <v>45347</v>
      </c>
      <c r="M295">
        <v>28</v>
      </c>
      <c r="N295">
        <v>1</v>
      </c>
      <c r="O295">
        <v>7</v>
      </c>
      <c r="P295">
        <v>1</v>
      </c>
      <c r="Q295" t="inlineStr">
        <is>
          <t>O</t>
        </is>
      </c>
    </row>
    <row r="296">
      <c r="A296" t="inlineStr">
        <is>
          <t>RURAL</t>
        </is>
      </c>
      <c r="B296" t="inlineStr">
        <is>
          <t>SR 1602</t>
        </is>
      </c>
      <c r="C296">
        <v>1.0</v>
      </c>
      <c r="D296" t="inlineStr">
        <is>
          <t>S</t>
        </is>
      </c>
      <c r="E296" t="inlineStr">
        <is>
          <t>SR 1613</t>
        </is>
      </c>
      <c r="F296" t="inlineStr">
        <is>
          <t>SR 1617</t>
        </is>
      </c>
      <c r="G296" t="inlineStr">
        <is>
          <t>SR 1602</t>
        </is>
      </c>
      <c r="H296">
        <v>999.999</v>
      </c>
      <c r="J296" s="604" t="inlineStr">
        <is>
          <t>NIS</t>
        </is>
      </c>
      <c r="K296">
        <v>107663764</v>
      </c>
      <c r="L296" s="2">
        <v>45367</v>
      </c>
      <c r="M296">
        <v>28</v>
      </c>
      <c r="N296">
        <v>1</v>
      </c>
      <c r="O296">
        <v>0</v>
      </c>
      <c r="P296">
        <v>1</v>
      </c>
      <c r="Q296" t="inlineStr">
        <is>
          <t>C</t>
        </is>
      </c>
      <c r="R296">
        <v>36.2388</v>
      </c>
      <c r="S296">
        <v>-78.55445</v>
      </c>
      <c r="T296" t="inlineStr">
        <is>
          <t>DMV349CLEANED</t>
        </is>
      </c>
      <c r="V296">
        <v>5.25103315665696</v>
      </c>
    </row>
    <row r="297">
      <c r="A297" t="inlineStr">
        <is>
          <t>OXFORD</t>
        </is>
      </c>
      <c r="B297" t="inlineStr">
        <is>
          <t>SPRING</t>
        </is>
      </c>
      <c r="C297">
        <v>0.0</v>
      </c>
      <c r="E297" t="inlineStr">
        <is>
          <t>GRANVILLE</t>
        </is>
      </c>
      <c r="F297" t="inlineStr">
        <is>
          <t>MARTIN LUTHER KING</t>
        </is>
      </c>
      <c r="G297" t="inlineStr">
        <is>
          <t>SPRING</t>
        </is>
      </c>
      <c r="H297">
        <v>0.09</v>
      </c>
      <c r="J297" s="604" t="inlineStr">
        <is>
          <t>NIS</t>
        </is>
      </c>
      <c r="K297">
        <v>107674223</v>
      </c>
      <c r="L297" s="2">
        <v>45372</v>
      </c>
      <c r="M297">
        <v>28</v>
      </c>
      <c r="N297">
        <v>1</v>
      </c>
      <c r="O297">
        <v>0</v>
      </c>
      <c r="P297">
        <v>1</v>
      </c>
      <c r="Q297" t="inlineStr">
        <is>
          <t>O</t>
        </is>
      </c>
    </row>
    <row r="298">
      <c r="A298" t="inlineStr">
        <is>
          <t>RURAL</t>
        </is>
      </c>
      <c r="B298" t="inlineStr">
        <is>
          <t>SR 1522</t>
        </is>
      </c>
      <c r="C298">
        <v>0.0</v>
      </c>
      <c r="E298" t="inlineStr">
        <is>
          <t>US 158</t>
        </is>
      </c>
      <c r="F298" t="inlineStr">
        <is>
          <t>US 15</t>
        </is>
      </c>
      <c r="G298" t="inlineStr">
        <is>
          <t>SR 1522</t>
        </is>
      </c>
      <c r="H298">
        <v>0.882</v>
      </c>
      <c r="J298" s="604" t="inlineStr">
        <is>
          <t>NIS</t>
        </is>
      </c>
      <c r="K298">
        <v>107684903</v>
      </c>
      <c r="L298" s="2">
        <v>45393</v>
      </c>
      <c r="M298">
        <v>25</v>
      </c>
      <c r="N298">
        <v>1</v>
      </c>
      <c r="O298">
        <v>7</v>
      </c>
      <c r="P298">
        <v>1</v>
      </c>
      <c r="Q298" t="inlineStr">
        <is>
          <t>O</t>
        </is>
      </c>
    </row>
    <row r="299">
      <c r="A299" t="inlineStr">
        <is>
          <t>RURAL</t>
        </is>
      </c>
      <c r="B299" t="inlineStr">
        <is>
          <t>US 158</t>
        </is>
      </c>
      <c r="C299">
        <v>0.0</v>
      </c>
      <c r="E299" t="inlineStr">
        <is>
          <t>SR 1522</t>
        </is>
      </c>
      <c r="F299" t="inlineStr">
        <is>
          <t>US 15</t>
        </is>
      </c>
      <c r="G299" t="inlineStr">
        <is>
          <t>US 158</t>
        </is>
      </c>
      <c r="H299">
        <v>14.055</v>
      </c>
      <c r="J299" s="604" t="inlineStr">
        <is>
          <t>NIS</t>
        </is>
      </c>
      <c r="K299">
        <v>107684984</v>
      </c>
      <c r="L299" s="2">
        <v>45393</v>
      </c>
      <c r="M299">
        <v>21</v>
      </c>
      <c r="N299">
        <v>1</v>
      </c>
      <c r="O299">
        <v>7</v>
      </c>
      <c r="P299">
        <v>1</v>
      </c>
      <c r="Q299" t="inlineStr">
        <is>
          <t>O</t>
        </is>
      </c>
    </row>
    <row r="300">
      <c r="A300" t="inlineStr">
        <is>
          <t>CREEDMOOR</t>
        </is>
      </c>
      <c r="B300" t="inlineStr">
        <is>
          <t>PVA MAIN ST</t>
        </is>
      </c>
      <c r="C300">
        <v>0.25</v>
      </c>
      <c r="D300" t="inlineStr">
        <is>
          <t>S</t>
        </is>
      </c>
      <c r="E300" t="inlineStr">
        <is>
          <t>CHURCH</t>
        </is>
      </c>
      <c r="F300" t="inlineStr">
        <is>
          <t>*LCL NC-50</t>
        </is>
      </c>
      <c r="G300" t="inlineStr">
        <is>
          <t>NC 50</t>
        </is>
      </c>
      <c r="H300">
        <v>2.618</v>
      </c>
      <c r="J300" s="604" t="inlineStr">
        <is>
          <t>NIS</t>
        </is>
      </c>
      <c r="K300">
        <v>107769572</v>
      </c>
      <c r="L300" s="2">
        <v>45444</v>
      </c>
      <c r="M300">
        <v>21</v>
      </c>
      <c r="N300">
        <v>1</v>
      </c>
      <c r="O300">
        <v>25</v>
      </c>
      <c r="P300">
        <v>1</v>
      </c>
      <c r="Q300" t="inlineStr">
        <is>
          <t>O</t>
        </is>
      </c>
    </row>
    <row r="301">
      <c r="A301" t="inlineStr">
        <is>
          <t>OXFORD</t>
        </is>
      </c>
      <c r="B301" t="inlineStr">
        <is>
          <t>MARTIN LUTHER KING</t>
        </is>
      </c>
      <c r="C301">
        <v>0.0</v>
      </c>
      <c r="E301" t="inlineStr">
        <is>
          <t>SPRING</t>
        </is>
      </c>
      <c r="F301" t="inlineStr">
        <is>
          <t>HILLSBORO</t>
        </is>
      </c>
      <c r="G301" t="inlineStr">
        <is>
          <t>NC 96</t>
        </is>
      </c>
      <c r="H301">
        <v>17.59</v>
      </c>
      <c r="J301" s="604" t="inlineStr">
        <is>
          <t>NIS</t>
        </is>
      </c>
      <c r="K301">
        <v>107751515</v>
      </c>
      <c r="L301" s="2">
        <v>45457</v>
      </c>
      <c r="M301">
        <v>30</v>
      </c>
      <c r="N301">
        <v>1</v>
      </c>
      <c r="O301">
        <v>0</v>
      </c>
      <c r="P301">
        <v>1</v>
      </c>
      <c r="Q301" t="inlineStr">
        <is>
          <t>O</t>
        </is>
      </c>
    </row>
    <row r="302">
      <c r="A302" t="inlineStr">
        <is>
          <t>OXFORD</t>
        </is>
      </c>
      <c r="B302" t="inlineStr">
        <is>
          <t>SALEM</t>
        </is>
      </c>
      <c r="C302">
        <v>0.2</v>
      </c>
      <c r="D302" t="inlineStr">
        <is>
          <t>NE</t>
        </is>
      </c>
      <c r="E302" t="inlineStr">
        <is>
          <t>WILLIAMSBORO</t>
        </is>
      </c>
      <c r="F302" t="inlineStr">
        <is>
          <t>OXFORD</t>
        </is>
      </c>
      <c r="H302">
        <v>999.999</v>
      </c>
      <c r="J302" s="604" t="inlineStr">
        <is>
          <t>NIS</t>
        </is>
      </c>
      <c r="K302">
        <v>107762881</v>
      </c>
      <c r="L302" s="2">
        <v>45459</v>
      </c>
      <c r="M302">
        <v>1</v>
      </c>
      <c r="N302">
        <v>1</v>
      </c>
      <c r="O302">
        <v>0</v>
      </c>
      <c r="P302">
        <v>1</v>
      </c>
      <c r="Q302" t="inlineStr">
        <is>
          <t>O</t>
        </is>
      </c>
    </row>
    <row r="303">
      <c r="A303" t="inlineStr">
        <is>
          <t>OXFORD</t>
        </is>
      </c>
      <c r="B303" t="inlineStr">
        <is>
          <t>MARTIN LUTHER KING</t>
        </is>
      </c>
      <c r="C303">
        <v>0.0</v>
      </c>
      <c r="E303" t="inlineStr">
        <is>
          <t>SPRING</t>
        </is>
      </c>
      <c r="F303" t="inlineStr">
        <is>
          <t>GRANVILLE</t>
        </is>
      </c>
      <c r="G303" t="inlineStr">
        <is>
          <t>NC 96</t>
        </is>
      </c>
      <c r="H303">
        <v>17.59</v>
      </c>
      <c r="J303" s="604" t="inlineStr">
        <is>
          <t>NIS</t>
        </is>
      </c>
      <c r="K303">
        <v>107781271</v>
      </c>
      <c r="L303" s="2">
        <v>45473</v>
      </c>
      <c r="M303">
        <v>30</v>
      </c>
      <c r="N303">
        <v>2</v>
      </c>
      <c r="O303">
        <v>7</v>
      </c>
      <c r="P303">
        <v>1</v>
      </c>
      <c r="Q303" t="inlineStr">
        <is>
          <t>O</t>
        </is>
      </c>
    </row>
    <row r="304">
      <c r="A304" t="inlineStr">
        <is>
          <t>CREEDMOOR</t>
        </is>
      </c>
      <c r="B304" t="inlineStr">
        <is>
          <t>MAIN</t>
        </is>
      </c>
      <c r="C304">
        <v>0.006</v>
      </c>
      <c r="D304" t="inlineStr">
        <is>
          <t>W</t>
        </is>
      </c>
      <c r="E304" t="inlineStr">
        <is>
          <t>DOUGLAS</t>
        </is>
      </c>
      <c r="F304" t="inlineStr">
        <is>
          <t>LAKE</t>
        </is>
      </c>
      <c r="G304" t="inlineStr">
        <is>
          <t>NC 50</t>
        </is>
      </c>
      <c r="H304">
        <v>3.22</v>
      </c>
      <c r="J304" s="604" t="inlineStr">
        <is>
          <t>NIS</t>
        </is>
      </c>
      <c r="K304">
        <v>107809377</v>
      </c>
      <c r="L304" s="2">
        <v>45496</v>
      </c>
      <c r="M304">
        <v>21</v>
      </c>
      <c r="N304">
        <v>1</v>
      </c>
      <c r="O304">
        <v>0</v>
      </c>
      <c r="P304">
        <v>1</v>
      </c>
      <c r="Q304" t="inlineStr">
        <is>
          <t>C</t>
        </is>
      </c>
    </row>
    <row r="305">
      <c r="A305" t="inlineStr">
        <is>
          <t>CREEDMOOR</t>
        </is>
      </c>
      <c r="B305" t="inlineStr">
        <is>
          <t>NC 56</t>
        </is>
      </c>
      <c r="C305">
        <v>0.0</v>
      </c>
      <c r="E305" t="inlineStr">
        <is>
          <t>MAIN</t>
        </is>
      </c>
      <c r="F305" t="inlineStr">
        <is>
          <t>NC 56</t>
        </is>
      </c>
      <c r="G305" t="inlineStr">
        <is>
          <t>NC 50</t>
        </is>
      </c>
      <c r="H305">
        <v>3.284</v>
      </c>
      <c r="J305" s="604" t="inlineStr">
        <is>
          <t>NIS</t>
        </is>
      </c>
      <c r="K305">
        <v>107809381</v>
      </c>
      <c r="L305" s="2">
        <v>45496</v>
      </c>
      <c r="M305">
        <v>22</v>
      </c>
      <c r="N305">
        <v>1</v>
      </c>
      <c r="O305">
        <v>7</v>
      </c>
      <c r="P305">
        <v>1</v>
      </c>
      <c r="Q305" t="inlineStr">
        <is>
          <t>O</t>
        </is>
      </c>
    </row>
    <row r="306">
      <c r="A306" t="inlineStr">
        <is>
          <t>RURAL</t>
        </is>
      </c>
      <c r="B306" t="inlineStr">
        <is>
          <t>SALEM</t>
        </is>
      </c>
      <c r="C306">
        <v>0.0</v>
      </c>
      <c r="D306" t="inlineStr">
        <is>
          <t>S</t>
        </is>
      </c>
      <c r="E306" t="inlineStr">
        <is>
          <t>LANDIS</t>
        </is>
      </c>
      <c r="F306" t="inlineStr">
        <is>
          <t>*LCL HORNER SIDING RD</t>
        </is>
      </c>
      <c r="H306">
        <v>999.999</v>
      </c>
      <c r="J306" s="604" t="inlineStr">
        <is>
          <t>NIS</t>
        </is>
      </c>
      <c r="K306">
        <v>107818720</v>
      </c>
      <c r="L306" s="2">
        <v>45511</v>
      </c>
      <c r="M306">
        <v>24</v>
      </c>
      <c r="N306">
        <v>1</v>
      </c>
      <c r="O306">
        <v>0</v>
      </c>
      <c r="P306">
        <v>1</v>
      </c>
      <c r="Q306" t="inlineStr">
        <is>
          <t>O</t>
        </is>
      </c>
    </row>
    <row r="307">
      <c r="A307" t="inlineStr">
        <is>
          <t>OXFORD</t>
        </is>
      </c>
      <c r="B307" t="inlineStr">
        <is>
          <t>WILLIAMSBORO</t>
        </is>
      </c>
      <c r="C307">
        <v>0.0</v>
      </c>
      <c r="E307" t="inlineStr">
        <is>
          <t>SPRING</t>
        </is>
      </c>
      <c r="F307" t="inlineStr">
        <is>
          <t>DOGWOOD</t>
        </is>
      </c>
      <c r="G307" t="inlineStr">
        <is>
          <t>US 158BUS</t>
        </is>
      </c>
      <c r="H307">
        <v>2.685</v>
      </c>
      <c r="J307" s="604" t="inlineStr">
        <is>
          <t>NIS</t>
        </is>
      </c>
      <c r="K307">
        <v>107817082</v>
      </c>
      <c r="L307" s="2">
        <v>45515</v>
      </c>
      <c r="M307">
        <v>23</v>
      </c>
      <c r="N307">
        <v>1</v>
      </c>
      <c r="O307">
        <v>0</v>
      </c>
      <c r="P307">
        <v>1</v>
      </c>
      <c r="Q307" t="inlineStr">
        <is>
          <t>O</t>
        </is>
      </c>
    </row>
    <row r="308">
      <c r="A308" t="inlineStr">
        <is>
          <t>CREEDMOOR</t>
        </is>
      </c>
      <c r="B308" t="inlineStr">
        <is>
          <t>MAIN</t>
        </is>
      </c>
      <c r="C308">
        <v>0.038</v>
      </c>
      <c r="D308" t="inlineStr">
        <is>
          <t>S</t>
        </is>
      </c>
      <c r="E308" t="inlineStr">
        <is>
          <t>WILTON</t>
        </is>
      </c>
      <c r="F308" t="inlineStr">
        <is>
          <t>DOUGLAS</t>
        </is>
      </c>
      <c r="G308" t="inlineStr">
        <is>
          <t>NC 50</t>
        </is>
      </c>
      <c r="H308">
        <v>3.247</v>
      </c>
      <c r="J308" s="604" t="inlineStr">
        <is>
          <t>NIS</t>
        </is>
      </c>
      <c r="K308">
        <v>107834102</v>
      </c>
      <c r="L308" s="2">
        <v>45527</v>
      </c>
      <c r="M308">
        <v>28</v>
      </c>
      <c r="N308">
        <v>1</v>
      </c>
      <c r="O308">
        <v>0</v>
      </c>
      <c r="P308">
        <v>1</v>
      </c>
      <c r="Q308" t="inlineStr">
        <is>
          <t>O</t>
        </is>
      </c>
    </row>
    <row r="309">
      <c r="A309" t="inlineStr">
        <is>
          <t>RURAL</t>
        </is>
      </c>
      <c r="B309" t="inlineStr">
        <is>
          <t>US 158</t>
        </is>
      </c>
      <c r="C309">
        <v>0.0</v>
      </c>
      <c r="E309" t="inlineStr">
        <is>
          <t>SR 1522</t>
        </is>
      </c>
      <c r="F309" t="inlineStr">
        <is>
          <t>I 85</t>
        </is>
      </c>
      <c r="G309" t="inlineStr">
        <is>
          <t>US 158</t>
        </is>
      </c>
      <c r="H309">
        <v>14.055</v>
      </c>
      <c r="J309" s="604" t="inlineStr">
        <is>
          <t>NIS</t>
        </is>
      </c>
      <c r="K309">
        <v>107839492</v>
      </c>
      <c r="L309" s="2">
        <v>45533</v>
      </c>
      <c r="M309">
        <v>30</v>
      </c>
      <c r="N309">
        <v>1</v>
      </c>
      <c r="O309">
        <v>7</v>
      </c>
      <c r="P309">
        <v>1</v>
      </c>
      <c r="Q309" t="inlineStr">
        <is>
          <t>O</t>
        </is>
      </c>
    </row>
    <row r="310">
      <c r="A310" t="inlineStr">
        <is>
          <t>RURAL</t>
        </is>
      </c>
      <c r="B310" t="inlineStr">
        <is>
          <t>US 158</t>
        </is>
      </c>
      <c r="C310">
        <v>0.0</v>
      </c>
      <c r="E310" t="inlineStr">
        <is>
          <t>SR 1602</t>
        </is>
      </c>
      <c r="F310" t="inlineStr">
        <is>
          <t>I 85</t>
        </is>
      </c>
      <c r="G310" t="inlineStr">
        <is>
          <t>US 158</t>
        </is>
      </c>
      <c r="H310">
        <v>999.999</v>
      </c>
      <c r="J310" s="604" t="inlineStr">
        <is>
          <t>NIS</t>
        </is>
      </c>
      <c r="K310">
        <v>107862265</v>
      </c>
      <c r="L310" s="2">
        <v>45554</v>
      </c>
      <c r="M310">
        <v>24</v>
      </c>
      <c r="N310">
        <v>1</v>
      </c>
      <c r="O310">
        <v>7</v>
      </c>
      <c r="P310">
        <v>1</v>
      </c>
      <c r="Q310" t="inlineStr">
        <is>
          <t>C</t>
        </is>
      </c>
      <c r="R310">
        <v>36.313448</v>
      </c>
      <c r="S310">
        <v>-78.55273</v>
      </c>
      <c r="T310" t="inlineStr">
        <is>
          <t>DMV349CLEANED</t>
        </is>
      </c>
      <c r="V310">
        <v>1.9407247590354566</v>
      </c>
    </row>
    <row r="311">
      <c r="A311" t="inlineStr">
        <is>
          <t>RURAL</t>
        </is>
      </c>
      <c r="B311" t="inlineStr">
        <is>
          <t>US 158</t>
        </is>
      </c>
      <c r="C311">
        <v>0.0</v>
      </c>
      <c r="E311" t="inlineStr">
        <is>
          <t>SR 1522</t>
        </is>
      </c>
      <c r="F311" t="inlineStr">
        <is>
          <t>SR 1523</t>
        </is>
      </c>
      <c r="G311" t="inlineStr">
        <is>
          <t>US 158</t>
        </is>
      </c>
      <c r="H311">
        <v>14.055</v>
      </c>
      <c r="J311" s="604" t="inlineStr">
        <is>
          <t>NIS</t>
        </is>
      </c>
      <c r="K311">
        <v>107892257</v>
      </c>
      <c r="L311" s="2">
        <v>45583</v>
      </c>
      <c r="M311">
        <v>30</v>
      </c>
      <c r="N311">
        <v>1</v>
      </c>
      <c r="O311">
        <v>7</v>
      </c>
      <c r="P311">
        <v>1</v>
      </c>
      <c r="Q311" t="inlineStr">
        <is>
          <t>C</t>
        </is>
      </c>
    </row>
    <row r="312">
      <c r="A312" t="inlineStr">
        <is>
          <t>CREEDMOOR</t>
        </is>
      </c>
      <c r="B312" t="inlineStr">
        <is>
          <t>LION</t>
        </is>
      </c>
      <c r="C312">
        <v>0.0</v>
      </c>
      <c r="E312" t="inlineStr">
        <is>
          <t>MAIN</t>
        </is>
      </c>
      <c r="F312" t="inlineStr">
        <is>
          <t>COZART</t>
        </is>
      </c>
      <c r="G312" t="inlineStr">
        <is>
          <t>SR 1724</t>
        </is>
      </c>
      <c r="H312">
        <v>0.0</v>
      </c>
      <c r="J312" s="604" t="inlineStr">
        <is>
          <t>NIS</t>
        </is>
      </c>
      <c r="K312">
        <v>107943710</v>
      </c>
      <c r="L312" s="2">
        <v>45586</v>
      </c>
      <c r="M312">
        <v>31</v>
      </c>
      <c r="N312">
        <v>1</v>
      </c>
      <c r="O312">
        <v>0</v>
      </c>
      <c r="P312">
        <v>1</v>
      </c>
      <c r="Q312" t="inlineStr">
        <is>
          <t>O</t>
        </is>
      </c>
    </row>
    <row r="313">
      <c r="A313" t="inlineStr">
        <is>
          <t>RURAL</t>
        </is>
      </c>
      <c r="B313" t="inlineStr">
        <is>
          <t>SR 1522</t>
        </is>
      </c>
      <c r="C313">
        <v>0.2</v>
      </c>
      <c r="D313" t="inlineStr">
        <is>
          <t>N</t>
        </is>
      </c>
      <c r="E313" t="inlineStr">
        <is>
          <t>SR 1515</t>
        </is>
      </c>
      <c r="F313" t="inlineStr">
        <is>
          <t>SR 1523</t>
        </is>
      </c>
      <c r="G313" t="inlineStr">
        <is>
          <t>SR 1522</t>
        </is>
      </c>
      <c r="H313">
        <v>1.408</v>
      </c>
      <c r="J313" s="604" t="inlineStr">
        <is>
          <t>NIS</t>
        </is>
      </c>
      <c r="K313">
        <v>107906579</v>
      </c>
      <c r="L313" s="2">
        <v>45590</v>
      </c>
      <c r="M313">
        <v>21</v>
      </c>
      <c r="N313">
        <v>1</v>
      </c>
      <c r="O313">
        <v>4</v>
      </c>
      <c r="P313">
        <v>1</v>
      </c>
      <c r="Q313" t="inlineStr">
        <is>
          <t>B</t>
        </is>
      </c>
    </row>
    <row r="314">
      <c r="A314" t="inlineStr">
        <is>
          <t>OXFORD</t>
        </is>
      </c>
      <c r="B314" t="inlineStr">
        <is>
          <t>SPRING</t>
        </is>
      </c>
      <c r="C314">
        <v>0.0</v>
      </c>
      <c r="E314" t="inlineStr">
        <is>
          <t>GILLIAM</t>
        </is>
      </c>
      <c r="F314" t="inlineStr">
        <is>
          <t>WILLIAMSBORO</t>
        </is>
      </c>
      <c r="G314" t="inlineStr">
        <is>
          <t>SPRING</t>
        </is>
      </c>
      <c r="H314">
        <v>0.4</v>
      </c>
      <c r="J314" s="604" t="inlineStr">
        <is>
          <t>NIS</t>
        </is>
      </c>
      <c r="K314">
        <v>107902716</v>
      </c>
      <c r="L314" s="2">
        <v>45595</v>
      </c>
      <c r="M314">
        <v>30</v>
      </c>
      <c r="N314">
        <v>1</v>
      </c>
      <c r="O314">
        <v>0</v>
      </c>
      <c r="P314">
        <v>5</v>
      </c>
    </row>
    <row r="315">
      <c r="A315" t="inlineStr">
        <is>
          <t>OXFORD</t>
        </is>
      </c>
      <c r="B315" t="inlineStr">
        <is>
          <t>LEWIS</t>
        </is>
      </c>
      <c r="C315">
        <v>0.0</v>
      </c>
      <c r="E315" t="inlineStr">
        <is>
          <t>SPRING</t>
        </is>
      </c>
      <c r="F315" t="inlineStr">
        <is>
          <t>LEWIS</t>
        </is>
      </c>
      <c r="G315" t="inlineStr">
        <is>
          <t>US 15</t>
        </is>
      </c>
      <c r="H315">
        <v>20.498</v>
      </c>
      <c r="J315" s="604" t="inlineStr">
        <is>
          <t>NIS</t>
        </is>
      </c>
      <c r="K315">
        <v>107914606</v>
      </c>
      <c r="L315" s="2">
        <v>45605</v>
      </c>
      <c r="M315">
        <v>30</v>
      </c>
      <c r="N315">
        <v>1</v>
      </c>
      <c r="O315">
        <v>0</v>
      </c>
      <c r="P315">
        <v>1</v>
      </c>
      <c r="Q315" t="inlineStr">
        <is>
          <t>O</t>
        </is>
      </c>
    </row>
    <row r="316">
      <c r="A316" t="inlineStr">
        <is>
          <t>RURAL</t>
        </is>
      </c>
      <c r="B316" t="inlineStr">
        <is>
          <t>US 158</t>
        </is>
      </c>
      <c r="C316">
        <v>0.019</v>
      </c>
      <c r="D316" t="inlineStr">
        <is>
          <t>S</t>
        </is>
      </c>
      <c r="E316" t="inlineStr">
        <is>
          <t>SR 1522</t>
        </is>
      </c>
      <c r="F316" t="inlineStr">
        <is>
          <t>I 85</t>
        </is>
      </c>
      <c r="G316" t="inlineStr">
        <is>
          <t>US 158</t>
        </is>
      </c>
      <c r="H316">
        <v>14.074</v>
      </c>
      <c r="J316" s="604" t="inlineStr">
        <is>
          <t>NIS</t>
        </is>
      </c>
      <c r="K316">
        <v>107935430</v>
      </c>
      <c r="L316" s="2">
        <v>45605</v>
      </c>
      <c r="M316">
        <v>19</v>
      </c>
      <c r="N316">
        <v>2</v>
      </c>
      <c r="O316">
        <v>0</v>
      </c>
      <c r="P316">
        <v>4</v>
      </c>
      <c r="Q316" t="inlineStr">
        <is>
          <t>O</t>
        </is>
      </c>
    </row>
    <row r="317">
      <c r="A317" t="inlineStr">
        <is>
          <t>OXFORD</t>
        </is>
      </c>
      <c r="B317" t="inlineStr">
        <is>
          <t>MARTIN LUTHER KING</t>
        </is>
      </c>
      <c r="C317">
        <v>0.0</v>
      </c>
      <c r="E317" t="inlineStr">
        <is>
          <t>SPRING</t>
        </is>
      </c>
      <c r="F317" t="inlineStr">
        <is>
          <t>HILLSBORO</t>
        </is>
      </c>
      <c r="G317" t="inlineStr">
        <is>
          <t>NC 96</t>
        </is>
      </c>
      <c r="H317">
        <v>17.59</v>
      </c>
      <c r="J317" s="604" t="inlineStr">
        <is>
          <t>NIS</t>
        </is>
      </c>
      <c r="K317">
        <v>107917628</v>
      </c>
      <c r="L317" s="2">
        <v>45608</v>
      </c>
      <c r="M317">
        <v>21</v>
      </c>
      <c r="N317">
        <v>1</v>
      </c>
      <c r="O317">
        <v>0</v>
      </c>
      <c r="P317">
        <v>1</v>
      </c>
      <c r="Q317" t="inlineStr">
        <is>
          <t>O</t>
        </is>
      </c>
    </row>
    <row r="318">
      <c r="A318" t="inlineStr">
        <is>
          <t>CREEDMOOR</t>
        </is>
      </c>
      <c r="B318" t="inlineStr">
        <is>
          <t>MAIN</t>
        </is>
      </c>
      <c r="C318">
        <v>0.0</v>
      </c>
      <c r="E318" t="inlineStr">
        <is>
          <t>LAKE</t>
        </is>
      </c>
      <c r="F318" t="inlineStr">
        <is>
          <t>MAIN</t>
        </is>
      </c>
      <c r="G318" t="inlineStr">
        <is>
          <t>NC 50</t>
        </is>
      </c>
      <c r="H318">
        <v>3.206</v>
      </c>
      <c r="J318" s="604" t="inlineStr">
        <is>
          <t>NIS</t>
        </is>
      </c>
      <c r="K318">
        <v>107938369</v>
      </c>
      <c r="L318" s="2">
        <v>45611</v>
      </c>
      <c r="M318">
        <v>1</v>
      </c>
      <c r="N318">
        <v>2</v>
      </c>
      <c r="O318">
        <v>25</v>
      </c>
      <c r="P318">
        <v>4</v>
      </c>
      <c r="Q318" t="inlineStr">
        <is>
          <t>O</t>
        </is>
      </c>
    </row>
    <row r="319">
      <c r="A319" t="inlineStr">
        <is>
          <t>RURAL</t>
        </is>
      </c>
      <c r="B319" t="inlineStr">
        <is>
          <t>SR 1522</t>
        </is>
      </c>
      <c r="C319">
        <v>0.2</v>
      </c>
      <c r="D319" t="inlineStr">
        <is>
          <t>S</t>
        </is>
      </c>
      <c r="E319" t="inlineStr">
        <is>
          <t>SR 1521</t>
        </is>
      </c>
      <c r="F319" t="inlineStr">
        <is>
          <t>SR 1525</t>
        </is>
      </c>
      <c r="G319" t="inlineStr">
        <is>
          <t>SR 1522</t>
        </is>
      </c>
      <c r="H319">
        <v>2.904</v>
      </c>
      <c r="J319" s="604" t="inlineStr">
        <is>
          <t>NIS</t>
        </is>
      </c>
      <c r="K319">
        <v>107935293</v>
      </c>
      <c r="L319" s="2">
        <v>45619</v>
      </c>
      <c r="M319">
        <v>17</v>
      </c>
      <c r="N319">
        <v>1</v>
      </c>
      <c r="O319">
        <v>0</v>
      </c>
      <c r="P319">
        <v>1</v>
      </c>
      <c r="Q319" t="inlineStr">
        <is>
          <t>O</t>
        </is>
      </c>
    </row>
    <row r="320">
      <c r="A320" t="inlineStr">
        <is>
          <t>RURAL</t>
        </is>
      </c>
      <c r="B320" t="inlineStr">
        <is>
          <t>US 158</t>
        </is>
      </c>
      <c r="C320">
        <v>0.019</v>
      </c>
      <c r="D320" t="inlineStr">
        <is>
          <t>S</t>
        </is>
      </c>
      <c r="E320" t="inlineStr">
        <is>
          <t>SR 1522</t>
        </is>
      </c>
      <c r="F320" t="inlineStr">
        <is>
          <t>SR 1646</t>
        </is>
      </c>
      <c r="G320" t="inlineStr">
        <is>
          <t>US 158</t>
        </is>
      </c>
      <c r="H320">
        <v>14.074</v>
      </c>
      <c r="J320" s="604" t="inlineStr">
        <is>
          <t>NIS</t>
        </is>
      </c>
      <c r="K320">
        <v>107980034</v>
      </c>
      <c r="L320" s="2">
        <v>45661</v>
      </c>
      <c r="M320">
        <v>21</v>
      </c>
      <c r="N320">
        <v>1</v>
      </c>
      <c r="O320">
        <v>7</v>
      </c>
      <c r="P320">
        <v>1</v>
      </c>
      <c r="Q320" t="inlineStr">
        <is>
          <t>O</t>
        </is>
      </c>
    </row>
    <row r="321">
      <c r="A321" t="inlineStr">
        <is>
          <t>CREEDMOOR</t>
        </is>
      </c>
      <c r="B321" t="inlineStr">
        <is>
          <t>PVA SOSSOMANS PVA</t>
        </is>
      </c>
      <c r="C321">
        <v>0.0</v>
      </c>
      <c r="E321" t="inlineStr">
        <is>
          <t>MAIN</t>
        </is>
      </c>
      <c r="F321" t="inlineStr">
        <is>
          <t>US 15</t>
        </is>
      </c>
      <c r="H321">
        <v>999.999</v>
      </c>
      <c r="J321" s="604" t="inlineStr">
        <is>
          <t>NIS</t>
        </is>
      </c>
      <c r="K321">
        <v>107993196</v>
      </c>
      <c r="L321" s="2">
        <v>45661</v>
      </c>
      <c r="M321">
        <v>20</v>
      </c>
      <c r="N321">
        <v>1</v>
      </c>
      <c r="O321">
        <v>0</v>
      </c>
      <c r="P321">
        <v>1</v>
      </c>
      <c r="Q321" t="inlineStr">
        <is>
          <t>O</t>
        </is>
      </c>
    </row>
    <row r="322">
      <c r="A322" t="inlineStr">
        <is>
          <t>OXFORD</t>
        </is>
      </c>
      <c r="B322" t="inlineStr">
        <is>
          <t>SR 1522</t>
        </is>
      </c>
      <c r="C322">
        <v>0.2</v>
      </c>
      <c r="D322" t="inlineStr">
        <is>
          <t>W</t>
        </is>
      </c>
      <c r="E322" t="inlineStr">
        <is>
          <t>SR 1533</t>
        </is>
      </c>
      <c r="F322" t="inlineStr">
        <is>
          <t>SR 1521</t>
        </is>
      </c>
      <c r="G322" t="inlineStr">
        <is>
          <t>SR 1522</t>
        </is>
      </c>
      <c r="H322">
        <v>3.906</v>
      </c>
      <c r="J322" s="604" t="inlineStr">
        <is>
          <t>NIS</t>
        </is>
      </c>
      <c r="K322">
        <v>107996289</v>
      </c>
      <c r="L322" s="2">
        <v>45670</v>
      </c>
      <c r="M322">
        <v>19</v>
      </c>
      <c r="N322">
        <v>2</v>
      </c>
      <c r="O322">
        <v>0</v>
      </c>
      <c r="P322">
        <v>5</v>
      </c>
    </row>
    <row r="323">
      <c r="A323" t="inlineStr">
        <is>
          <t>OXFORD</t>
        </is>
      </c>
      <c r="B323" t="inlineStr">
        <is>
          <t>SPRING</t>
        </is>
      </c>
      <c r="C323">
        <v>0.0</v>
      </c>
      <c r="E323" t="inlineStr">
        <is>
          <t>ORANGE</t>
        </is>
      </c>
      <c r="F323" t="inlineStr">
        <is>
          <t>GRANVILLE</t>
        </is>
      </c>
      <c r="G323" t="inlineStr">
        <is>
          <t>SPRING</t>
        </is>
      </c>
      <c r="H323">
        <v>999.999</v>
      </c>
      <c r="J323" s="604" t="inlineStr">
        <is>
          <t>NIS</t>
        </is>
      </c>
      <c r="K323">
        <v>108030889</v>
      </c>
      <c r="L323" s="2">
        <v>45691</v>
      </c>
      <c r="M323">
        <v>13</v>
      </c>
      <c r="N323">
        <v>1</v>
      </c>
      <c r="O323">
        <v>0</v>
      </c>
      <c r="P323">
        <v>4</v>
      </c>
      <c r="Q323" t="inlineStr">
        <is>
          <t>O</t>
        </is>
      </c>
    </row>
    <row r="324">
      <c r="A324" t="inlineStr">
        <is>
          <t>OXFORD</t>
        </is>
      </c>
      <c r="B324" t="inlineStr">
        <is>
          <t>SPRING</t>
        </is>
      </c>
      <c r="C324">
        <v>0.0</v>
      </c>
      <c r="E324" t="inlineStr">
        <is>
          <t>BELL</t>
        </is>
      </c>
      <c r="F324" t="inlineStr">
        <is>
          <t>WILLIAMSBORO</t>
        </is>
      </c>
      <c r="G324" t="inlineStr">
        <is>
          <t>SPRING</t>
        </is>
      </c>
      <c r="H324">
        <v>0.47</v>
      </c>
      <c r="J324" s="604" t="inlineStr">
        <is>
          <t>NIS</t>
        </is>
      </c>
      <c r="K324">
        <v>108009651</v>
      </c>
      <c r="L324" s="2">
        <v>45692</v>
      </c>
      <c r="M324">
        <v>30</v>
      </c>
      <c r="N324">
        <v>1</v>
      </c>
      <c r="O324">
        <v>0</v>
      </c>
      <c r="P324">
        <v>1</v>
      </c>
      <c r="Q324" t="inlineStr">
        <is>
          <t>O</t>
        </is>
      </c>
    </row>
    <row r="325">
      <c r="A325" t="inlineStr">
        <is>
          <t>OXFORD</t>
        </is>
      </c>
      <c r="B325" t="inlineStr">
        <is>
          <t>SR 1522</t>
        </is>
      </c>
      <c r="C325">
        <v>0.17</v>
      </c>
      <c r="D325" t="inlineStr">
        <is>
          <t>W</t>
        </is>
      </c>
      <c r="E325" t="inlineStr">
        <is>
          <t>SR 1533</t>
        </is>
      </c>
      <c r="F325" t="inlineStr">
        <is>
          <t>SR 1521</t>
        </is>
      </c>
      <c r="G325" t="inlineStr">
        <is>
          <t>SR 1522</t>
        </is>
      </c>
      <c r="H325">
        <v>3.936</v>
      </c>
      <c r="J325" s="604" t="inlineStr">
        <is>
          <t>NIS</t>
        </is>
      </c>
      <c r="K325">
        <v>108035183</v>
      </c>
      <c r="L325" s="2">
        <v>45699</v>
      </c>
      <c r="M325">
        <v>5</v>
      </c>
      <c r="N325">
        <v>2</v>
      </c>
      <c r="O325">
        <v>0</v>
      </c>
      <c r="P325">
        <v>1</v>
      </c>
      <c r="Q325" t="inlineStr">
        <is>
          <t>B</t>
        </is>
      </c>
    </row>
    <row r="326">
      <c r="A326" t="inlineStr">
        <is>
          <t>OXFORD</t>
        </is>
      </c>
      <c r="B326" t="inlineStr">
        <is>
          <t>MAIN</t>
        </is>
      </c>
      <c r="C326">
        <v>0.0</v>
      </c>
      <c r="E326" t="inlineStr">
        <is>
          <t>MAIN</t>
        </is>
      </c>
      <c r="F326" t="inlineStr">
        <is>
          <t>WALL</t>
        </is>
      </c>
      <c r="G326" t="inlineStr">
        <is>
          <t>SR 1127</t>
        </is>
      </c>
      <c r="H326">
        <v>5.073</v>
      </c>
      <c r="J326" s="604" t="inlineStr">
        <is>
          <t>NIS</t>
        </is>
      </c>
      <c r="K326">
        <v>108030890</v>
      </c>
      <c r="L326" s="2">
        <v>45706</v>
      </c>
      <c r="M326">
        <v>19</v>
      </c>
      <c r="N326">
        <v>1</v>
      </c>
      <c r="O326">
        <v>0</v>
      </c>
      <c r="P326">
        <v>1</v>
      </c>
      <c r="Q326" t="inlineStr">
        <is>
          <t>O</t>
        </is>
      </c>
    </row>
    <row r="327">
      <c r="A327" t="inlineStr">
        <is>
          <t>CREEDMOOR</t>
        </is>
      </c>
      <c r="B327" t="inlineStr">
        <is>
          <t>MAIN</t>
        </is>
      </c>
      <c r="C327">
        <v>0.0</v>
      </c>
      <c r="E327" t="inlineStr">
        <is>
          <t>CHURCH</t>
        </is>
      </c>
      <c r="G327" t="inlineStr">
        <is>
          <t>NC 50</t>
        </is>
      </c>
      <c r="H327">
        <v>2.868</v>
      </c>
      <c r="J327" s="604" t="inlineStr">
        <is>
          <t>NIS</t>
        </is>
      </c>
      <c r="K327">
        <v>108048415</v>
      </c>
      <c r="L327" s="2">
        <v>45727</v>
      </c>
      <c r="M327">
        <v>30</v>
      </c>
      <c r="N327">
        <v>1</v>
      </c>
      <c r="O327">
        <v>0</v>
      </c>
      <c r="P327">
        <v>1</v>
      </c>
      <c r="Q327" t="inlineStr">
        <is>
          <t>O</t>
        </is>
      </c>
    </row>
    <row r="328">
      <c r="A328" t="inlineStr">
        <is>
          <t>RURAL</t>
        </is>
      </c>
      <c r="B328" t="inlineStr">
        <is>
          <t>SR 1515</t>
        </is>
      </c>
      <c r="C328">
        <v>0.0</v>
      </c>
      <c r="E328" t="inlineStr">
        <is>
          <t>SR 1522</t>
        </is>
      </c>
      <c r="G328" t="inlineStr">
        <is>
          <t>SR 1515</t>
        </is>
      </c>
      <c r="H328">
        <v>10.078</v>
      </c>
      <c r="J328" s="604" t="inlineStr">
        <is>
          <t>NIS</t>
        </is>
      </c>
      <c r="K328">
        <v>108054666</v>
      </c>
      <c r="L328" s="2">
        <v>45733</v>
      </c>
      <c r="M328">
        <v>32</v>
      </c>
      <c r="N328">
        <v>1</v>
      </c>
      <c r="O328">
        <v>8</v>
      </c>
      <c r="P328">
        <v>1</v>
      </c>
      <c r="Q328" t="inlineStr">
        <is>
          <t>O</t>
        </is>
      </c>
    </row>
    <row r="329">
      <c r="A329" t="inlineStr">
        <is>
          <t>CREEDMOOR</t>
        </is>
      </c>
      <c r="B329" t="inlineStr">
        <is>
          <t>NC 56</t>
        </is>
      </c>
      <c r="C329">
        <v>0.0</v>
      </c>
      <c r="E329" t="inlineStr">
        <is>
          <t>MAIN</t>
        </is>
      </c>
      <c r="F329" t="inlineStr">
        <is>
          <t>*LCL W WILTON AVE</t>
        </is>
      </c>
      <c r="G329" t="inlineStr">
        <is>
          <t>NC 50</t>
        </is>
      </c>
      <c r="H329">
        <v>3.284</v>
      </c>
      <c r="J329" s="604" t="inlineStr">
        <is>
          <t>NIS</t>
        </is>
      </c>
      <c r="K329">
        <v>108062653</v>
      </c>
      <c r="L329" s="2">
        <v>45740</v>
      </c>
      <c r="M329">
        <v>30</v>
      </c>
      <c r="N329">
        <v>2</v>
      </c>
      <c r="O329">
        <v>0</v>
      </c>
      <c r="P329">
        <v>1</v>
      </c>
      <c r="Q329" t="inlineStr">
        <is>
          <t>O</t>
        </is>
      </c>
    </row>
    <row r="330">
      <c r="A330" t="inlineStr">
        <is>
          <t>CREEDMOOR</t>
        </is>
      </c>
      <c r="B330" t="inlineStr">
        <is>
          <t>*LCL W WILTON AVE</t>
        </is>
      </c>
      <c r="C330">
        <v>0.0</v>
      </c>
      <c r="E330" t="inlineStr">
        <is>
          <t>MAIN</t>
        </is>
      </c>
      <c r="F330" t="inlineStr">
        <is>
          <t>MAIN</t>
        </is>
      </c>
      <c r="H330">
        <v>999.999</v>
      </c>
      <c r="J330" s="604" t="inlineStr">
        <is>
          <t>NIS</t>
        </is>
      </c>
      <c r="K330">
        <v>108062655</v>
      </c>
      <c r="L330" s="2">
        <v>45745</v>
      </c>
      <c r="M330">
        <v>28</v>
      </c>
      <c r="N330">
        <v>1</v>
      </c>
      <c r="O330">
        <v>0</v>
      </c>
      <c r="P330">
        <v>1</v>
      </c>
      <c r="Q330" t="inlineStr">
        <is>
          <t>O</t>
        </is>
      </c>
    </row>
    <row r="331">
      <c r="A331" t="inlineStr">
        <is>
          <t>CREEDMOOR</t>
        </is>
      </c>
      <c r="B331" t="inlineStr">
        <is>
          <t>NC 56</t>
        </is>
      </c>
      <c r="C331">
        <v>0.0</v>
      </c>
      <c r="E331" t="inlineStr">
        <is>
          <t>MAIN</t>
        </is>
      </c>
      <c r="F331" t="inlineStr">
        <is>
          <t>*US 15 P</t>
        </is>
      </c>
      <c r="G331" t="inlineStr">
        <is>
          <t>NC 50</t>
        </is>
      </c>
      <c r="H331">
        <v>3.284</v>
      </c>
      <c r="J331" s="604" t="inlineStr">
        <is>
          <t>NIS</t>
        </is>
      </c>
      <c r="K331">
        <v>108088763</v>
      </c>
      <c r="L331" s="2">
        <v>45752</v>
      </c>
      <c r="M331">
        <v>20</v>
      </c>
      <c r="N331">
        <v>1</v>
      </c>
      <c r="O331">
        <v>0</v>
      </c>
      <c r="P331">
        <v>2</v>
      </c>
      <c r="Q331" t="inlineStr">
        <is>
          <t>O</t>
        </is>
      </c>
    </row>
    <row r="332">
      <c r="A332" t="inlineStr">
        <is>
          <t>OXFORD</t>
        </is>
      </c>
      <c r="B332" t="inlineStr">
        <is>
          <t>SR 1522</t>
        </is>
      </c>
      <c r="C332">
        <v>0.0</v>
      </c>
      <c r="E332" t="inlineStr">
        <is>
          <t>SR 1195</t>
        </is>
      </c>
      <c r="F332" t="inlineStr">
        <is>
          <t>US 15</t>
        </is>
      </c>
      <c r="G332" t="inlineStr">
        <is>
          <t>SR 1522</t>
        </is>
      </c>
      <c r="H332">
        <v>999.999</v>
      </c>
      <c r="J332" s="604" t="inlineStr">
        <is>
          <t>NIS</t>
        </is>
      </c>
      <c r="K332">
        <v>108097246</v>
      </c>
      <c r="L332" s="2">
        <v>45765</v>
      </c>
      <c r="M332">
        <v>30</v>
      </c>
      <c r="N332">
        <v>1</v>
      </c>
      <c r="O332">
        <v>0</v>
      </c>
      <c r="P332">
        <v>1</v>
      </c>
      <c r="Q332" t="inlineStr">
        <is>
          <t>O</t>
        </is>
      </c>
    </row>
    <row r="333">
      <c r="A333" t="inlineStr">
        <is>
          <t>OXFORD</t>
        </is>
      </c>
      <c r="B333" t="inlineStr">
        <is>
          <t>ORANGE</t>
        </is>
      </c>
      <c r="C333">
        <v>0.0</v>
      </c>
      <c r="E333" t="inlineStr">
        <is>
          <t>SPRING</t>
        </is>
      </c>
      <c r="F333" t="inlineStr">
        <is>
          <t>BULLOCK</t>
        </is>
      </c>
      <c r="G333" t="inlineStr">
        <is>
          <t>SPRING</t>
        </is>
      </c>
      <c r="H333">
        <v>999.999</v>
      </c>
      <c r="J333" s="604" t="inlineStr">
        <is>
          <t>NIS</t>
        </is>
      </c>
      <c r="K333">
        <v>108090115</v>
      </c>
      <c r="L333" s="2">
        <v>45766</v>
      </c>
      <c r="M333">
        <v>30</v>
      </c>
      <c r="N333">
        <v>1</v>
      </c>
      <c r="O333">
        <v>7</v>
      </c>
      <c r="P333">
        <v>4</v>
      </c>
      <c r="Q333" t="inlineStr">
        <is>
          <t>B</t>
        </is>
      </c>
      <c r="R333">
        <v>36.3</v>
      </c>
      <c r="S333">
        <v>-78.59</v>
      </c>
      <c r="T333" t="inlineStr">
        <is>
          <t>DMV349</t>
        </is>
      </c>
      <c r="V333">
        <v>0.708594827777916</v>
      </c>
    </row>
    <row r="334">
      <c r="A334" t="inlineStr">
        <is>
          <t>RURAL</t>
        </is>
      </c>
      <c r="B334" t="inlineStr">
        <is>
          <t>SR 1522</t>
        </is>
      </c>
      <c r="C334">
        <v>0.0</v>
      </c>
      <c r="E334" t="inlineStr">
        <is>
          <t>US 158</t>
        </is>
      </c>
      <c r="F334" t="inlineStr">
        <is>
          <t>EDGEWOOD</t>
        </is>
      </c>
      <c r="G334" t="inlineStr">
        <is>
          <t>SR 1522</t>
        </is>
      </c>
      <c r="H334">
        <v>0.882</v>
      </c>
      <c r="J334" s="604" t="inlineStr">
        <is>
          <t>NIS</t>
        </is>
      </c>
      <c r="K334">
        <v>108090119</v>
      </c>
      <c r="L334" s="2">
        <v>45769</v>
      </c>
      <c r="M334">
        <v>30</v>
      </c>
      <c r="N334">
        <v>1</v>
      </c>
      <c r="O334">
        <v>7</v>
      </c>
      <c r="P334">
        <v>1</v>
      </c>
      <c r="Q334" t="inlineStr">
        <is>
          <t>C</t>
        </is>
      </c>
    </row>
    <row r="335">
      <c r="A335" t="inlineStr">
        <is>
          <t>RURAL</t>
        </is>
      </c>
      <c r="B335" t="inlineStr">
        <is>
          <t>SR 1522</t>
        </is>
      </c>
      <c r="C335">
        <v>0.1</v>
      </c>
      <c r="D335" t="inlineStr">
        <is>
          <t>W</t>
        </is>
      </c>
      <c r="E335" t="inlineStr">
        <is>
          <t>SR 1126</t>
        </is>
      </c>
      <c r="F335" t="inlineStr">
        <is>
          <t>SR 1533</t>
        </is>
      </c>
      <c r="G335" t="inlineStr">
        <is>
          <t>SR 1522</t>
        </is>
      </c>
      <c r="H335">
        <v>999.999</v>
      </c>
      <c r="J335" s="604" t="inlineStr">
        <is>
          <t>NIS</t>
        </is>
      </c>
      <c r="K335">
        <v>108090079</v>
      </c>
      <c r="L335" s="2">
        <v>45771</v>
      </c>
      <c r="M335">
        <v>19</v>
      </c>
      <c r="N335">
        <v>1</v>
      </c>
      <c r="O335">
        <v>0</v>
      </c>
      <c r="P335">
        <v>1</v>
      </c>
      <c r="Q335" t="inlineStr">
        <is>
          <t>C</t>
        </is>
      </c>
    </row>
    <row r="336">
      <c r="A336" t="inlineStr">
        <is>
          <t>OXFORD</t>
        </is>
      </c>
      <c r="B336" t="inlineStr">
        <is>
          <t>PVA USPS PVA</t>
        </is>
      </c>
      <c r="C336">
        <v>0.0</v>
      </c>
      <c r="E336" t="inlineStr">
        <is>
          <t>SPRING</t>
        </is>
      </c>
      <c r="F336" t="inlineStr">
        <is>
          <t>SPRING</t>
        </is>
      </c>
      <c r="H336">
        <v>999.999</v>
      </c>
      <c r="J336" s="604" t="inlineStr">
        <is>
          <t>NIS</t>
        </is>
      </c>
      <c r="K336">
        <v>108090408</v>
      </c>
      <c r="L336" s="2">
        <v>45772</v>
      </c>
      <c r="M336">
        <v>31</v>
      </c>
      <c r="N336">
        <v>1</v>
      </c>
      <c r="O336">
        <v>0</v>
      </c>
      <c r="P336">
        <v>2</v>
      </c>
      <c r="Q336" t="inlineStr">
        <is>
          <t>O</t>
        </is>
      </c>
    </row>
    <row r="337">
      <c r="A337" t="inlineStr">
        <is>
          <t>CREEDMOOR</t>
        </is>
      </c>
      <c r="B337" t="inlineStr">
        <is>
          <t>MAIN</t>
        </is>
      </c>
      <c r="C337">
        <v>0.025</v>
      </c>
      <c r="D337" t="inlineStr">
        <is>
          <t>S</t>
        </is>
      </c>
      <c r="E337" t="inlineStr">
        <is>
          <t>CHURCH</t>
        </is>
      </c>
      <c r="F337" t="inlineStr">
        <is>
          <t>ROGER</t>
        </is>
      </c>
      <c r="G337" t="inlineStr">
        <is>
          <t>NC 50</t>
        </is>
      </c>
      <c r="H337">
        <v>2.843</v>
      </c>
      <c r="J337" s="604" t="inlineStr">
        <is>
          <t>NIS</t>
        </is>
      </c>
      <c r="K337">
        <v>108143298</v>
      </c>
      <c r="L337" s="2">
        <v>45799</v>
      </c>
      <c r="M337">
        <v>14</v>
      </c>
      <c r="N337">
        <v>1</v>
      </c>
      <c r="O337">
        <v>0</v>
      </c>
      <c r="P337">
        <v>1</v>
      </c>
      <c r="Q337" t="inlineStr">
        <is>
          <t>C</t>
        </is>
      </c>
      <c r="R337">
        <v>36.116217</v>
      </c>
      <c r="S337">
        <v>-78.687032</v>
      </c>
      <c r="T337" t="inlineStr">
        <is>
          <t>VHB_PEDBIKE</t>
        </is>
      </c>
      <c r="V337">
        <v>14.498671685017317</v>
      </c>
    </row>
    <row r="338">
      <c r="A338" t="inlineStr">
        <is>
          <t>RURAL</t>
        </is>
      </c>
      <c r="B338" t="inlineStr">
        <is>
          <t>US 158</t>
        </is>
      </c>
      <c r="C338">
        <v>0.0</v>
      </c>
      <c r="E338" t="inlineStr">
        <is>
          <t>SR 1522</t>
        </is>
      </c>
      <c r="G338" t="inlineStr">
        <is>
          <t>US 158</t>
        </is>
      </c>
      <c r="H338">
        <v>14.055</v>
      </c>
      <c r="J338" s="604" t="inlineStr">
        <is>
          <t>NIS</t>
        </is>
      </c>
      <c r="K338">
        <v>108130026</v>
      </c>
      <c r="L338" s="2">
        <v>45800</v>
      </c>
      <c r="M338">
        <v>24</v>
      </c>
      <c r="N338">
        <v>1</v>
      </c>
      <c r="O338">
        <v>7</v>
      </c>
      <c r="P338">
        <v>1</v>
      </c>
      <c r="Q338" t="inlineStr">
        <is>
          <t>O</t>
        </is>
      </c>
    </row>
    <row r="339">
      <c r="A339" t="inlineStr">
        <is>
          <t>OXFORD</t>
        </is>
      </c>
      <c r="B339" t="inlineStr">
        <is>
          <t>FRONT</t>
        </is>
      </c>
      <c r="C339">
        <v>0.0</v>
      </c>
      <c r="E339" t="inlineStr">
        <is>
          <t>MAIN</t>
        </is>
      </c>
      <c r="F339" t="inlineStr">
        <is>
          <t>MARTIN LUTHER KING</t>
        </is>
      </c>
      <c r="G339" t="inlineStr">
        <is>
          <t>SR 1602</t>
        </is>
      </c>
      <c r="H339">
        <v>1.149</v>
      </c>
      <c r="J339" s="604" t="inlineStr">
        <is>
          <t>NIS</t>
        </is>
      </c>
      <c r="K339">
        <v>108127473</v>
      </c>
      <c r="L339" s="2">
        <v>45808</v>
      </c>
      <c r="M339">
        <v>31</v>
      </c>
      <c r="N339">
        <v>1</v>
      </c>
      <c r="O339">
        <v>0</v>
      </c>
      <c r="P339">
        <v>1</v>
      </c>
      <c r="Q339" t="inlineStr">
        <is>
          <t>O</t>
        </is>
      </c>
    </row>
    <row r="340">
      <c r="A340" t="inlineStr">
        <is>
          <t>OXFORD</t>
        </is>
      </c>
      <c r="B340" t="inlineStr">
        <is>
          <t>SPRING</t>
        </is>
      </c>
      <c r="C340">
        <v>0.0</v>
      </c>
      <c r="E340" t="inlineStr">
        <is>
          <t>*LCL SPING ST</t>
        </is>
      </c>
      <c r="F340" t="inlineStr">
        <is>
          <t>WALL</t>
        </is>
      </c>
      <c r="H340">
        <v>999.999</v>
      </c>
      <c r="J340" s="604" t="inlineStr">
        <is>
          <t>NIS</t>
        </is>
      </c>
      <c r="K340">
        <v>108167054</v>
      </c>
      <c r="L340" s="2">
        <v>45848</v>
      </c>
      <c r="M340">
        <v>14</v>
      </c>
      <c r="N340">
        <v>1</v>
      </c>
      <c r="O340">
        <v>0</v>
      </c>
      <c r="P340">
        <v>1</v>
      </c>
      <c r="Q340" t="inlineStr">
        <is>
          <t>C</t>
        </is>
      </c>
      <c r="R340">
        <v>36.309283</v>
      </c>
      <c r="S340">
        <v>-78.589852</v>
      </c>
      <c r="T340" t="inlineStr">
        <is>
          <t>VHB_PEDBIKE</t>
        </is>
      </c>
      <c r="V340">
        <v>0.14963679968857657</v>
      </c>
    </row>
    <row r="341">
      <c r="A341" t="inlineStr">
        <is>
          <t>RURAL</t>
        </is>
      </c>
      <c r="B341" t="inlineStr">
        <is>
          <t>SR 1522</t>
        </is>
      </c>
      <c r="C341">
        <v>0.17</v>
      </c>
      <c r="D341" t="inlineStr">
        <is>
          <t>W</t>
        </is>
      </c>
      <c r="E341" t="inlineStr">
        <is>
          <t>SR 1533</t>
        </is>
      </c>
      <c r="F341" t="inlineStr">
        <is>
          <t>US 158</t>
        </is>
      </c>
      <c r="G341" t="inlineStr">
        <is>
          <t>SR 1522</t>
        </is>
      </c>
      <c r="H341">
        <v>3.936</v>
      </c>
      <c r="J341" s="604" t="inlineStr">
        <is>
          <t>NIS</t>
        </is>
      </c>
      <c r="K341">
        <v>108172669</v>
      </c>
      <c r="L341" s="2">
        <v>45848</v>
      </c>
      <c r="M341">
        <v>19</v>
      </c>
      <c r="N341">
        <v>1</v>
      </c>
      <c r="O341">
        <v>0</v>
      </c>
      <c r="P341">
        <v>1</v>
      </c>
      <c r="Q341" t="inlineStr">
        <is>
          <t>O</t>
        </is>
      </c>
    </row>
    <row r="342">
      <c r="A342" t="inlineStr">
        <is>
          <t>OXFORD</t>
        </is>
      </c>
      <c r="B342" t="inlineStr">
        <is>
          <t>LEWIS</t>
        </is>
      </c>
      <c r="C342">
        <v>0.0</v>
      </c>
      <c r="E342" t="inlineStr">
        <is>
          <t>SPRING</t>
        </is>
      </c>
      <c r="F342" t="inlineStr">
        <is>
          <t>MAPLE</t>
        </is>
      </c>
      <c r="G342" t="inlineStr">
        <is>
          <t>US 15</t>
        </is>
      </c>
      <c r="H342">
        <v>20.498</v>
      </c>
      <c r="J342" s="604" t="inlineStr">
        <is>
          <t>NIS</t>
        </is>
      </c>
      <c r="K342">
        <v>108168651</v>
      </c>
      <c r="L342" s="2">
        <v>45850</v>
      </c>
      <c r="M342">
        <v>30</v>
      </c>
      <c r="N342">
        <v>1</v>
      </c>
      <c r="O342">
        <v>0</v>
      </c>
      <c r="P342">
        <v>1</v>
      </c>
      <c r="Q342" t="inlineStr">
        <is>
          <t>C</t>
        </is>
      </c>
    </row>
    <row r="343">
      <c r="A343" t="inlineStr">
        <is>
          <t>RURAL</t>
        </is>
      </c>
      <c r="B343" t="inlineStr">
        <is>
          <t>SR 1522</t>
        </is>
      </c>
      <c r="C343">
        <v>0.0</v>
      </c>
      <c r="E343" t="inlineStr">
        <is>
          <t>US 158</t>
        </is>
      </c>
      <c r="F343" t="inlineStr">
        <is>
          <t>SR 1515</t>
        </is>
      </c>
      <c r="G343" t="inlineStr">
        <is>
          <t>SR 1522</t>
        </is>
      </c>
      <c r="H343">
        <v>0.882</v>
      </c>
      <c r="J343" s="604" t="inlineStr">
        <is>
          <t>NIS</t>
        </is>
      </c>
      <c r="K343">
        <v>108184203</v>
      </c>
      <c r="L343" s="2">
        <v>45864</v>
      </c>
      <c r="M343">
        <v>30</v>
      </c>
      <c r="N343">
        <v>1</v>
      </c>
      <c r="O343">
        <v>7</v>
      </c>
      <c r="P343">
        <v>2</v>
      </c>
      <c r="Q343" t="inlineStr">
        <is>
          <t>C</t>
        </is>
      </c>
    </row>
    <row r="344">
      <c r="A344" t="inlineStr">
        <is>
          <t>RURAL</t>
        </is>
      </c>
      <c r="B344" t="inlineStr">
        <is>
          <t>SR 1522</t>
        </is>
      </c>
      <c r="C344">
        <v>0.2</v>
      </c>
      <c r="D344" t="inlineStr">
        <is>
          <t>W</t>
        </is>
      </c>
      <c r="E344" t="inlineStr">
        <is>
          <t>SR 1533</t>
        </is>
      </c>
      <c r="F344" t="inlineStr">
        <is>
          <t>SR 1521</t>
        </is>
      </c>
      <c r="G344" t="inlineStr">
        <is>
          <t>SR 1522</t>
        </is>
      </c>
      <c r="H344">
        <v>3.906</v>
      </c>
      <c r="J344" s="604" t="inlineStr">
        <is>
          <t>NIS</t>
        </is>
      </c>
      <c r="K344">
        <v>108190403</v>
      </c>
      <c r="L344" s="2">
        <v>45871</v>
      </c>
      <c r="M344">
        <v>1</v>
      </c>
      <c r="N344">
        <v>1</v>
      </c>
      <c r="O344">
        <v>0</v>
      </c>
      <c r="P344">
        <v>1</v>
      </c>
      <c r="Q344" t="inlineStr">
        <is>
          <t>O</t>
        </is>
      </c>
    </row>
    <row r="345">
      <c r="A345" t="inlineStr">
        <is>
          <t>CREEDMOOR</t>
        </is>
      </c>
      <c r="B345" t="inlineStr">
        <is>
          <t>MAIN</t>
        </is>
      </c>
      <c r="C345">
        <v>0.009</v>
      </c>
      <c r="D345" t="inlineStr">
        <is>
          <t>S</t>
        </is>
      </c>
      <c r="E345" t="inlineStr">
        <is>
          <t>MASONIC</t>
        </is>
      </c>
      <c r="F345" t="inlineStr">
        <is>
          <t>*LCL W SANDERFORD ST</t>
        </is>
      </c>
      <c r="G345" t="inlineStr">
        <is>
          <t>NC 50</t>
        </is>
      </c>
      <c r="H345">
        <v>2.987</v>
      </c>
      <c r="J345" s="604" t="inlineStr">
        <is>
          <t>NIS</t>
        </is>
      </c>
      <c r="K345">
        <v>108192337</v>
      </c>
      <c r="L345" s="2">
        <v>45874</v>
      </c>
      <c r="M345">
        <v>1</v>
      </c>
      <c r="N345">
        <v>1</v>
      </c>
      <c r="O345">
        <v>0</v>
      </c>
      <c r="P345">
        <v>4</v>
      </c>
      <c r="Q345" t="inlineStr">
        <is>
          <t>O</t>
        </is>
      </c>
    </row>
    <row r="346">
      <c r="A346" t="inlineStr">
        <is>
          <t>CREEDMOOR</t>
        </is>
      </c>
      <c r="B346" t="inlineStr">
        <is>
          <t>MAIN</t>
        </is>
      </c>
      <c r="C346">
        <v>0.066</v>
      </c>
      <c r="D346" t="inlineStr">
        <is>
          <t>SW</t>
        </is>
      </c>
      <c r="E346" t="inlineStr">
        <is>
          <t>MOSS</t>
        </is>
      </c>
      <c r="F346" t="inlineStr">
        <is>
          <t>*LCL HOLLY CREEK LANDING</t>
        </is>
      </c>
      <c r="G346" t="inlineStr">
        <is>
          <t>SR 1639</t>
        </is>
      </c>
      <c r="H346">
        <v>0.359</v>
      </c>
      <c r="J346" s="604" t="inlineStr">
        <is>
          <t>NIS</t>
        </is>
      </c>
      <c r="K346">
        <v>108196362</v>
      </c>
      <c r="L346" s="2">
        <v>45874</v>
      </c>
      <c r="M346">
        <v>18</v>
      </c>
      <c r="N346">
        <v>1</v>
      </c>
      <c r="O346">
        <v>0</v>
      </c>
      <c r="P346">
        <v>1</v>
      </c>
      <c r="Q346" t="inlineStr">
        <is>
          <t>C</t>
        </is>
      </c>
    </row>
    <row r="347">
      <c r="A347" t="inlineStr">
        <is>
          <t>RURAL</t>
        </is>
      </c>
      <c r="B347" t="inlineStr">
        <is>
          <t>SR 1522</t>
        </is>
      </c>
      <c r="C347">
        <v>0.25</v>
      </c>
      <c r="D347" t="inlineStr">
        <is>
          <t>W</t>
        </is>
      </c>
      <c r="E347" t="inlineStr">
        <is>
          <t>CL-VANCE</t>
        </is>
      </c>
      <c r="F347" t="inlineStr">
        <is>
          <t>AIRPORT</t>
        </is>
      </c>
      <c r="G347" t="inlineStr">
        <is>
          <t>SR 1522</t>
        </is>
      </c>
      <c r="H347">
        <v>4.761</v>
      </c>
      <c r="J347" s="604" t="inlineStr">
        <is>
          <t>NIS</t>
        </is>
      </c>
      <c r="K347">
        <v>108195324</v>
      </c>
      <c r="L347" s="2">
        <v>45875</v>
      </c>
      <c r="M347">
        <v>19</v>
      </c>
      <c r="N347">
        <v>2</v>
      </c>
      <c r="O347">
        <v>0</v>
      </c>
      <c r="P347">
        <v>1</v>
      </c>
      <c r="Q347" t="inlineStr">
        <is>
          <t>O</t>
        </is>
      </c>
    </row>
    <row r="348">
      <c r="A348" t="inlineStr">
        <is>
          <t>RURAL</t>
        </is>
      </c>
      <c r="B348" t="inlineStr">
        <is>
          <t>US 158</t>
        </is>
      </c>
      <c r="C348">
        <v>0.0</v>
      </c>
      <c r="E348" t="inlineStr">
        <is>
          <t>SR 1602</t>
        </is>
      </c>
      <c r="F348" t="inlineStr">
        <is>
          <t>SR 1521</t>
        </is>
      </c>
      <c r="G348" t="inlineStr">
        <is>
          <t>US 158</t>
        </is>
      </c>
      <c r="H348">
        <v>999.999</v>
      </c>
      <c r="J348" s="604" t="inlineStr">
        <is>
          <t>NIS</t>
        </is>
      </c>
      <c r="K348">
        <v>108205786</v>
      </c>
      <c r="L348" s="2">
        <v>45880</v>
      </c>
      <c r="M348">
        <v>23</v>
      </c>
      <c r="N348">
        <v>1</v>
      </c>
      <c r="O348">
        <v>7</v>
      </c>
      <c r="P348">
        <v>1</v>
      </c>
      <c r="Q348" t="inlineStr">
        <is>
          <t>C</t>
        </is>
      </c>
      <c r="R348">
        <v>36.313276</v>
      </c>
      <c r="S348">
        <v>-78.55295</v>
      </c>
      <c r="T348" t="inlineStr">
        <is>
          <t>DMV349CLEANED</t>
        </is>
      </c>
      <c r="V348">
        <v>1.927149469402211</v>
      </c>
    </row>
    <row r="349">
      <c r="A349" t="inlineStr">
        <is>
          <t>OXFORD</t>
        </is>
      </c>
      <c r="B349" t="inlineStr">
        <is>
          <t>GILLIAM</t>
        </is>
      </c>
      <c r="C349">
        <v>0.0</v>
      </c>
      <c r="E349" t="inlineStr">
        <is>
          <t>SPRING</t>
        </is>
      </c>
      <c r="F349" t="inlineStr">
        <is>
          <t>WILLIAMSBORO</t>
        </is>
      </c>
      <c r="G349" t="inlineStr">
        <is>
          <t>GILLIAM</t>
        </is>
      </c>
      <c r="H349">
        <v>0.21</v>
      </c>
      <c r="J349" s="604" t="inlineStr">
        <is>
          <t>NIS</t>
        </is>
      </c>
      <c r="K349">
        <v>108202264</v>
      </c>
      <c r="L349" s="2">
        <v>45884</v>
      </c>
      <c r="M349">
        <v>30</v>
      </c>
      <c r="N349">
        <v>1</v>
      </c>
      <c r="O349">
        <v>7</v>
      </c>
      <c r="P349">
        <v>1</v>
      </c>
      <c r="Q349" t="inlineStr">
        <is>
          <t>O</t>
        </is>
      </c>
    </row>
    <row r="350">
      <c r="A350" t="inlineStr">
        <is>
          <t>OXFORD</t>
        </is>
      </c>
      <c r="B350" t="inlineStr">
        <is>
          <t>SPRING</t>
        </is>
      </c>
      <c r="C350">
        <v>0.0</v>
      </c>
      <c r="E350" t="inlineStr">
        <is>
          <t>LEWIS</t>
        </is>
      </c>
      <c r="F350" t="inlineStr">
        <is>
          <t>LEWIS</t>
        </is>
      </c>
      <c r="G350" t="inlineStr">
        <is>
          <t>SPRING</t>
        </is>
      </c>
      <c r="H350">
        <v>999.999</v>
      </c>
      <c r="J350" s="604" t="inlineStr">
        <is>
          <t>NIS</t>
        </is>
      </c>
      <c r="K350">
        <v>108211507</v>
      </c>
      <c r="L350" s="2">
        <v>45895</v>
      </c>
      <c r="M350">
        <v>30</v>
      </c>
      <c r="N350">
        <v>1</v>
      </c>
      <c r="O350">
        <v>7</v>
      </c>
      <c r="P350">
        <v>4</v>
      </c>
      <c r="Q350" t="inlineStr">
        <is>
          <t>O</t>
        </is>
      </c>
    </row>
    <row r="351">
      <c r="A351" t="inlineStr">
        <is>
          <t>RURAL</t>
        </is>
      </c>
      <c r="B351" t="inlineStr">
        <is>
          <t>US 158</t>
        </is>
      </c>
      <c r="C351">
        <v>0.027</v>
      </c>
      <c r="D351" t="inlineStr">
        <is>
          <t>N</t>
        </is>
      </c>
      <c r="E351" t="inlineStr">
        <is>
          <t>SR 1602</t>
        </is>
      </c>
      <c r="F351" t="inlineStr">
        <is>
          <t>SR 1522</t>
        </is>
      </c>
      <c r="G351" t="inlineStr">
        <is>
          <t>US 158</t>
        </is>
      </c>
      <c r="H351">
        <v>999.999</v>
      </c>
      <c r="J351" s="604" t="inlineStr">
        <is>
          <t>NIS</t>
        </is>
      </c>
      <c r="K351">
        <v>108231920</v>
      </c>
      <c r="L351" s="2">
        <v>45909</v>
      </c>
      <c r="M351">
        <v>28</v>
      </c>
      <c r="N351">
        <v>1</v>
      </c>
      <c r="O351">
        <v>0</v>
      </c>
      <c r="P351">
        <v>1</v>
      </c>
      <c r="Q351" t="inlineStr">
        <is>
          <t>O</t>
        </is>
      </c>
      <c r="R351">
        <v>36.313816</v>
      </c>
      <c r="S351">
        <v>-78.55307</v>
      </c>
      <c r="T351" t="inlineStr">
        <is>
          <t>DMV349CLEANED</t>
        </is>
      </c>
      <c r="V351">
        <v>1.9252252025128904</v>
      </c>
    </row>
    <row r="352">
      <c r="A352" t="inlineStr">
        <is>
          <t>OXFORD</t>
        </is>
      </c>
      <c r="B352" t="inlineStr">
        <is>
          <t>SPRING</t>
        </is>
      </c>
      <c r="C352">
        <v>0.0</v>
      </c>
      <c r="E352" t="inlineStr">
        <is>
          <t>GRANVILLE</t>
        </is>
      </c>
      <c r="F352" t="inlineStr">
        <is>
          <t>GRANVILLE</t>
        </is>
      </c>
      <c r="G352" t="inlineStr">
        <is>
          <t>SPRING</t>
        </is>
      </c>
      <c r="H352">
        <v>0.09</v>
      </c>
      <c r="J352" s="604" t="inlineStr">
        <is>
          <t>NIS</t>
        </is>
      </c>
      <c r="K352">
        <v>108242628</v>
      </c>
      <c r="L352" s="2">
        <v>45916</v>
      </c>
      <c r="M352">
        <v>2</v>
      </c>
      <c r="N352">
        <v>1</v>
      </c>
      <c r="O352">
        <v>0</v>
      </c>
      <c r="P352">
        <v>1</v>
      </c>
      <c r="Q352" t="inlineStr">
        <is>
          <t>C</t>
        </is>
      </c>
    </row>
    <row r="353">
      <c r="A353" t="inlineStr">
        <is>
          <t>RURAL</t>
        </is>
      </c>
      <c r="B353" t="inlineStr">
        <is>
          <t>US 158</t>
        </is>
      </c>
      <c r="C353">
        <v>0.0</v>
      </c>
      <c r="E353" t="inlineStr">
        <is>
          <t>SR 1522</t>
        </is>
      </c>
      <c r="F353" t="inlineStr">
        <is>
          <t>SR 1515</t>
        </is>
      </c>
      <c r="G353" t="inlineStr">
        <is>
          <t>US 158</t>
        </is>
      </c>
      <c r="H353">
        <v>14.055</v>
      </c>
      <c r="J353" s="604" t="inlineStr">
        <is>
          <t>NIS</t>
        </is>
      </c>
      <c r="K353">
        <v>108237122</v>
      </c>
      <c r="L353" s="2">
        <v>45919</v>
      </c>
      <c r="M353">
        <v>30</v>
      </c>
      <c r="N353">
        <v>1</v>
      </c>
      <c r="O353">
        <v>7</v>
      </c>
      <c r="P353">
        <v>1</v>
      </c>
      <c r="Q353" t="inlineStr">
        <is>
          <t>C</t>
        </is>
      </c>
    </row>
    <row r="354">
      <c r="A354" t="inlineStr">
        <is>
          <t>OXFORD</t>
        </is>
      </c>
      <c r="B354" t="inlineStr">
        <is>
          <t>SALEM</t>
        </is>
      </c>
      <c r="C354">
        <v>0.0</v>
      </c>
      <c r="E354" t="inlineStr">
        <is>
          <t>*PP 112 SALEM RD</t>
        </is>
      </c>
      <c r="F354" t="inlineStr">
        <is>
          <t>SALEM</t>
        </is>
      </c>
      <c r="H354">
        <v>999.999</v>
      </c>
      <c r="J354" s="604" t="inlineStr">
        <is>
          <t>NIS</t>
        </is>
      </c>
      <c r="K354">
        <v>108246336</v>
      </c>
      <c r="L354" s="2">
        <v>45929</v>
      </c>
      <c r="M354">
        <v>31</v>
      </c>
      <c r="N354">
        <v>2</v>
      </c>
      <c r="O354">
        <v>0</v>
      </c>
      <c r="P354">
        <v>1</v>
      </c>
    </row>
    <row r="355">
      <c r="A355" t="inlineStr">
        <is>
          <t>RURAL</t>
        </is>
      </c>
      <c r="B355" t="inlineStr">
        <is>
          <t>US 158</t>
        </is>
      </c>
      <c r="C355">
        <v>0.009</v>
      </c>
      <c r="D355" t="inlineStr">
        <is>
          <t>E</t>
        </is>
      </c>
      <c r="E355" t="inlineStr">
        <is>
          <t>SR 1602</t>
        </is>
      </c>
      <c r="F355" t="inlineStr">
        <is>
          <t>SR 1521</t>
        </is>
      </c>
      <c r="G355" t="inlineStr">
        <is>
          <t>US 158</t>
        </is>
      </c>
      <c r="H355">
        <v>999.999</v>
      </c>
      <c r="J355" s="604" t="inlineStr">
        <is>
          <t>NIS</t>
        </is>
      </c>
      <c r="K355">
        <v>108254741</v>
      </c>
      <c r="L355" s="2">
        <v>45931</v>
      </c>
      <c r="M355">
        <v>24</v>
      </c>
      <c r="N355">
        <v>1</v>
      </c>
      <c r="O355">
        <v>7</v>
      </c>
      <c r="P355">
        <v>1</v>
      </c>
      <c r="Q355" t="inlineStr">
        <is>
          <t>O</t>
        </is>
      </c>
      <c r="R355">
        <v>36.313406</v>
      </c>
      <c r="S355">
        <v>-78.55273</v>
      </c>
      <c r="T355" t="inlineStr">
        <is>
          <t>DMV349CLEANED</t>
        </is>
      </c>
      <c r="V355">
        <v>1.9403739751093447</v>
      </c>
    </row>
    <row r="356">
      <c r="A356" t="inlineStr">
        <is>
          <t>CREEDMOOR</t>
        </is>
      </c>
      <c r="B356" t="inlineStr">
        <is>
          <t>MAIN</t>
        </is>
      </c>
      <c r="C356">
        <v>0.015</v>
      </c>
      <c r="D356" t="inlineStr">
        <is>
          <t>S</t>
        </is>
      </c>
      <c r="E356" t="inlineStr">
        <is>
          <t>FLEMING</t>
        </is>
      </c>
      <c r="G356" t="inlineStr">
        <is>
          <t>NC 50</t>
        </is>
      </c>
      <c r="H356">
        <v>3.111</v>
      </c>
      <c r="J356" s="604" t="inlineStr">
        <is>
          <t>NIS</t>
        </is>
      </c>
      <c r="K356">
        <v>108287261</v>
      </c>
      <c r="L356" s="2">
        <v>45953</v>
      </c>
      <c r="M356">
        <v>21</v>
      </c>
      <c r="N356">
        <v>1</v>
      </c>
      <c r="O356">
        <v>0</v>
      </c>
      <c r="P356">
        <v>1</v>
      </c>
      <c r="Q356" t="inlineStr">
        <is>
          <t>C</t>
        </is>
      </c>
    </row>
    <row r="357">
      <c r="A357" t="inlineStr">
        <is>
          <t>CREEDMOOR</t>
        </is>
      </c>
      <c r="B357" t="inlineStr">
        <is>
          <t>DOUGLAS</t>
        </is>
      </c>
      <c r="C357">
        <v>0.0</v>
      </c>
      <c r="E357" t="inlineStr">
        <is>
          <t>MAIN</t>
        </is>
      </c>
      <c r="F357" t="inlineStr">
        <is>
          <t>MAIN</t>
        </is>
      </c>
      <c r="G357" t="inlineStr">
        <is>
          <t>NC 50</t>
        </is>
      </c>
      <c r="H357">
        <v>3.226</v>
      </c>
      <c r="J357" s="604" t="inlineStr">
        <is>
          <t>NIS</t>
        </is>
      </c>
      <c r="K357">
        <v>108332317</v>
      </c>
      <c r="L357" s="2">
        <v>45961</v>
      </c>
      <c r="M357">
        <v>24</v>
      </c>
      <c r="N357">
        <v>1</v>
      </c>
      <c r="O357">
        <v>0</v>
      </c>
      <c r="P357">
        <v>1</v>
      </c>
      <c r="Q357" t="inlineStr">
        <is>
          <t>O</t>
        </is>
      </c>
    </row>
    <row r="358">
      <c r="A358" t="inlineStr">
        <is>
          <t>RURAL</t>
        </is>
      </c>
      <c r="B358" t="inlineStr">
        <is>
          <t>SR 1522</t>
        </is>
      </c>
      <c r="C358">
        <v>0.2</v>
      </c>
      <c r="D358" t="inlineStr">
        <is>
          <t>NE</t>
        </is>
      </c>
      <c r="E358" t="inlineStr">
        <is>
          <t>SR 1533</t>
        </is>
      </c>
      <c r="F358" t="inlineStr">
        <is>
          <t>CL-VANCE</t>
        </is>
      </c>
      <c r="G358" t="inlineStr">
        <is>
          <t>SR 1522</t>
        </is>
      </c>
      <c r="H358">
        <v>4.306</v>
      </c>
      <c r="J358" s="604" t="inlineStr">
        <is>
          <t>NIS</t>
        </is>
      </c>
      <c r="K358">
        <v>108288938</v>
      </c>
      <c r="L358" s="2">
        <v>45962</v>
      </c>
      <c r="M358">
        <v>5</v>
      </c>
      <c r="N358">
        <v>1</v>
      </c>
      <c r="O358">
        <v>0</v>
      </c>
      <c r="P358">
        <v>1</v>
      </c>
      <c r="Q358" t="inlineStr">
        <is>
          <t>O</t>
        </is>
      </c>
    </row>
    <row r="359">
      <c r="A359" t="inlineStr">
        <is>
          <t>RURAL</t>
        </is>
      </c>
      <c r="B359" t="inlineStr">
        <is>
          <t>SR 1522</t>
        </is>
      </c>
      <c r="C359">
        <v>0.2</v>
      </c>
      <c r="D359" t="inlineStr">
        <is>
          <t>N</t>
        </is>
      </c>
      <c r="E359" t="inlineStr">
        <is>
          <t>SR 1515</t>
        </is>
      </c>
      <c r="F359" t="inlineStr">
        <is>
          <t>SR 1523</t>
        </is>
      </c>
      <c r="G359" t="inlineStr">
        <is>
          <t>SR 1522</t>
        </is>
      </c>
      <c r="H359">
        <v>1.408</v>
      </c>
      <c r="J359" s="604" t="inlineStr">
        <is>
          <t>NIS</t>
        </is>
      </c>
      <c r="K359">
        <v>108307988</v>
      </c>
      <c r="L359" s="2">
        <v>45976</v>
      </c>
      <c r="M359">
        <v>5</v>
      </c>
      <c r="N359">
        <v>1</v>
      </c>
      <c r="O359">
        <v>0</v>
      </c>
      <c r="P359">
        <v>1</v>
      </c>
      <c r="Q359" t="inlineStr">
        <is>
          <t>O</t>
        </is>
      </c>
    </row>
    <row r="360">
      <c r="A360" t="inlineStr">
        <is>
          <t>CREEDMOOR</t>
        </is>
      </c>
      <c r="B360" t="inlineStr">
        <is>
          <t>NC 56</t>
        </is>
      </c>
      <c r="C360">
        <v>0.0</v>
      </c>
      <c r="E360" t="inlineStr">
        <is>
          <t>MAIN</t>
        </is>
      </c>
      <c r="F360" t="inlineStr">
        <is>
          <t>DOUGLAS</t>
        </is>
      </c>
      <c r="G360" t="inlineStr">
        <is>
          <t>NC 50</t>
        </is>
      </c>
      <c r="H360">
        <v>3.284</v>
      </c>
      <c r="J360" s="604" t="inlineStr">
        <is>
          <t>NIS</t>
        </is>
      </c>
      <c r="K360">
        <v>108321102</v>
      </c>
      <c r="L360" s="2">
        <v>45981</v>
      </c>
      <c r="M360">
        <v>30</v>
      </c>
      <c r="N360">
        <v>1</v>
      </c>
      <c r="O360">
        <v>7</v>
      </c>
      <c r="P360">
        <v>2</v>
      </c>
      <c r="Q360" t="inlineStr">
        <is>
          <t>C</t>
        </is>
      </c>
    </row>
    <row r="361">
      <c r="A361" t="inlineStr">
        <is>
          <t>OXFORD</t>
        </is>
      </c>
      <c r="B361" t="inlineStr">
        <is>
          <t>MAIN</t>
        </is>
      </c>
      <c r="C361">
        <v>0.0</v>
      </c>
      <c r="E361" t="inlineStr">
        <is>
          <t>FRONT</t>
        </is>
      </c>
      <c r="F361" t="inlineStr">
        <is>
          <t>MAIN</t>
        </is>
      </c>
      <c r="G361" t="inlineStr">
        <is>
          <t>SR 1602</t>
        </is>
      </c>
      <c r="H361">
        <v>1.149</v>
      </c>
      <c r="J361" s="604" t="inlineStr">
        <is>
          <t>NIS</t>
        </is>
      </c>
      <c r="K361">
        <v>108324306</v>
      </c>
      <c r="L361" s="2">
        <v>45992</v>
      </c>
      <c r="M361">
        <v>1</v>
      </c>
      <c r="N361">
        <v>1</v>
      </c>
      <c r="O361">
        <v>0</v>
      </c>
      <c r="P361">
        <v>1</v>
      </c>
    </row>
    <row r="362">
      <c r="A362" t="inlineStr">
        <is>
          <t>OXFORD</t>
        </is>
      </c>
      <c r="B362" t="inlineStr">
        <is>
          <t>WILLIAMSBORO</t>
        </is>
      </c>
      <c r="C362">
        <v>0.0</v>
      </c>
      <c r="E362" t="inlineStr">
        <is>
          <t>SPRING</t>
        </is>
      </c>
      <c r="F362" t="inlineStr">
        <is>
          <t>SPRING</t>
        </is>
      </c>
      <c r="G362" t="inlineStr">
        <is>
          <t>US 158BUS</t>
        </is>
      </c>
      <c r="H362">
        <v>2.685</v>
      </c>
      <c r="J362" s="604" t="inlineStr">
        <is>
          <t>NIS</t>
        </is>
      </c>
      <c r="K362">
        <v>108334601</v>
      </c>
      <c r="L362" s="2">
        <v>46004</v>
      </c>
      <c r="M362">
        <v>1</v>
      </c>
      <c r="N362">
        <v>1</v>
      </c>
      <c r="O362">
        <v>0</v>
      </c>
      <c r="P362">
        <v>1</v>
      </c>
      <c r="Q362" t="inlineStr">
        <is>
          <t>O</t>
        </is>
      </c>
    </row>
    <row r="363">
      <c r="A363" t="inlineStr">
        <is>
          <t>RURAL</t>
        </is>
      </c>
      <c r="B363" t="inlineStr">
        <is>
          <t>SR 1602</t>
        </is>
      </c>
      <c r="C363">
        <v>0.23</v>
      </c>
      <c r="D363" t="inlineStr">
        <is>
          <t>N</t>
        </is>
      </c>
      <c r="E363" t="inlineStr">
        <is>
          <t>MALULI</t>
        </is>
      </c>
      <c r="F363" t="inlineStr">
        <is>
          <t>US 158</t>
        </is>
      </c>
      <c r="G363" t="inlineStr">
        <is>
          <t>SR 1602</t>
        </is>
      </c>
      <c r="H363">
        <v>999.999</v>
      </c>
      <c r="J363" s="604" t="inlineStr">
        <is>
          <t>NIS</t>
        </is>
      </c>
      <c r="K363">
        <v>108357712</v>
      </c>
      <c r="L363" s="2">
        <v>46020</v>
      </c>
      <c r="M363">
        <v>28</v>
      </c>
      <c r="N363">
        <v>1</v>
      </c>
      <c r="O363">
        <v>0</v>
      </c>
      <c r="P363">
        <v>1</v>
      </c>
      <c r="Q363" t="inlineStr">
        <is>
          <t>O</t>
        </is>
      </c>
      <c r="R363">
        <v>36.309411</v>
      </c>
      <c r="S363">
        <v>-78.55524</v>
      </c>
      <c r="T363" t="inlineStr">
        <is>
          <t>DMV349CLEANED</t>
        </is>
      </c>
      <c r="V363">
        <v>1.7870833391980847</v>
      </c>
    </row>
    <row r="364">
      <c r="A364" t="inlineStr">
        <is>
          <t>CREEDMOOR</t>
        </is>
      </c>
      <c r="B364" t="inlineStr">
        <is>
          <t>MAIN</t>
        </is>
      </c>
      <c r="C364">
        <v>0.0</v>
      </c>
      <c r="E364" t="inlineStr">
        <is>
          <t>NC 50</t>
        </is>
      </c>
      <c r="F364" t="inlineStr">
        <is>
          <t>NC 50</t>
        </is>
      </c>
      <c r="G364" t="inlineStr">
        <is>
          <t>NC 50</t>
        </is>
      </c>
      <c r="H364">
        <v>3.285</v>
      </c>
      <c r="J364" s="604" t="inlineStr">
        <is>
          <t>NIS</t>
        </is>
      </c>
      <c r="K364">
        <v>108357308</v>
      </c>
      <c r="L364" s="2">
        <v>46021</v>
      </c>
      <c r="M364">
        <v>21</v>
      </c>
      <c r="N364">
        <v>1</v>
      </c>
      <c r="O364">
        <v>0</v>
      </c>
      <c r="P364">
        <v>1</v>
      </c>
      <c r="Q364" t="inlineStr">
        <is>
          <t>O</t>
        </is>
      </c>
    </row>
    <row r="365">
      <c r="A365" t="inlineStr">
        <is>
          <t>CREEDMOOR</t>
        </is>
      </c>
      <c r="B365" t="inlineStr">
        <is>
          <t>MAIN</t>
        </is>
      </c>
      <c r="C365">
        <v>0.038</v>
      </c>
      <c r="D365" t="inlineStr">
        <is>
          <t>N</t>
        </is>
      </c>
      <c r="E365" t="inlineStr">
        <is>
          <t>*LCL W SANDERFORD ST</t>
        </is>
      </c>
      <c r="F365" t="inlineStr">
        <is>
          <t>MASONIC</t>
        </is>
      </c>
      <c r="H365">
        <v>999.999</v>
      </c>
      <c r="J365" s="604" t="inlineStr">
        <is>
          <t>NIS</t>
        </is>
      </c>
      <c r="K365">
        <v>108393847</v>
      </c>
      <c r="L365" s="2">
        <v>46027</v>
      </c>
      <c r="M365">
        <v>13</v>
      </c>
      <c r="N365">
        <v>1</v>
      </c>
      <c r="O365">
        <v>0</v>
      </c>
      <c r="P365">
        <v>4</v>
      </c>
      <c r="Q365" t="inlineStr">
        <is>
          <t>O</t>
        </is>
      </c>
    </row>
    <row r="366">
      <c r="A366" t="inlineStr">
        <is>
          <t>RURAL</t>
        </is>
      </c>
      <c r="B366" t="inlineStr">
        <is>
          <t>SR 1522</t>
        </is>
      </c>
      <c r="C366">
        <v>0.0</v>
      </c>
      <c r="E366" t="inlineStr">
        <is>
          <t>US 158</t>
        </is>
      </c>
      <c r="F366" t="inlineStr">
        <is>
          <t>SR 1513</t>
        </is>
      </c>
      <c r="G366" t="inlineStr">
        <is>
          <t>SR 1522</t>
        </is>
      </c>
      <c r="H366">
        <v>0.882</v>
      </c>
      <c r="J366" s="604" t="inlineStr">
        <is>
          <t>NIS</t>
        </is>
      </c>
      <c r="K366">
        <v>108365462</v>
      </c>
      <c r="L366" s="2">
        <v>46029</v>
      </c>
      <c r="M366">
        <v>18</v>
      </c>
      <c r="N366">
        <v>1</v>
      </c>
      <c r="O366">
        <v>7</v>
      </c>
      <c r="P366">
        <v>1</v>
      </c>
      <c r="Q366" t="inlineStr">
        <is>
          <t>O</t>
        </is>
      </c>
    </row>
    <row r="367">
      <c r="A367" t="inlineStr">
        <is>
          <t>OXFORD</t>
        </is>
      </c>
      <c r="B367" t="inlineStr">
        <is>
          <t>SALEM</t>
        </is>
      </c>
      <c r="C367">
        <v>0.0</v>
      </c>
      <c r="E367" t="inlineStr">
        <is>
          <t>WILLIAMSBORO</t>
        </is>
      </c>
      <c r="F367" t="inlineStr">
        <is>
          <t>WILLIAMSBORO</t>
        </is>
      </c>
      <c r="G367" t="inlineStr">
        <is>
          <t>US 158BUS</t>
        </is>
      </c>
      <c r="H367">
        <v>2.685</v>
      </c>
      <c r="J367" s="604" t="inlineStr">
        <is>
          <t>NIS</t>
        </is>
      </c>
      <c r="K367">
        <v>108383499</v>
      </c>
      <c r="L367" s="2">
        <v>46038</v>
      </c>
      <c r="M367">
        <v>24</v>
      </c>
      <c r="N367">
        <v>1</v>
      </c>
      <c r="O367">
        <v>7</v>
      </c>
      <c r="P367">
        <v>1</v>
      </c>
      <c r="Q367" t="inlineStr">
        <is>
          <t>O</t>
        </is>
      </c>
    </row>
    <row r="368">
      <c r="A368" t="inlineStr">
        <is>
          <t>CREEDMOOR</t>
        </is>
      </c>
      <c r="B368" t="inlineStr">
        <is>
          <t>MAIN</t>
        </is>
      </c>
      <c r="C368">
        <v>0.0</v>
      </c>
      <c r="E368" t="inlineStr">
        <is>
          <t>LION</t>
        </is>
      </c>
      <c r="F368" t="inlineStr">
        <is>
          <t>NC 56</t>
        </is>
      </c>
      <c r="G368" t="inlineStr">
        <is>
          <t>NC 50</t>
        </is>
      </c>
      <c r="H368">
        <v>2.937</v>
      </c>
      <c r="J368" s="604" t="inlineStr">
        <is>
          <t>NIS</t>
        </is>
      </c>
      <c r="K368">
        <v>108402133</v>
      </c>
      <c r="L368" s="2">
        <v>46063</v>
      </c>
      <c r="M368">
        <v>28</v>
      </c>
      <c r="N368">
        <v>1</v>
      </c>
      <c r="O368">
        <v>0</v>
      </c>
      <c r="P368">
        <v>1</v>
      </c>
      <c r="Q368" t="inlineStr">
        <is>
          <t>O</t>
        </is>
      </c>
    </row>
    <row r="369">
      <c r="A369" t="inlineStr">
        <is>
          <t>CREEDMOOR</t>
        </is>
      </c>
      <c r="B369" t="inlineStr">
        <is>
          <t>MAIN</t>
        </is>
      </c>
      <c r="C369">
        <v>0.009</v>
      </c>
      <c r="D369" t="inlineStr">
        <is>
          <t>S</t>
        </is>
      </c>
      <c r="E369" t="inlineStr">
        <is>
          <t>MASONIC</t>
        </is>
      </c>
      <c r="F369" t="inlineStr">
        <is>
          <t>SANDERFORD</t>
        </is>
      </c>
      <c r="G369" t="inlineStr">
        <is>
          <t>NC 50</t>
        </is>
      </c>
      <c r="H369">
        <v>2.987</v>
      </c>
      <c r="J369" s="604" t="inlineStr">
        <is>
          <t>NIS</t>
        </is>
      </c>
      <c r="K369">
        <v>108398245</v>
      </c>
      <c r="L369" s="2">
        <v>46064</v>
      </c>
      <c r="M369">
        <v>29</v>
      </c>
      <c r="N369">
        <v>1</v>
      </c>
      <c r="O369">
        <v>0</v>
      </c>
      <c r="P369">
        <v>1</v>
      </c>
      <c r="Q369" t="inlineStr">
        <is>
          <t>O</t>
        </is>
      </c>
    </row>
    <row r="370">
      <c r="A370" t="inlineStr">
        <is>
          <t>RURAL</t>
        </is>
      </c>
      <c r="B370" t="inlineStr">
        <is>
          <t>SR 1522</t>
        </is>
      </c>
      <c r="C370">
        <v>0.2</v>
      </c>
      <c r="D370" t="inlineStr">
        <is>
          <t>E</t>
        </is>
      </c>
      <c r="E370" t="inlineStr">
        <is>
          <t>SR 1525</t>
        </is>
      </c>
      <c r="F370" t="inlineStr">
        <is>
          <t>SR 1513</t>
        </is>
      </c>
      <c r="G370" t="inlineStr">
        <is>
          <t>SR 1522</t>
        </is>
      </c>
      <c r="H370">
        <v>2.684</v>
      </c>
      <c r="J370" s="604" t="inlineStr">
        <is>
          <t>NIS</t>
        </is>
      </c>
      <c r="K370">
        <v>108407980</v>
      </c>
      <c r="L370" s="2">
        <v>46071</v>
      </c>
      <c r="M370">
        <v>17</v>
      </c>
      <c r="N370">
        <v>1</v>
      </c>
      <c r="O370">
        <v>0</v>
      </c>
      <c r="P370">
        <v>5</v>
      </c>
      <c r="Q370" t="inlineStr">
        <is>
          <t>O</t>
        </is>
      </c>
    </row>
    <row r="371">
      <c r="A371" t="inlineStr">
        <is>
          <t>RURAL</t>
        </is>
      </c>
      <c r="B371" t="inlineStr">
        <is>
          <t>SR 1522</t>
        </is>
      </c>
      <c r="C371">
        <v>1.5</v>
      </c>
      <c r="D371" t="inlineStr">
        <is>
          <t>S</t>
        </is>
      </c>
      <c r="E371" t="inlineStr">
        <is>
          <t>SR 1521</t>
        </is>
      </c>
      <c r="F371" t="inlineStr">
        <is>
          <t>SR 1533</t>
        </is>
      </c>
      <c r="G371" t="inlineStr">
        <is>
          <t>SR 1522</t>
        </is>
      </c>
      <c r="H371">
        <v>1.604</v>
      </c>
      <c r="J371" s="604" t="inlineStr">
        <is>
          <t>NIS</t>
        </is>
      </c>
      <c r="K371">
        <v>108414530</v>
      </c>
      <c r="L371" s="2">
        <v>46072</v>
      </c>
      <c r="M371">
        <v>19</v>
      </c>
      <c r="N371">
        <v>2</v>
      </c>
      <c r="O371">
        <v>0</v>
      </c>
      <c r="P371">
        <v>5</v>
      </c>
      <c r="Q371" t="inlineStr">
        <is>
          <t>O</t>
        </is>
      </c>
    </row>
    <row r="372">
      <c r="A372" t="inlineStr">
        <is>
          <t>RURAL</t>
        </is>
      </c>
      <c r="B372" t="inlineStr">
        <is>
          <t>SR 1522</t>
        </is>
      </c>
      <c r="C372">
        <v>0.2</v>
      </c>
      <c r="D372" t="inlineStr">
        <is>
          <t>E</t>
        </is>
      </c>
      <c r="E372" t="inlineStr">
        <is>
          <t>SR 1533</t>
        </is>
      </c>
      <c r="F372" t="inlineStr">
        <is>
          <t>CL-VANCE</t>
        </is>
      </c>
      <c r="G372" t="inlineStr">
        <is>
          <t>SR 1522</t>
        </is>
      </c>
      <c r="H372">
        <v>4.306</v>
      </c>
      <c r="J372" s="604" t="inlineStr">
        <is>
          <t>NIS</t>
        </is>
      </c>
      <c r="K372">
        <v>108411395</v>
      </c>
      <c r="L372" s="2">
        <v>46076</v>
      </c>
      <c r="M372">
        <v>19</v>
      </c>
      <c r="N372">
        <v>1</v>
      </c>
      <c r="O372">
        <v>5</v>
      </c>
      <c r="P372">
        <v>3</v>
      </c>
      <c r="Q372" t="inlineStr">
        <is>
          <t>O</t>
        </is>
      </c>
    </row>
    <row r="373">
      <c r="A373" t="inlineStr">
        <is>
          <t>OXFORD</t>
        </is>
      </c>
      <c r="B373" t="inlineStr">
        <is>
          <t>MARTIN LUTHER KING</t>
        </is>
      </c>
      <c r="C373">
        <v>0.0</v>
      </c>
      <c r="E373" t="inlineStr">
        <is>
          <t>SPRING</t>
        </is>
      </c>
      <c r="F373" t="inlineStr">
        <is>
          <t>MARTIN LUTHER KING</t>
        </is>
      </c>
      <c r="G373" t="inlineStr">
        <is>
          <t>NC 96</t>
        </is>
      </c>
      <c r="H373">
        <v>17.59</v>
      </c>
      <c r="J373" s="604" t="inlineStr">
        <is>
          <t>NIS</t>
        </is>
      </c>
      <c r="K373">
        <v>108410554</v>
      </c>
      <c r="L373" s="2">
        <v>46077</v>
      </c>
      <c r="M373">
        <v>30</v>
      </c>
      <c r="N373">
        <v>1</v>
      </c>
      <c r="O373">
        <v>7</v>
      </c>
      <c r="P373">
        <v>1</v>
      </c>
      <c r="Q373" t="inlineStr">
        <is>
          <t>O</t>
        </is>
      </c>
    </row>
    <row r="374">
      <c r="A374" t="inlineStr">
        <is>
          <t>CREEDMOOR</t>
        </is>
      </c>
      <c r="B374" t="inlineStr">
        <is>
          <t>PVA FAMILY FARE STORE</t>
        </is>
      </c>
      <c r="C374">
        <v>0.0</v>
      </c>
      <c r="E374" t="inlineStr">
        <is>
          <t>MAIN</t>
        </is>
      </c>
      <c r="F374" t="inlineStr">
        <is>
          <t>MAIN</t>
        </is>
      </c>
      <c r="H374">
        <v>999.999</v>
      </c>
      <c r="J374" s="604" t="inlineStr">
        <is>
          <t>NIS</t>
        </is>
      </c>
      <c r="K374">
        <v>108457950</v>
      </c>
      <c r="L374" s="2">
        <v>46087</v>
      </c>
      <c r="M374">
        <v>31</v>
      </c>
      <c r="N374">
        <v>1</v>
      </c>
      <c r="O374">
        <v>0</v>
      </c>
      <c r="P374">
        <v>1</v>
      </c>
      <c r="Q374" t="inlineStr">
        <is>
          <t>O</t>
        </is>
      </c>
    </row>
    <row r="375">
      <c r="A375" t="inlineStr">
        <is>
          <t>RURAL</t>
        </is>
      </c>
      <c r="B375" t="inlineStr">
        <is>
          <t>SR 1521</t>
        </is>
      </c>
      <c r="C375">
        <v>0.0</v>
      </c>
      <c r="D375" t="inlineStr">
        <is>
          <t>N</t>
        </is>
      </c>
      <c r="E375" t="inlineStr">
        <is>
          <t>SR 1522</t>
        </is>
      </c>
      <c r="F375" t="inlineStr">
        <is>
          <t>SR 1520</t>
        </is>
      </c>
      <c r="G375" t="inlineStr">
        <is>
          <t>SR 1521</t>
        </is>
      </c>
      <c r="H375">
        <v>3.289</v>
      </c>
      <c r="J375" s="604" t="inlineStr">
        <is>
          <t>NIS</t>
        </is>
      </c>
      <c r="K375">
        <v>108433634</v>
      </c>
      <c r="L375" s="2">
        <v>46096</v>
      </c>
      <c r="M375">
        <v>17</v>
      </c>
      <c r="N375">
        <v>2</v>
      </c>
      <c r="O375">
        <v>0</v>
      </c>
      <c r="P375">
        <v>5</v>
      </c>
      <c r="Q375" t="inlineStr">
        <is>
          <t>O</t>
        </is>
      </c>
    </row>
    <row r="376">
      <c r="A376" t="inlineStr">
        <is>
          <t>CREEDMOOR</t>
        </is>
      </c>
      <c r="B376" t="inlineStr">
        <is>
          <t>MAIN</t>
        </is>
      </c>
      <c r="C376">
        <v>0.0</v>
      </c>
      <c r="E376" t="inlineStr">
        <is>
          <t>CHURCH</t>
        </is>
      </c>
      <c r="F376" t="inlineStr">
        <is>
          <t>ROGER</t>
        </is>
      </c>
      <c r="G376" t="inlineStr">
        <is>
          <t>NC 50</t>
        </is>
      </c>
      <c r="H376">
        <v>2.868</v>
      </c>
      <c r="J376" s="604" t="inlineStr">
        <is>
          <t>NIS</t>
        </is>
      </c>
      <c r="K376">
        <v>108458258</v>
      </c>
      <c r="L376" s="2">
        <v>46113</v>
      </c>
      <c r="M376">
        <v>30</v>
      </c>
      <c r="N376">
        <v>1</v>
      </c>
      <c r="O376">
        <v>7</v>
      </c>
      <c r="P376">
        <v>1</v>
      </c>
      <c r="Q376" t="inlineStr">
        <is>
          <t>O</t>
        </is>
      </c>
    </row>
    <row r="377">
      <c r="A377" t="inlineStr">
        <is>
          <t>OXFORD</t>
        </is>
      </c>
      <c r="B377" t="inlineStr">
        <is>
          <t>GRANVILLE</t>
        </is>
      </c>
      <c r="C377">
        <v>0.0</v>
      </c>
      <c r="E377" t="inlineStr">
        <is>
          <t>SPRING</t>
        </is>
      </c>
      <c r="F377" t="inlineStr">
        <is>
          <t>SYCAMORE</t>
        </is>
      </c>
      <c r="G377" t="inlineStr">
        <is>
          <t>SPRING</t>
        </is>
      </c>
      <c r="H377">
        <v>0.09</v>
      </c>
      <c r="J377" s="604" t="inlineStr">
        <is>
          <t>NIS</t>
        </is>
      </c>
      <c r="K377">
        <v>108460018</v>
      </c>
      <c r="L377" s="2">
        <v>46115</v>
      </c>
      <c r="M377">
        <v>23</v>
      </c>
      <c r="N377">
        <v>1</v>
      </c>
      <c r="O377">
        <v>7</v>
      </c>
      <c r="P377">
        <v>1</v>
      </c>
      <c r="Q377" t="inlineStr">
        <is>
          <t>C</t>
        </is>
      </c>
    </row>
    <row r="378">
      <c r="A378" t="inlineStr">
        <is>
          <t>OXFORD</t>
        </is>
      </c>
      <c r="B378" t="inlineStr">
        <is>
          <t>MAIN</t>
        </is>
      </c>
      <c r="C378">
        <v>0.0</v>
      </c>
      <c r="E378" t="inlineStr">
        <is>
          <t>COURT</t>
        </is>
      </c>
      <c r="F378" t="inlineStr">
        <is>
          <t>COURT</t>
        </is>
      </c>
      <c r="G378" t="inlineStr">
        <is>
          <t>SR 1602</t>
        </is>
      </c>
      <c r="H378">
        <v>1.477</v>
      </c>
      <c r="J378" s="604" t="inlineStr">
        <is>
          <t>NIS</t>
        </is>
      </c>
      <c r="K378">
        <v>108466832</v>
      </c>
      <c r="L378" s="2">
        <v>46128</v>
      </c>
      <c r="M378">
        <v>3</v>
      </c>
      <c r="N378">
        <v>1</v>
      </c>
      <c r="O378">
        <v>7</v>
      </c>
      <c r="P378">
        <v>1</v>
      </c>
      <c r="Q378" t="inlineStr">
        <is>
          <t>O</t>
        </is>
      </c>
    </row>
    <row r="379">
      <c r="A379" t="inlineStr">
        <is>
          <t>CREEDMOOR</t>
        </is>
      </c>
      <c r="B379" t="inlineStr">
        <is>
          <t>MAIN</t>
        </is>
      </c>
      <c r="C379">
        <v>0.006</v>
      </c>
      <c r="D379" t="inlineStr">
        <is>
          <t>S</t>
        </is>
      </c>
      <c r="E379" t="inlineStr">
        <is>
          <t>NC 56</t>
        </is>
      </c>
      <c r="F379" t="inlineStr">
        <is>
          <t>DOUGLAS</t>
        </is>
      </c>
      <c r="G379" t="inlineStr">
        <is>
          <t>NC 50</t>
        </is>
      </c>
      <c r="H379">
        <v>3.278</v>
      </c>
      <c r="J379" s="604" t="inlineStr">
        <is>
          <t>NIS</t>
        </is>
      </c>
      <c r="K379">
        <v>108484990</v>
      </c>
      <c r="L379" s="2">
        <v>46140</v>
      </c>
      <c r="M379">
        <v>21</v>
      </c>
      <c r="N379">
        <v>1</v>
      </c>
      <c r="O379">
        <v>0</v>
      </c>
      <c r="P379">
        <v>1</v>
      </c>
      <c r="Q379" t="inlineStr">
        <is>
          <t>O</t>
        </is>
      </c>
    </row>
    <row r="380">
      <c r="A380" t="inlineStr">
        <is>
          <t>OXFORD</t>
        </is>
      </c>
      <c r="B380" t="inlineStr">
        <is>
          <t>LEWIS</t>
        </is>
      </c>
      <c r="C380">
        <v>0.0</v>
      </c>
      <c r="E380" t="inlineStr">
        <is>
          <t>SPRING</t>
        </is>
      </c>
      <c r="F380" t="inlineStr">
        <is>
          <t>LEWIS</t>
        </is>
      </c>
      <c r="G380" t="inlineStr">
        <is>
          <t>US 15</t>
        </is>
      </c>
      <c r="H380">
        <v>20.498</v>
      </c>
      <c r="J380" s="604" t="inlineStr">
        <is>
          <t>NIS</t>
        </is>
      </c>
      <c r="K380">
        <v>108498369</v>
      </c>
      <c r="L380" s="2">
        <v>46144</v>
      </c>
      <c r="M380">
        <v>30</v>
      </c>
      <c r="N380">
        <v>1</v>
      </c>
      <c r="O380">
        <v>0</v>
      </c>
      <c r="P380">
        <v>1</v>
      </c>
      <c r="Q380" t="inlineStr">
        <is>
          <t>O</t>
        </is>
      </c>
    </row>
    <row r="381">
      <c r="A381" t="inlineStr">
        <is>
          <t>CREEDMOOR</t>
        </is>
      </c>
      <c r="B381" t="inlineStr">
        <is>
          <t>MAIN</t>
        </is>
      </c>
      <c r="C381">
        <v>0.0</v>
      </c>
      <c r="E381" t="inlineStr">
        <is>
          <t>MAIN</t>
        </is>
      </c>
      <c r="F381" t="inlineStr">
        <is>
          <t>*LCL W SANDERFORD ST</t>
        </is>
      </c>
      <c r="G381" t="inlineStr">
        <is>
          <t>SR 1127</t>
        </is>
      </c>
      <c r="H381">
        <v>5.073</v>
      </c>
      <c r="J381" s="604" t="inlineStr">
        <is>
          <t>NIS</t>
        </is>
      </c>
      <c r="K381">
        <v>108492798</v>
      </c>
      <c r="L381" s="2">
        <v>46148</v>
      </c>
      <c r="M381">
        <v>28</v>
      </c>
      <c r="N381">
        <v>1</v>
      </c>
      <c r="O381">
        <v>0</v>
      </c>
      <c r="P381">
        <v>1</v>
      </c>
      <c r="Q381" t="inlineStr">
        <is>
          <t>O</t>
        </is>
      </c>
    </row>
    <row r="382">
      <c r="A382" t="inlineStr">
        <is>
          <t>CREEDMOOR</t>
        </is>
      </c>
      <c r="B382" t="inlineStr">
        <is>
          <t>MAIN</t>
        </is>
      </c>
      <c r="C382">
        <v>0.0</v>
      </c>
      <c r="E382" t="inlineStr">
        <is>
          <t>*LCL W SANDERFORD ST</t>
        </is>
      </c>
      <c r="F382" t="inlineStr">
        <is>
          <t>MAIN</t>
        </is>
      </c>
      <c r="H382">
        <v>999.999</v>
      </c>
      <c r="J382" s="604" t="inlineStr">
        <is>
          <t>NIS</t>
        </is>
      </c>
      <c r="K382">
        <v>108551459</v>
      </c>
      <c r="L382" s="2">
        <v>46148</v>
      </c>
      <c r="M382">
        <v>28</v>
      </c>
      <c r="N382">
        <v>1</v>
      </c>
      <c r="O382">
        <v>0</v>
      </c>
      <c r="P382">
        <v>1</v>
      </c>
      <c r="Q382" t="inlineStr">
        <is>
          <t>O</t>
        </is>
      </c>
    </row>
    <row r="383">
      <c r="A383" t="inlineStr">
        <is>
          <t>CREEDMOOR</t>
        </is>
      </c>
      <c r="B383" t="inlineStr">
        <is>
          <t>MAIN</t>
        </is>
      </c>
      <c r="C383">
        <v>0.0</v>
      </c>
      <c r="E383" t="inlineStr">
        <is>
          <t>LION</t>
        </is>
      </c>
      <c r="F383" t="inlineStr">
        <is>
          <t>LION</t>
        </is>
      </c>
      <c r="G383" t="inlineStr">
        <is>
          <t>NC 50</t>
        </is>
      </c>
      <c r="H383">
        <v>2.937</v>
      </c>
      <c r="J383" s="604" t="inlineStr">
        <is>
          <t>NIS</t>
        </is>
      </c>
      <c r="K383">
        <v>108506608</v>
      </c>
      <c r="L383" s="2">
        <v>46164</v>
      </c>
      <c r="M383">
        <v>24</v>
      </c>
      <c r="N383">
        <v>2</v>
      </c>
      <c r="O383">
        <v>7</v>
      </c>
      <c r="P383">
        <v>1</v>
      </c>
      <c r="Q383" t="inlineStr">
        <is>
          <t>O</t>
        </is>
      </c>
    </row>
    <row r="384">
      <c r="A384" t="inlineStr">
        <is>
          <t>CREEDMOOR</t>
        </is>
      </c>
      <c r="B384" t="inlineStr">
        <is>
          <t>MAIN</t>
        </is>
      </c>
      <c r="C384">
        <v>0.021</v>
      </c>
      <c r="D384" t="inlineStr">
        <is>
          <t>N</t>
        </is>
      </c>
      <c r="E384" t="inlineStr">
        <is>
          <t>SANDERFORD</t>
        </is>
      </c>
      <c r="F384" t="inlineStr">
        <is>
          <t>MASONIC</t>
        </is>
      </c>
      <c r="G384" t="inlineStr">
        <is>
          <t>NC 50</t>
        </is>
      </c>
      <c r="H384">
        <v>2.987</v>
      </c>
      <c r="J384" s="604" t="inlineStr">
        <is>
          <t>NIS</t>
        </is>
      </c>
      <c r="K384">
        <v>108516973</v>
      </c>
      <c r="L384" s="2">
        <v>46168</v>
      </c>
      <c r="M384">
        <v>28</v>
      </c>
      <c r="N384">
        <v>2</v>
      </c>
      <c r="O384">
        <v>0</v>
      </c>
      <c r="P384">
        <v>1</v>
      </c>
    </row>
    <row r="385">
      <c r="A385" t="inlineStr">
        <is>
          <t>CREEDMOOR</t>
        </is>
      </c>
      <c r="B385" t="inlineStr">
        <is>
          <t>MAIN</t>
        </is>
      </c>
      <c r="C385">
        <v>0.0</v>
      </c>
      <c r="E385" t="inlineStr">
        <is>
          <t>DOUGLAS</t>
        </is>
      </c>
      <c r="F385" t="inlineStr">
        <is>
          <t>NC 56</t>
        </is>
      </c>
      <c r="G385" t="inlineStr">
        <is>
          <t>NC 50</t>
        </is>
      </c>
      <c r="H385">
        <v>3.226</v>
      </c>
      <c r="J385" s="604" t="inlineStr">
        <is>
          <t>NIS</t>
        </is>
      </c>
      <c r="K385">
        <v>108532983</v>
      </c>
      <c r="L385" s="2">
        <v>46178</v>
      </c>
      <c r="M385">
        <v>30</v>
      </c>
      <c r="N385">
        <v>1</v>
      </c>
      <c r="O385">
        <v>0</v>
      </c>
      <c r="P385">
        <v>1</v>
      </c>
      <c r="Q385" t="inlineStr">
        <is>
          <t>O</t>
        </is>
      </c>
    </row>
    <row r="386">
      <c r="A386" t="inlineStr">
        <is>
          <t>RURAL</t>
        </is>
      </c>
      <c r="B386" t="inlineStr">
        <is>
          <t>SR 1522</t>
        </is>
      </c>
      <c r="C386">
        <v>0.29</v>
      </c>
      <c r="D386" t="inlineStr">
        <is>
          <t>E</t>
        </is>
      </c>
      <c r="E386" t="inlineStr">
        <is>
          <t>SR 1521</t>
        </is>
      </c>
      <c r="F386" t="inlineStr">
        <is>
          <t>SR 1533</t>
        </is>
      </c>
      <c r="G386" t="inlineStr">
        <is>
          <t>SR 1522</t>
        </is>
      </c>
      <c r="H386">
        <v>3.394</v>
      </c>
      <c r="J386" s="604" t="inlineStr">
        <is>
          <t>NIS</t>
        </is>
      </c>
      <c r="K386">
        <v>108530730</v>
      </c>
      <c r="L386" s="2">
        <v>46187</v>
      </c>
      <c r="M386">
        <v>19</v>
      </c>
      <c r="N386">
        <v>1</v>
      </c>
      <c r="O386">
        <v>0</v>
      </c>
      <c r="P386">
        <v>1</v>
      </c>
      <c r="Q386" t="inlineStr">
        <is>
          <t>B</t>
        </is>
      </c>
    </row>
    <row r="387">
      <c r="A387" t="inlineStr">
        <is>
          <t>RURAL</t>
        </is>
      </c>
      <c r="B387" t="inlineStr">
        <is>
          <t>SR 1522</t>
        </is>
      </c>
      <c r="C387">
        <v>0.29</v>
      </c>
      <c r="D387" t="inlineStr">
        <is>
          <t>E</t>
        </is>
      </c>
      <c r="E387" t="inlineStr">
        <is>
          <t>SR 1521</t>
        </is>
      </c>
      <c r="F387" t="inlineStr">
        <is>
          <t>SR 1533</t>
        </is>
      </c>
      <c r="G387" t="inlineStr">
        <is>
          <t>SR 1522</t>
        </is>
      </c>
      <c r="H387">
        <v>3.394</v>
      </c>
      <c r="J387" s="604" t="inlineStr">
        <is>
          <t>NIS</t>
        </is>
      </c>
      <c r="K387">
        <v>108532682</v>
      </c>
      <c r="L387" s="2">
        <v>46187</v>
      </c>
      <c r="M387">
        <v>31</v>
      </c>
      <c r="N387">
        <v>1</v>
      </c>
      <c r="O387">
        <v>0</v>
      </c>
      <c r="P387">
        <v>1</v>
      </c>
      <c r="Q387" t="inlineStr">
        <is>
          <t>O</t>
        </is>
      </c>
    </row>
    <row r="388">
      <c r="A388" t="inlineStr">
        <is>
          <t>RURAL</t>
        </is>
      </c>
      <c r="B388" t="inlineStr">
        <is>
          <t>SR 1522</t>
        </is>
      </c>
      <c r="C388">
        <v>0.0</v>
      </c>
      <c r="E388" t="inlineStr">
        <is>
          <t>PVA WRIGHT FUNERAL HOME</t>
        </is>
      </c>
      <c r="F388" t="inlineStr">
        <is>
          <t>SR 1515</t>
        </is>
      </c>
      <c r="H388">
        <v>999.999</v>
      </c>
      <c r="J388" s="604" t="inlineStr">
        <is>
          <t>NIS</t>
        </is>
      </c>
      <c r="K388">
        <v>108556564</v>
      </c>
      <c r="L388" s="2">
        <v>46210</v>
      </c>
      <c r="M388">
        <v>19</v>
      </c>
      <c r="N388">
        <v>2</v>
      </c>
      <c r="O388">
        <v>4</v>
      </c>
      <c r="P388">
        <v>5</v>
      </c>
      <c r="Q388" t="inlineStr">
        <is>
          <t>C</t>
        </is>
      </c>
    </row>
    <row r="389">
      <c r="A389" t="inlineStr">
        <is>
          <t>CREEDMOOR</t>
        </is>
      </c>
      <c r="B389" t="inlineStr">
        <is>
          <t>MAIN</t>
        </is>
      </c>
      <c r="C389">
        <v>0.0</v>
      </c>
      <c r="E389" t="inlineStr">
        <is>
          <t>MASONIC</t>
        </is>
      </c>
      <c r="F389" t="inlineStr">
        <is>
          <t>SANDERFORD</t>
        </is>
      </c>
      <c r="G389" t="inlineStr">
        <is>
          <t>NC 50</t>
        </is>
      </c>
      <c r="H389">
        <v>2.996</v>
      </c>
      <c r="J389" s="604" t="inlineStr">
        <is>
          <t>NIS</t>
        </is>
      </c>
      <c r="K389">
        <v>108553169</v>
      </c>
      <c r="L389" s="2">
        <v>46211</v>
      </c>
      <c r="M389">
        <v>28</v>
      </c>
      <c r="N389">
        <v>1</v>
      </c>
      <c r="O389">
        <v>0</v>
      </c>
      <c r="P389">
        <v>1</v>
      </c>
      <c r="Q389" t="inlineStr">
        <is>
          <t>O</t>
        </is>
      </c>
    </row>
    <row r="390">
      <c r="A390" t="inlineStr">
        <is>
          <t>OXFORD</t>
        </is>
      </c>
      <c r="B390" t="inlineStr">
        <is>
          <t>LEWIS</t>
        </is>
      </c>
      <c r="C390">
        <v>0.0</v>
      </c>
      <c r="E390" t="inlineStr">
        <is>
          <t>SPRING</t>
        </is>
      </c>
      <c r="F390" t="inlineStr">
        <is>
          <t>INDUSTRY</t>
        </is>
      </c>
      <c r="G390" t="inlineStr">
        <is>
          <t>US 15</t>
        </is>
      </c>
      <c r="H390">
        <v>20.498</v>
      </c>
      <c r="J390" s="604" t="inlineStr">
        <is>
          <t>NIS</t>
        </is>
      </c>
      <c r="K390">
        <v>108561053</v>
      </c>
      <c r="L390" s="2">
        <v>46214</v>
      </c>
      <c r="M390">
        <v>32</v>
      </c>
      <c r="N390">
        <v>1</v>
      </c>
      <c r="O390">
        <v>0</v>
      </c>
      <c r="P390">
        <v>1</v>
      </c>
      <c r="Q390" t="inlineStr">
        <is>
          <t>C</t>
        </is>
      </c>
    </row>
  </sheetData>
  <sheetProtection formatCells="0" formatColumns="0" formatRows="0" insertColumns="0" insertRows="0" insertHyperlinks="0" sort="0" autoFilter="0" pivotTables="0"/>
  <autoFilter ref="A1:AB390" xr:uid="{002A76AE-0675-4708-A4B8-3B450A88943B}"/>
  <sortState xmlns:xlrd2="http://schemas.microsoft.com/office/spreadsheetml/2017/richdata2" ref="A3:Z124">
    <sortCondition ref="J3:J124" customList="IS,ADD,DEL,NIS"/>
    <sortCondition ref="G3:G124"/>
    <sortCondition ref="H3:H124"/>
    <sortCondition ref="B3:B124"/>
    <sortCondition ref="E3:E124"/>
    <sortCondition ref="F3:F124"/>
    <sortCondition ref="M3:M124"/>
  </sortState>
  <hyperlinks>
    <hyperlink ref="U33" r:id="rId1" xr:uid="{6809DDD5-012E-42D8-80FE-5E327FC7B608}"/>
    <hyperlink ref="U34" r:id="rId2" xr:uid="{882B6CFB-0CF3-4D94-952A-9C03AE493095}"/>
    <hyperlink ref="U40" r:id="rId3" xr:uid="{8626623D-303B-4A6C-B43B-5B694D94A270}"/>
    <hyperlink ref="U42" r:id="rId4" xr:uid="{18764EEE-7F7A-4923-A401-FA9F3456D1C3}"/>
    <hyperlink ref="U43" r:id="rId5" xr:uid="{4452C195-70B9-4CB1-86B3-413262E6BD19}"/>
    <hyperlink ref="U6" r:id="rId6" xr:uid="{50D30F70-13C8-41DF-AF66-DD2C2750A38C}"/>
    <hyperlink ref="U7" r:id="rId7" xr:uid="{42F41823-3A08-433B-A6FD-83552F378E56}"/>
    <hyperlink ref="U9" r:id="rId8" xr:uid="{E1863833-6EA8-4662-B9B6-AC967AF50C0D}"/>
    <hyperlink ref="U12" r:id="rId9" xr:uid="{F7918589-DFCF-49EB-887D-08E274C149FC}"/>
    <hyperlink ref="U13" r:id="rId10" xr:uid="{EF42271A-9243-4AB1-B262-A7EAA455C839}"/>
    <hyperlink ref="U44" r:id="rId11" xr:uid="{9E423474-BA9F-45FE-B184-BC0561C9D7D5}"/>
    <hyperlink ref="U24" r:id="rId12" xr:uid="{FD1BAA4E-AA7F-471A-9071-E821981F5D39}"/>
    <hyperlink ref="U47" r:id="rId13" xr:uid="{AC1F348A-ABE4-4D05-83AD-B61F749A8520}"/>
    <hyperlink ref="U50" r:id="rId14" xr:uid="{DBC3741C-7496-4B36-A282-375BD3F3ED63}"/>
    <hyperlink ref="U136" r:id="rId15" xr:uid="{A57F7FE3-5F7D-497C-BB7E-7C5C57BEFFCA}"/>
    <hyperlink ref="U141" r:id="rId16" xr:uid="{79046EEA-513A-4205-B95B-B638E39171E6}"/>
    <hyperlink ref="U55" r:id="rId17" xr:uid="{36818076-A845-4472-8B8C-0D03E50277B3}"/>
    <hyperlink ref="U58" r:id="rId18" xr:uid="{D62DD677-F0C1-4BE2-9075-659F37797D40}"/>
    <hyperlink ref="U150" r:id="rId19" xr:uid="{5254B3FA-6D5A-4002-A758-ECA833C7BA82}"/>
    <hyperlink ref="U64" r:id="rId20" xr:uid="{72B251ED-5EDB-496B-BFFC-6CAF69E9F202}"/>
    <hyperlink ref="U20" r:id="rId21" xr:uid="{4A5BC120-08FE-4F49-BB17-38E16209728D}"/>
    <hyperlink ref="U68" r:id="rId22" xr:uid="{7BDE9C64-3A99-4847-B94D-EBAEBB440369}"/>
    <hyperlink ref="U72" r:id="rId23" xr:uid="{0B9AFC9F-CFCC-475D-9181-AB026CB687FF}"/>
    <hyperlink ref="U75" r:id="rId24" xr:uid="{F468421B-8E48-4EBE-86E4-54D1D27A6F6C}"/>
    <hyperlink ref="U79" r:id="rId25" xr:uid="{F96F7DB8-535C-4F68-8741-A495F1DFFDAA}"/>
    <hyperlink ref="U86" r:id="rId26" xr:uid="{81D64943-6E0D-48BC-8C2C-E3C7923363BB}"/>
    <hyperlink ref="U89" r:id="rId27" xr:uid="{A437C76D-02DA-4086-9525-F53D857A928A}"/>
    <hyperlink ref="U90" r:id="rId28" xr:uid="{A593AAFE-7B7D-4FF5-80C1-4349910F7F53}"/>
    <hyperlink ref="U91" r:id="rId29" xr:uid="{7BA0B980-74A8-4527-9A7B-62773CE26853}"/>
    <hyperlink ref="U97" r:id="rId30" xr:uid="{69F19466-422B-40E2-806A-307AB1493D3E}"/>
    <hyperlink ref="U157" r:id="rId31" xr:uid="{86E28C7F-83DD-40A8-B149-F5F20402FC9A}"/>
    <hyperlink ref="U159" r:id="rId32" xr:uid="{85311B56-BFB5-48FB-83C9-05123E06AB5A}"/>
    <hyperlink ref="U100" r:id="rId33" xr:uid="{F3E89B99-A136-4660-A618-00416E7D69A2}"/>
    <hyperlink ref="U21" r:id="rId34" xr:uid="{ACA50931-E12C-4FF0-AC97-03B415FE1744}"/>
    <hyperlink ref="U110" r:id="rId35" xr:uid="{90F8EB6D-083C-419E-8BF1-A6C82124171C}"/>
    <hyperlink ref="U113" r:id="rId36" xr:uid="{7D40D859-1B5B-496B-A15F-EBE1DFDC1C80}"/>
    <hyperlink ref="U114" r:id="rId37" xr:uid="{6BA3FBDC-C779-4A30-9B4D-9C7218339F39}"/>
    <hyperlink ref="U115" r:id="rId38" xr:uid="{2BB526A8-52EA-40B7-B51D-14EB8D3DB1D6}"/>
    <hyperlink ref="U116" r:id="rId39" xr:uid="{C86D307C-7E7F-4D8B-A528-E44E376DC1E4}"/>
    <hyperlink ref="U117" r:id="rId40" xr:uid="{CAF02CFA-79E9-4F69-B989-3483D0BC75A5}"/>
    <hyperlink ref="U119" r:id="rId41" xr:uid="{3E00942C-FD00-418C-AFE6-FD1B492C5184}"/>
    <hyperlink ref="U161" r:id="rId42" xr:uid="{1DBAE123-2CAB-4072-BFB2-CA8938A09680}"/>
    <hyperlink ref="U164" r:id="rId43" xr:uid="{EFC2306E-2E80-4CA9-845E-1C341EB59483}"/>
    <hyperlink ref="U166" r:id="rId44" xr:uid="{767B7E4D-AA3A-4750-9B37-FE506E8B180A}"/>
    <hyperlink ref="U168" r:id="rId45" xr:uid="{45ED4145-E9E9-4C5F-B19A-5FBB04536863}"/>
    <hyperlink ref="U171" r:id="rId46" xr:uid="{770C610D-B70E-4C0B-9302-011CF27F351E}"/>
    <hyperlink ref="U175" r:id="rId47" xr:uid="{6AE76ED0-7214-4984-A3F1-015D458B4D19}"/>
    <hyperlink ref="U120" r:id="rId48" xr:uid="{F67E7C25-EE80-490C-AC72-2A04A6C147FE}"/>
  </hyperlinks>
  <pageMargins left="0.7" right="0.7" top="0.75" bottom="0.75" header="0.3" footer="0.3"/>
  <pageSetup orientation="portrait" r:id="rId49"/>
  <drawing r:id="rId5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DF9F5-FEE0-4B14-B7E5-199E61BF06C9}">
  <sheetPr codeName="Sheet10"/>
  <sheetViews>
    <sheetView workbookViewId="0"/>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2.62890625" bestFit="1" customWidth="1"/>
    <col min="14" max="14" width="1.734375" bestFit="1" customWidth="1"/>
    <col min="15" max="16" width="1.62890625" bestFit="1" customWidth="1"/>
    <col min="17" max="17" width="2" bestFit="1" customWidth="1"/>
    <col min="18" max="18" width="9.62890625" hidden="1" customWidth="1"/>
    <col min="19" max="19" width="10.26171875" hidden="1" customWidth="1"/>
    <col min="20" max="20" width="16.62890625" hidden="1" customWidth="1"/>
    <col min="21" max="21" width="3.7890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743</v>
      </c>
      <c r="B1" t="s">
        <v>744</v>
      </c>
      <c r="C1" t="s">
        <v>745</v>
      </c>
      <c r="D1" t="s">
        <v>746</v>
      </c>
      <c r="E1" t="s">
        <v>747</v>
      </c>
      <c r="F1" t="s">
        <v>748</v>
      </c>
      <c r="G1" t="s">
        <v>749</v>
      </c>
      <c r="H1" t="s">
        <v>750</v>
      </c>
      <c r="I1" t="s">
        <v>751</v>
      </c>
      <c r="J1" t="s">
        <v>825</v>
      </c>
      <c r="K1" t="s">
        <v>0</v>
      </c>
      <c r="L1" t="s">
        <v>1</v>
      </c>
      <c r="M1" t="s">
        <v>2</v>
      </c>
      <c r="N1" t="s">
        <v>3</v>
      </c>
      <c r="O1" t="s">
        <v>4</v>
      </c>
      <c r="P1" t="s">
        <v>5</v>
      </c>
      <c r="Q1" t="s">
        <v>6</v>
      </c>
      <c r="R1" t="s">
        <v>752</v>
      </c>
      <c r="S1" t="s">
        <v>753</v>
      </c>
      <c r="T1" t="s">
        <v>754</v>
      </c>
      <c r="U1" t="s">
        <v>367</v>
      </c>
      <c r="V1" t="s">
        <v>826</v>
      </c>
      <c r="W1" t="s">
        <v>827</v>
      </c>
      <c r="X1" t="s">
        <v>853</v>
      </c>
      <c r="Y1" t="s">
        <v>854</v>
      </c>
      <c r="Z1" t="s">
        <v>855</v>
      </c>
      <c r="AA1" t="s">
        <v>716</v>
      </c>
      <c r="AB1" t="s">
        <v>56</v>
      </c>
    </row>
    <row r="2" s="620" customFormat="1">
      <c r="A2" s="620" t="str">
        <f>Before!A2</f>
        <v>Before Period (03/01/17 - 09/30/21)</v>
      </c>
    </row>
    <row r="3">
      <c r="A3" t="inlineStr">
        <is>
          <t>OXFORD</t>
        </is>
      </c>
      <c r="B3" t="inlineStr">
        <is>
          <t>SPRING</t>
        </is>
      </c>
      <c r="C3">
        <v>0.0</v>
      </c>
      <c r="E3" t="inlineStr">
        <is>
          <t>MAIN</t>
        </is>
      </c>
      <c r="F3" t="inlineStr">
        <is>
          <t>MAIN</t>
        </is>
      </c>
      <c r="G3" t="inlineStr">
        <is>
          <t>SPRING</t>
        </is>
      </c>
      <c r="H3">
        <v>0.31</v>
      </c>
      <c r="J3" s="604" t="inlineStr">
        <is>
          <t>IS</t>
        </is>
      </c>
      <c r="K3">
        <v>105172416</v>
      </c>
      <c r="L3" s="2">
        <v>42935</v>
      </c>
      <c r="M3">
        <v>31</v>
      </c>
      <c r="N3">
        <v>1</v>
      </c>
      <c r="O3">
        <v>0</v>
      </c>
      <c r="P3">
        <v>1</v>
      </c>
      <c r="Q3" t="inlineStr">
        <is>
          <t>O</t>
        </is>
      </c>
      <c r="W3" t="inlineStr">
        <is>
          <t>backing from a W Spring angled space beside the roundabout, Post Office and Library on the diagram, about 60' W of Main</t>
        </is>
      </c>
      <c r="X3" t="inlineStr">
        <is>
          <t>Other</t>
        </is>
      </c>
      <c r="Y3" t="inlineStr">
        <is>
          <t>EBT</t>
        </is>
      </c>
      <c r="Z3" t="inlineStr">
        <is>
          <t>Unk</t>
        </is>
      </c>
      <c r="AA3" t="inlineStr">
        <is>
          <t>V2</t>
        </is>
      </c>
      <c r="AB3" t="inlineStr">
        <is>
          <t>Backing: unit 2 backed from a W Spring space into EB unit 1; V2 at fault</t>
        </is>
      </c>
    </row>
    <row r="4">
      <c r="A4" t="inlineStr">
        <is>
          <t>OXFORD</t>
        </is>
      </c>
      <c r="B4" t="inlineStr">
        <is>
          <t>SPRING</t>
        </is>
      </c>
      <c r="C4">
        <v>0.0</v>
      </c>
      <c r="E4" t="inlineStr">
        <is>
          <t>MAIN</t>
        </is>
      </c>
      <c r="F4" t="inlineStr">
        <is>
          <t>WALL</t>
        </is>
      </c>
      <c r="G4" t="inlineStr">
        <is>
          <t>SPRING</t>
        </is>
      </c>
      <c r="H4">
        <v>0.31</v>
      </c>
      <c r="J4" s="604" t="inlineStr">
        <is>
          <t>IS</t>
        </is>
      </c>
      <c r="K4">
        <v>105273794</v>
      </c>
      <c r="L4" s="2">
        <v>43041</v>
      </c>
      <c r="M4">
        <v>31</v>
      </c>
      <c r="N4">
        <v>1</v>
      </c>
      <c r="O4">
        <v>0</v>
      </c>
      <c r="P4">
        <v>1</v>
      </c>
      <c r="Q4" t="inlineStr">
        <is>
          <t>O</t>
        </is>
      </c>
      <c r="W4" t="inlineStr">
        <is>
          <t>backing from an angled space on W Spring next to the Main St curb returns per diagram, unit 2 EB toward Main; within 150'</t>
        </is>
      </c>
      <c r="X4" t="inlineStr">
        <is>
          <t>Other</t>
        </is>
      </c>
      <c r="Y4" t="inlineStr">
        <is>
          <t>Unk</t>
        </is>
      </c>
      <c r="Z4" t="inlineStr">
        <is>
          <t>EBT</t>
        </is>
      </c>
      <c r="AA4" t="inlineStr">
        <is>
          <t>V1</t>
        </is>
      </c>
      <c r="AB4" t="inlineStr">
        <is>
          <t>Backing: unit 1 backed from a W Spring space into EB unit 2; V1 at fault</t>
        </is>
      </c>
    </row>
    <row r="5">
      <c r="A5" t="inlineStr">
        <is>
          <t>OXFORD</t>
        </is>
      </c>
      <c r="B5" t="inlineStr">
        <is>
          <t>MAIN</t>
        </is>
      </c>
      <c r="C5">
        <v>0.0</v>
      </c>
      <c r="E5" t="inlineStr">
        <is>
          <t>SPRING</t>
        </is>
      </c>
      <c r="F5" t="inlineStr">
        <is>
          <t>WILLIAMSBORO</t>
        </is>
      </c>
      <c r="G5" t="inlineStr">
        <is>
          <t>SR 1602</t>
        </is>
      </c>
      <c r="H5">
        <v>1.36</v>
      </c>
      <c r="J5" s="604" t="inlineStr">
        <is>
          <t>IS</t>
        </is>
      </c>
      <c r="K5">
        <v>105329673</v>
      </c>
      <c r="L5" s="2">
        <v>43089</v>
      </c>
      <c r="M5">
        <v>30</v>
      </c>
      <c r="N5">
        <v>2</v>
      </c>
      <c r="O5">
        <v>7</v>
      </c>
      <c r="P5">
        <v>1</v>
      </c>
      <c r="Q5" t="inlineStr">
        <is>
          <t>O</t>
        </is>
      </c>
      <c r="W5" t="inlineStr">
        <is>
          <t>no diagram (vehicles moved); narrative puts V2 EB on Spring through the stop sign into V1 NB on Main, at the junction</t>
        </is>
      </c>
      <c r="X5" t="inlineStr">
        <is>
          <t>Angle</t>
        </is>
      </c>
      <c r="Y5" t="inlineStr">
        <is>
          <t>NBT</t>
        </is>
      </c>
      <c r="Z5" t="inlineStr">
        <is>
          <t>EBT</t>
        </is>
      </c>
      <c r="AA5" t="inlineStr">
        <is>
          <t>V2</t>
        </is>
      </c>
      <c r="AB5" t="inlineStr">
        <is>
          <t>Angle: EB unit 2 ran the Spring St stop sign into NB unit 1; V2 at fault</t>
        </is>
      </c>
    </row>
    <row r="6">
      <c r="A6" t="inlineStr">
        <is>
          <t>OXFORD</t>
        </is>
      </c>
      <c r="B6" t="inlineStr">
        <is>
          <t>SPRING</t>
        </is>
      </c>
      <c r="C6">
        <v>0.0</v>
      </c>
      <c r="D6" t="inlineStr">
        <is>
          <t>E</t>
        </is>
      </c>
      <c r="E6" t="inlineStr">
        <is>
          <t>MAIN</t>
        </is>
      </c>
      <c r="F6" t="inlineStr">
        <is>
          <t>WILLIAMSBORO</t>
        </is>
      </c>
      <c r="G6" t="inlineStr">
        <is>
          <t>SPRING</t>
        </is>
      </c>
      <c r="H6">
        <v>0.31</v>
      </c>
      <c r="J6" s="604" t="inlineStr">
        <is>
          <t>IS</t>
        </is>
      </c>
      <c r="K6">
        <v>105532814</v>
      </c>
      <c r="L6" s="2">
        <v>43284</v>
      </c>
      <c r="M6">
        <v>32</v>
      </c>
      <c r="N6">
        <v>1</v>
      </c>
      <c r="O6">
        <v>0</v>
      </c>
      <c r="P6">
        <v>1</v>
      </c>
      <c r="Q6" t="inlineStr">
        <is>
          <t>O</t>
        </is>
      </c>
      <c r="W6" t="inlineStr">
        <is>
          <t>at Main/Spring per diagram and narrative, V1 right turn from Main onto Spring, V2 through on Spring</t>
        </is>
      </c>
      <c r="X6" t="inlineStr">
        <is>
          <t>RTDR</t>
        </is>
      </c>
      <c r="Y6" t="inlineStr">
        <is>
          <t>SBR</t>
        </is>
      </c>
      <c r="Z6" t="inlineStr">
        <is>
          <t>WBT</t>
        </is>
      </c>
      <c r="AA6" t="inlineStr">
        <is>
          <t>V2</t>
        </is>
      </c>
      <c r="AB6" t="inlineStr">
        <is>
          <t>RTDR: unit 1 turning right from Main onto Spring struck by through unit 2; V2 at fault</t>
        </is>
      </c>
    </row>
    <row r="7">
      <c r="A7" t="inlineStr">
        <is>
          <t>OXFORD</t>
        </is>
      </c>
      <c r="B7" t="inlineStr">
        <is>
          <t>SPRING</t>
        </is>
      </c>
      <c r="C7">
        <v>0.0</v>
      </c>
      <c r="E7" t="inlineStr">
        <is>
          <t>MAIN</t>
        </is>
      </c>
      <c r="F7" t="inlineStr">
        <is>
          <t>MAIN</t>
        </is>
      </c>
      <c r="G7" t="inlineStr">
        <is>
          <t>SPRING</t>
        </is>
      </c>
      <c r="H7">
        <v>0.31</v>
      </c>
      <c r="J7" s="604" t="inlineStr">
        <is>
          <t>IS</t>
        </is>
      </c>
      <c r="K7">
        <v>106097127</v>
      </c>
      <c r="L7" s="2">
        <v>43805</v>
      </c>
      <c r="M7">
        <v>21</v>
      </c>
      <c r="N7">
        <v>1</v>
      </c>
      <c r="O7">
        <v>7</v>
      </c>
      <c r="P7">
        <v>4</v>
      </c>
      <c r="Q7" t="inlineStr">
        <is>
          <t>C</t>
        </is>
      </c>
      <c r="W7" t="inlineStr">
        <is>
          <t>RE at the E Spring stop line at Main per diagram and narrative</t>
        </is>
      </c>
      <c r="X7" t="inlineStr">
        <is>
          <t>RE</t>
        </is>
      </c>
      <c r="Y7" t="inlineStr">
        <is>
          <t>WBT</t>
        </is>
      </c>
      <c r="Z7" t="inlineStr">
        <is>
          <t>WBT</t>
        </is>
      </c>
      <c r="AA7" t="inlineStr">
        <is>
          <t>V1</t>
        </is>
      </c>
      <c r="AB7" t="inlineStr">
        <is>
          <t>RE: WB unit 1 struck stopped unit 2 at the E Spring stop line; V1 at fault</t>
        </is>
      </c>
    </row>
    <row r="8">
      <c r="A8" t="inlineStr">
        <is>
          <t>OXFORD</t>
        </is>
      </c>
      <c r="B8" t="inlineStr">
        <is>
          <t>MAIN</t>
        </is>
      </c>
      <c r="C8">
        <v>0.0</v>
      </c>
      <c r="E8" t="inlineStr">
        <is>
          <t>SPRING</t>
        </is>
      </c>
      <c r="F8" t="inlineStr">
        <is>
          <t>MARTIN LUTHER KING</t>
        </is>
      </c>
      <c r="G8" t="inlineStr">
        <is>
          <t>SR 1602</t>
        </is>
      </c>
      <c r="H8">
        <v>1.36</v>
      </c>
      <c r="J8" s="604" t="inlineStr">
        <is>
          <t>IS</t>
        </is>
      </c>
      <c r="K8">
        <v>106412908</v>
      </c>
      <c r="L8" s="2">
        <v>44152</v>
      </c>
      <c r="M8">
        <v>20</v>
      </c>
      <c r="N8">
        <v>1</v>
      </c>
      <c r="O8">
        <v>0</v>
      </c>
      <c r="P8">
        <v>1</v>
      </c>
      <c r="W8" t="inlineStr">
        <is>
          <t>unit 1 crossed Main onto Spring and struck a parked car in the first angled spaces past the corner per diagram and narrative; within 150'</t>
        </is>
      </c>
      <c r="X8" t="inlineStr">
        <is>
          <t>Other</t>
        </is>
      </c>
      <c r="Y8" t="inlineStr">
        <is>
          <t>WBT</t>
        </is>
      </c>
      <c r="AA8" t="inlineStr">
        <is>
          <t>V1</t>
        </is>
      </c>
      <c r="AB8" t="inlineStr">
        <is>
          <t>Parked: WB unit 1 struck a parked car in the W Spring angled parking; V1 at fault; S blank in TEAAS; report codes injury unknown (6) for all occupants, counted as O</t>
        </is>
      </c>
    </row>
    <row r="9">
      <c r="A9" t="inlineStr">
        <is>
          <t>OXFORD</t>
        </is>
      </c>
      <c r="B9" t="inlineStr">
        <is>
          <t>MAIN</t>
        </is>
      </c>
      <c r="C9">
        <v>0.0</v>
      </c>
      <c r="E9" t="inlineStr">
        <is>
          <t>SPRING</t>
        </is>
      </c>
      <c r="F9" t="inlineStr">
        <is>
          <t>WILLIAMSBORO</t>
        </is>
      </c>
      <c r="G9" t="inlineStr">
        <is>
          <t>SR 1602</t>
        </is>
      </c>
      <c r="H9">
        <v>1.36</v>
      </c>
      <c r="J9" s="604" t="inlineStr">
        <is>
          <t>IS</t>
        </is>
      </c>
      <c r="K9">
        <v>106594525</v>
      </c>
      <c r="L9" s="2">
        <v>44342</v>
      </c>
      <c r="M9">
        <v>23</v>
      </c>
      <c r="N9">
        <v>1</v>
      </c>
      <c r="O9">
        <v>8</v>
      </c>
      <c r="P9">
        <v>1</v>
      </c>
      <c r="Q9" t="inlineStr">
        <is>
          <t>O</t>
        </is>
      </c>
      <c r="W9" t="inlineStr">
        <is>
          <t>at Main and Spring per narrative, 0 ft</t>
        </is>
      </c>
      <c r="X9" t="inlineStr">
        <is>
          <t>LTSR</t>
        </is>
      </c>
      <c r="Y9" t="inlineStr">
        <is>
          <t>WBT</t>
        </is>
      </c>
      <c r="Z9" t="inlineStr">
        <is>
          <t>EBL</t>
        </is>
      </c>
      <c r="AA9" t="inlineStr">
        <is>
          <t>V2</t>
        </is>
      </c>
      <c r="AB9" t="inlineStr">
        <is>
          <t>LTSR: unit 2 turning left from Spring onto Main across WB unit 1; V2 at fault</t>
        </is>
      </c>
    </row>
    <row r="10" s="620" customFormat="1">
      <c r="A10" s="620" t="str">
        <f>"Construction Period ("&amp;TEXT('Evaluation Set-up'!D10,"m/d/yy")&amp;"-"&amp;TEXT('Evaluation Set-up'!E10,"m/d/yy")&amp;")"</f>
        <v>Construction Period (10/1/21-12/31/21)</v>
      </c>
    </row>
    <row r="11" s="617" customFormat="1">
      <c r="A11" s="620" t="str">
        <f>After!A2</f>
        <v>After Period (01/01/22 - 07/31/26)</v>
      </c>
      <c r="J11" s="618"/>
      <c r="L11" s="619"/>
    </row>
    <row r="12">
      <c r="A12" t="inlineStr">
        <is>
          <t>OXFORD</t>
        </is>
      </c>
      <c r="B12" t="inlineStr">
        <is>
          <t>SPRING</t>
        </is>
      </c>
      <c r="C12">
        <v>0.0</v>
      </c>
      <c r="E12" t="inlineStr">
        <is>
          <t>MAIN</t>
        </is>
      </c>
      <c r="F12" t="inlineStr">
        <is>
          <t>MAIN</t>
        </is>
      </c>
      <c r="G12" t="inlineStr">
        <is>
          <t>SPRING</t>
        </is>
      </c>
      <c r="H12">
        <v>0.31</v>
      </c>
      <c r="J12" s="604" t="inlineStr">
        <is>
          <t>IS</t>
        </is>
      </c>
      <c r="K12">
        <v>106899135</v>
      </c>
      <c r="L12" s="2">
        <v>44606</v>
      </c>
      <c r="M12">
        <v>30</v>
      </c>
      <c r="N12">
        <v>1</v>
      </c>
      <c r="O12">
        <v>0</v>
      </c>
      <c r="P12">
        <v>1</v>
      </c>
      <c r="Q12" t="inlineStr">
        <is>
          <t>O</t>
        </is>
      </c>
      <c r="W12" t="inlineStr">
        <is>
          <t>in the roundabout per diagram and narrative</t>
        </is>
      </c>
      <c r="X12" t="inlineStr">
        <is>
          <t>Angle</t>
        </is>
      </c>
      <c r="Y12" t="inlineStr">
        <is>
          <t>WBT</t>
        </is>
      </c>
      <c r="Z12" t="inlineStr">
        <is>
          <t>SBT</t>
        </is>
      </c>
      <c r="AA12" t="inlineStr">
        <is>
          <t>V1</t>
        </is>
      </c>
      <c r="AB12" t="inlineStr">
        <is>
          <t>Angle: WB unit 1 entered the roundabout into SB unit 2 already in the roundabout; V1 at fault</t>
        </is>
      </c>
    </row>
    <row r="13">
      <c r="A13" t="inlineStr">
        <is>
          <t>OXFORD</t>
        </is>
      </c>
      <c r="B13" t="inlineStr">
        <is>
          <t>MAIN</t>
        </is>
      </c>
      <c r="C13">
        <v>0.0</v>
      </c>
      <c r="E13" t="inlineStr">
        <is>
          <t>SPRING</t>
        </is>
      </c>
      <c r="F13" t="inlineStr">
        <is>
          <t>WALL</t>
        </is>
      </c>
      <c r="G13" t="inlineStr">
        <is>
          <t>SR 1602</t>
        </is>
      </c>
      <c r="H13">
        <v>1.36</v>
      </c>
      <c r="J13" s="604" t="inlineStr">
        <is>
          <t>IS</t>
        </is>
      </c>
      <c r="K13">
        <v>107863132</v>
      </c>
      <c r="L13" s="2">
        <v>45555</v>
      </c>
      <c r="M13">
        <v>28</v>
      </c>
      <c r="N13">
        <v>1</v>
      </c>
      <c r="O13">
        <v>10</v>
      </c>
      <c r="P13">
        <v>1</v>
      </c>
      <c r="Q13" t="inlineStr">
        <is>
          <t>O</t>
        </is>
      </c>
      <c r="W13" t="inlineStr">
        <is>
          <t>entering the roundabout per narrative, at Spring St per location block</t>
        </is>
      </c>
      <c r="X13" t="inlineStr">
        <is>
          <t>SSSD</t>
        </is>
      </c>
      <c r="Y13" t="inlineStr">
        <is>
          <t>SBT</t>
        </is>
      </c>
      <c r="Z13" t="inlineStr">
        <is>
          <t>SBT</t>
        </is>
      </c>
      <c r="AA13" t="inlineStr">
        <is>
          <t>V1</t>
        </is>
      </c>
      <c r="AB13" t="inlineStr">
        <is>
          <t>SSSD: unit 1 failed to yield entering the roundabout and sideswiped unit 2; V1 at fault</t>
        </is>
      </c>
    </row>
    <row r="14">
      <c r="A14" t="inlineStr">
        <is>
          <t>OXFORD</t>
        </is>
      </c>
      <c r="B14" t="inlineStr">
        <is>
          <t>MAIN</t>
        </is>
      </c>
      <c r="C14">
        <v>0.0</v>
      </c>
      <c r="E14" t="inlineStr">
        <is>
          <t>SPRING</t>
        </is>
      </c>
      <c r="F14" t="inlineStr">
        <is>
          <t>MARTIN LUTHER KING</t>
        </is>
      </c>
      <c r="G14" t="inlineStr">
        <is>
          <t>SR 1602</t>
        </is>
      </c>
      <c r="H14">
        <v>1.36</v>
      </c>
      <c r="J14" s="604" t="inlineStr">
        <is>
          <t>IS</t>
        </is>
      </c>
      <c r="K14">
        <v>107982237</v>
      </c>
      <c r="L14" s="2">
        <v>45665</v>
      </c>
      <c r="M14">
        <v>26</v>
      </c>
      <c r="N14">
        <v>1</v>
      </c>
      <c r="O14">
        <v>10</v>
      </c>
      <c r="P14">
        <v>1</v>
      </c>
      <c r="W14" t="inlineStr">
        <is>
          <t>in the roundabout at Main and E Spring per narrative, Unit 2 entered from E Spring through the yield</t>
        </is>
      </c>
      <c r="X14" t="inlineStr">
        <is>
          <t>RTDR</t>
        </is>
      </c>
      <c r="Y14" t="inlineStr">
        <is>
          <t>NBT</t>
        </is>
      </c>
      <c r="Z14" t="inlineStr">
        <is>
          <t>WBR</t>
        </is>
      </c>
      <c r="AA14" t="inlineStr">
        <is>
          <t>V2</t>
        </is>
      </c>
      <c r="AB14" t="inlineStr">
        <is>
          <t>RTDR: unit 2 entered from E Spring through the yield into NB unit 1 in the roundabout; V2 at fault; S blank in TEAAS; report codes injury unknown (6) for all occupants, counted as O</t>
        </is>
      </c>
    </row>
    <row r="15" s="615" customFormat="1">
      <c r="A15" s="614" t="inlineStr">
        <is>
          <t>DELETED FROM STUDY</t>
        </is>
      </c>
      <c r="L15" s="616"/>
    </row>
    <row r="16">
      <c r="A16" t="inlineStr">
        <is>
          <t>OXFORD</t>
        </is>
      </c>
      <c r="B16" t="inlineStr">
        <is>
          <t>MAIN</t>
        </is>
      </c>
      <c r="C16">
        <v>0.0</v>
      </c>
      <c r="E16" t="inlineStr">
        <is>
          <t>SPRING</t>
        </is>
      </c>
      <c r="F16" t="inlineStr">
        <is>
          <t>LITTLE JOHN</t>
        </is>
      </c>
      <c r="G16" t="inlineStr">
        <is>
          <t>SR 1602</t>
        </is>
      </c>
      <c r="H16">
        <v>1.36</v>
      </c>
      <c r="J16" s="604" t="inlineStr">
        <is>
          <t>DEL</t>
        </is>
      </c>
      <c r="K16">
        <v>105478298</v>
      </c>
      <c r="L16" s="2">
        <v>43234</v>
      </c>
      <c r="M16">
        <v>20</v>
      </c>
      <c r="N16">
        <v>1</v>
      </c>
      <c r="O16">
        <v>0</v>
      </c>
      <c r="P16">
        <v>1</v>
      </c>
      <c r="Q16" t="inlineStr">
        <is>
          <t>O</t>
        </is>
      </c>
      <c r="W16" t="inlineStr">
        <is>
          <t>parked car in the angled row in front of Oxford Baptist Church, drawn mid-block between E Spring and Little John per diagram, about 150' to 200' N; coded at E Spring with no distance</t>
        </is>
      </c>
      <c r="X16" t="inlineStr">
        <is>
          <t>Other</t>
        </is>
      </c>
      <c r="Y16" t="inlineStr">
        <is>
          <t>NBT</t>
        </is>
      </c>
      <c r="AA16" t="inlineStr">
        <is>
          <t>V1</t>
        </is>
      </c>
      <c r="AB16" t="inlineStr">
        <is>
          <t>Parked: NB unit 1 sideswiped parked unit 2; V1 at fault</t>
        </is>
      </c>
    </row>
    <row r="17">
      <c r="A17" t="inlineStr">
        <is>
          <t>OXFORD</t>
        </is>
      </c>
      <c r="B17" t="inlineStr">
        <is>
          <t>MAIN</t>
        </is>
      </c>
      <c r="C17">
        <v>0.019</v>
      </c>
      <c r="D17" t="inlineStr">
        <is>
          <t>N</t>
        </is>
      </c>
      <c r="E17" t="inlineStr">
        <is>
          <t>SPRING</t>
        </is>
      </c>
      <c r="F17" t="inlineStr">
        <is>
          <t>MAIN</t>
        </is>
      </c>
      <c r="G17" t="inlineStr">
        <is>
          <t>SR 1602</t>
        </is>
      </c>
      <c r="H17">
        <v>1.379</v>
      </c>
      <c r="J17" s="604" t="inlineStr">
        <is>
          <t>DEL</t>
        </is>
      </c>
      <c r="K17">
        <v>105774815</v>
      </c>
      <c r="L17" s="2">
        <v>43511</v>
      </c>
      <c r="M17">
        <v>31</v>
      </c>
      <c r="N17">
        <v>1</v>
      </c>
      <c r="O17">
        <v>0</v>
      </c>
      <c r="P17">
        <v>1</v>
      </c>
      <c r="Q17" t="inlineStr">
        <is>
          <t>O</t>
        </is>
      </c>
      <c r="W17" t="inlineStr">
        <is>
          <t>drawn in the Post Office angled row opposite the middle of the building per diagram, about 200' N of Spring; coded 100' N</t>
        </is>
      </c>
      <c r="X17" t="inlineStr">
        <is>
          <t>Other</t>
        </is>
      </c>
      <c r="Y17" t="inlineStr">
        <is>
          <t>Unk</t>
        </is>
      </c>
      <c r="AA17" t="inlineStr">
        <is>
          <t>V1</t>
        </is>
      </c>
      <c r="AB17" t="inlineStr">
        <is>
          <t>Backing: unit 1 backed from a Main St space into parked unit 2; V1 at fault</t>
        </is>
      </c>
    </row>
    <row r="18">
      <c r="A18" t="inlineStr">
        <is>
          <t>OXFORD</t>
        </is>
      </c>
      <c r="B18" t="inlineStr">
        <is>
          <t>MAIN</t>
        </is>
      </c>
      <c r="C18">
        <v>0.0</v>
      </c>
      <c r="E18" t="inlineStr">
        <is>
          <t>SPRING</t>
        </is>
      </c>
      <c r="F18" t="inlineStr">
        <is>
          <t>SPRING</t>
        </is>
      </c>
      <c r="G18" t="inlineStr">
        <is>
          <t>SR 1602</t>
        </is>
      </c>
      <c r="H18">
        <v>1.36</v>
      </c>
      <c r="J18" s="604" t="inlineStr">
        <is>
          <t>DEL</t>
        </is>
      </c>
      <c r="K18">
        <v>107479858</v>
      </c>
      <c r="L18" s="2">
        <v>45191</v>
      </c>
      <c r="M18">
        <v>31</v>
      </c>
      <c r="N18">
        <v>1</v>
      </c>
      <c r="O18">
        <v>0</v>
      </c>
      <c r="P18">
        <v>1</v>
      </c>
      <c r="Q18" t="inlineStr">
        <is>
          <t>O</t>
        </is>
      </c>
      <c r="W18" t="inlineStr">
        <is>
          <t>backing from a Main St space into SB unit 2 per narrative, no diagram; SB traffic passes the west side Post Office row, which starts about 140' N of Spring; not placed within 150'</t>
        </is>
      </c>
      <c r="X18" t="inlineStr">
        <is>
          <t>Other</t>
        </is>
      </c>
      <c r="Y18" t="inlineStr">
        <is>
          <t>Unk</t>
        </is>
      </c>
      <c r="Z18" t="inlineStr">
        <is>
          <t>SBT</t>
        </is>
      </c>
      <c r="AA18" t="inlineStr">
        <is>
          <t>V1</t>
        </is>
      </c>
      <c r="AB18" t="inlineStr">
        <is>
          <t>Backing: unit 1 backed from a space into unit 2 behind it; V1 at fault</t>
        </is>
      </c>
    </row>
    <row r="19">
      <c r="A19" t="inlineStr">
        <is>
          <t>OXFORD</t>
        </is>
      </c>
      <c r="B19" t="inlineStr">
        <is>
          <t>MAIN</t>
        </is>
      </c>
      <c r="C19">
        <v>0.0</v>
      </c>
      <c r="E19" t="inlineStr">
        <is>
          <t>SPRING</t>
        </is>
      </c>
      <c r="F19" t="inlineStr">
        <is>
          <t>SPRING</t>
        </is>
      </c>
      <c r="G19" t="inlineStr">
        <is>
          <t>SR 1602</t>
        </is>
      </c>
      <c r="H19">
        <v>1.36</v>
      </c>
      <c r="J19" s="604" t="inlineStr">
        <is>
          <t>DEL</t>
        </is>
      </c>
      <c r="K19">
        <v>107674222</v>
      </c>
      <c r="L19" s="2">
        <v>45384</v>
      </c>
      <c r="M19">
        <v>30</v>
      </c>
      <c r="N19">
        <v>1</v>
      </c>
      <c r="O19">
        <v>0</v>
      </c>
      <c r="P19">
        <v>1</v>
      </c>
      <c r="Q19" t="inlineStr">
        <is>
          <t>O</t>
        </is>
      </c>
      <c r="W19" t="inlineStr">
        <is>
          <t>Post Office angled parking row on Main per diagram (row starts about 140' N of Spring); coded at Spring with no distance, &gt;150'</t>
        </is>
      </c>
      <c r="X19" t="inlineStr">
        <is>
          <t>Other</t>
        </is>
      </c>
      <c r="Y19" t="inlineStr">
        <is>
          <t>Unk</t>
        </is>
      </c>
      <c r="Z19" t="inlineStr">
        <is>
          <t>SBT</t>
        </is>
      </c>
      <c r="AA19" t="inlineStr">
        <is>
          <t>V1</t>
        </is>
      </c>
      <c r="AB19" t="inlineStr">
        <is>
          <t>Backing: unit 1 reversed from a space into SB unit 2; V1 at fault</t>
        </is>
      </c>
    </row>
    <row r="20">
      <c r="A20" t="inlineStr">
        <is>
          <t>OXFORD</t>
        </is>
      </c>
      <c r="B20" t="inlineStr">
        <is>
          <t>MAIN</t>
        </is>
      </c>
      <c r="C20">
        <v>0.0</v>
      </c>
      <c r="E20" t="inlineStr">
        <is>
          <t>SPRING</t>
        </is>
      </c>
      <c r="F20" t="inlineStr">
        <is>
          <t>MAIN</t>
        </is>
      </c>
      <c r="G20" t="inlineStr">
        <is>
          <t>SR 1602</t>
        </is>
      </c>
      <c r="H20">
        <v>1.36</v>
      </c>
      <c r="J20" s="604" t="inlineStr">
        <is>
          <t>DEL</t>
        </is>
      </c>
      <c r="K20">
        <v>107817083</v>
      </c>
      <c r="L20" s="2">
        <v>45505</v>
      </c>
      <c r="M20">
        <v>21</v>
      </c>
      <c r="N20">
        <v>1</v>
      </c>
      <c r="O20">
        <v>0</v>
      </c>
      <c r="P20">
        <v>1</v>
      </c>
      <c r="Q20" t="inlineStr">
        <is>
          <t>O</t>
        </is>
      </c>
      <c r="W20" t="inlineStr">
        <is>
          <t>Post Office angled parking row on Main per diagram, unit 1 ran up on the Post Office curb; coded at Spring with no distance, &gt;150'</t>
        </is>
      </c>
      <c r="X20" t="inlineStr">
        <is>
          <t>Other</t>
        </is>
      </c>
      <c r="Y20" t="inlineStr">
        <is>
          <t>Unk</t>
        </is>
      </c>
      <c r="Z20" t="inlineStr">
        <is>
          <t>SBT</t>
        </is>
      </c>
      <c r="AA20" t="inlineStr">
        <is>
          <t>V1</t>
        </is>
      </c>
      <c r="AB20" t="inlineStr">
        <is>
          <t>Backing: unit 1 backed from a space into SB unit 2 waiting in the lane; V1 at fault</t>
        </is>
      </c>
    </row>
    <row r="21">
      <c r="A21" t="inlineStr">
        <is>
          <t>OXFORD</t>
        </is>
      </c>
      <c r="B21" t="inlineStr">
        <is>
          <t>MAIN</t>
        </is>
      </c>
      <c r="C21">
        <v>0.019</v>
      </c>
      <c r="D21" t="inlineStr">
        <is>
          <t>NW</t>
        </is>
      </c>
      <c r="E21" t="inlineStr">
        <is>
          <t>SPRING</t>
        </is>
      </c>
      <c r="F21" t="inlineStr">
        <is>
          <t>LITTLE JOHN</t>
        </is>
      </c>
      <c r="G21" t="inlineStr">
        <is>
          <t>SR 1602</t>
        </is>
      </c>
      <c r="H21">
        <v>1.379</v>
      </c>
      <c r="J21" s="604" t="inlineStr">
        <is>
          <t>DEL</t>
        </is>
      </c>
      <c r="K21">
        <v>108004793</v>
      </c>
      <c r="L21" s="2">
        <v>45682</v>
      </c>
      <c r="M21">
        <v>30</v>
      </c>
      <c r="N21">
        <v>1</v>
      </c>
      <c r="O21">
        <v>0</v>
      </c>
      <c r="P21">
        <v>1</v>
      </c>
      <c r="Q21" t="inlineStr">
        <is>
          <t>O</t>
        </is>
      </c>
      <c r="W21" t="inlineStr">
        <is>
          <t>drawn in front of the U.S. Post Office, 144 Main St, mid-building per diagram, about 200' N of Spring; coded 100' NW of Spring</t>
        </is>
      </c>
      <c r="X21" t="inlineStr">
        <is>
          <t>Other</t>
        </is>
      </c>
      <c r="Y21" t="inlineStr">
        <is>
          <t>Unk</t>
        </is>
      </c>
      <c r="AA21" t="inlineStr">
        <is>
          <t>V1</t>
        </is>
      </c>
      <c r="AB21" t="inlineStr">
        <is>
          <t>Backing: unit 1 backed from a Post Office space into parked unit 2; V1 at fault</t>
        </is>
      </c>
    </row>
    <row r="22">
      <c r="A22" t="inlineStr">
        <is>
          <t>OXFORD</t>
        </is>
      </c>
      <c r="B22" t="inlineStr">
        <is>
          <t>MAIN</t>
        </is>
      </c>
      <c r="C22">
        <v>0.0</v>
      </c>
      <c r="E22" t="inlineStr">
        <is>
          <t>SPRING</t>
        </is>
      </c>
      <c r="F22" t="inlineStr">
        <is>
          <t>WILLIAMSBORO</t>
        </is>
      </c>
      <c r="G22" t="inlineStr">
        <is>
          <t>SR 1602</t>
        </is>
      </c>
      <c r="H22">
        <v>1.36</v>
      </c>
      <c r="J22" s="604" t="inlineStr">
        <is>
          <t>DEL</t>
        </is>
      </c>
      <c r="K22">
        <v>108089406</v>
      </c>
      <c r="L22" s="2">
        <v>45771</v>
      </c>
      <c r="M22">
        <v>31</v>
      </c>
      <c r="N22">
        <v>1</v>
      </c>
      <c r="O22">
        <v>0</v>
      </c>
      <c r="P22">
        <v>1</v>
      </c>
      <c r="Q22" t="inlineStr">
        <is>
          <t>O</t>
        </is>
      </c>
      <c r="W22" t="inlineStr">
        <is>
          <t>backing from a Post Office parking space on Main per narrative, no diagram; the row starts about 140' N of Spring, &gt;150'</t>
        </is>
      </c>
      <c r="X22" t="inlineStr">
        <is>
          <t>Other</t>
        </is>
      </c>
      <c r="Z22" t="inlineStr">
        <is>
          <t>Unk</t>
        </is>
      </c>
      <c r="AA22" t="inlineStr">
        <is>
          <t>V2</t>
        </is>
      </c>
      <c r="AB22" t="inlineStr">
        <is>
          <t>Backing: unit 2 backed from a space into parked unit 1; V2 at fault</t>
        </is>
      </c>
    </row>
    <row r="23" s="612" customFormat="1">
      <c r="A23" s="611" t="inlineStr">
        <is>
          <t>NOT IN STUDY - REPORT REVIEWED</t>
        </is>
      </c>
      <c r="L23" s="613"/>
    </row>
    <row r="24">
      <c r="A24" t="inlineStr">
        <is>
          <t>OXFORD</t>
        </is>
      </c>
      <c r="B24" t="inlineStr">
        <is>
          <t>MAIN</t>
        </is>
      </c>
      <c r="C24">
        <v>0.019</v>
      </c>
      <c r="D24" t="inlineStr">
        <is>
          <t>S</t>
        </is>
      </c>
      <c r="E24" t="inlineStr">
        <is>
          <t>FRONT</t>
        </is>
      </c>
      <c r="F24" t="inlineStr">
        <is>
          <t>WILLIAMSBORO</t>
        </is>
      </c>
      <c r="G24" t="inlineStr">
        <is>
          <t>SR 1602</t>
        </is>
      </c>
      <c r="H24">
        <v>1.149</v>
      </c>
      <c r="J24" s="604" t="inlineStr">
        <is>
          <t>NIS</t>
        </is>
      </c>
      <c r="K24">
        <v>105034371</v>
      </c>
      <c r="L24" s="2">
        <v>42804</v>
      </c>
      <c r="M24">
        <v>31</v>
      </c>
      <c r="N24">
        <v>1</v>
      </c>
      <c r="O24">
        <v>0</v>
      </c>
      <c r="P24">
        <v>1</v>
      </c>
      <c r="Q24" t="inlineStr">
        <is>
          <t>O</t>
        </is>
      </c>
      <c r="W24" t="inlineStr">
        <is>
          <t>location block 100' N of Front St, diagram in the Post Office angled parking row on Main (140' to 250' N of Spring); not placed within 150'</t>
        </is>
      </c>
      <c r="X24" t="inlineStr">
        <is>
          <t>Other</t>
        </is>
      </c>
      <c r="Y24" t="inlineStr">
        <is>
          <t>Unk</t>
        </is>
      </c>
      <c r="AA24" t="inlineStr">
        <is>
          <t>V1</t>
        </is>
      </c>
      <c r="AB24" t="inlineStr">
        <is>
          <t>Backing: unit 1 backed from an angled space into parked unit 2; V1 at fault</t>
        </is>
      </c>
    </row>
    <row r="25">
      <c r="A25" t="inlineStr">
        <is>
          <t>OXFORD</t>
        </is>
      </c>
      <c r="B25" t="inlineStr">
        <is>
          <t>SPRING</t>
        </is>
      </c>
      <c r="C25">
        <v>0.0</v>
      </c>
      <c r="E25" t="inlineStr">
        <is>
          <t>SPRING</t>
        </is>
      </c>
      <c r="F25" t="inlineStr">
        <is>
          <t>ORANGE</t>
        </is>
      </c>
      <c r="G25" t="inlineStr">
        <is>
          <t>SPRING</t>
        </is>
      </c>
      <c r="H25">
        <v>999.999</v>
      </c>
      <c r="J25" s="604" t="inlineStr">
        <is>
          <t>NIS</t>
        </is>
      </c>
      <c r="K25">
        <v>105202508</v>
      </c>
      <c r="L25" s="2">
        <v>42965</v>
      </c>
      <c r="M25">
        <v>21</v>
      </c>
      <c r="N25">
        <v>1</v>
      </c>
      <c r="O25">
        <v>0</v>
      </c>
      <c r="P25">
        <v>1</v>
      </c>
      <c r="Q25" t="inlineStr">
        <is>
          <t>C</t>
        </is>
      </c>
      <c r="W25" t="inlineStr">
        <is>
          <t>at Orange St per diagram, 1,730' W of Main</t>
        </is>
      </c>
      <c r="X25" t="inlineStr">
        <is>
          <t>RE</t>
        </is>
      </c>
      <c r="Y25" t="inlineStr">
        <is>
          <t>EBT</t>
        </is>
      </c>
      <c r="Z25" t="inlineStr">
        <is>
          <t>EBL</t>
        </is>
      </c>
      <c r="AA25" t="inlineStr">
        <is>
          <t>V1</t>
        </is>
      </c>
      <c r="AB25" t="inlineStr">
        <is>
          <t>RE: vehicle 1 stated he was down shifting his car and did not have enough time to stop; V1 at fault</t>
        </is>
      </c>
    </row>
    <row r="26">
      <c r="A26" t="inlineStr">
        <is>
          <t>RURAL</t>
        </is>
      </c>
      <c r="B26" t="inlineStr">
        <is>
          <t>SR 1602</t>
        </is>
      </c>
      <c r="C26">
        <v>0.009</v>
      </c>
      <c r="D26" t="inlineStr">
        <is>
          <t>S</t>
        </is>
      </c>
      <c r="E26" t="inlineStr">
        <is>
          <t>US 158</t>
        </is>
      </c>
      <c r="F26" t="inlineStr">
        <is>
          <t>SR 1650</t>
        </is>
      </c>
      <c r="G26" t="inlineStr">
        <is>
          <t>SR 1602</t>
        </is>
      </c>
      <c r="H26">
        <v>1.495</v>
      </c>
      <c r="J26" s="604" t="inlineStr">
        <is>
          <t>NIS</t>
        </is>
      </c>
      <c r="K26">
        <v>105220466</v>
      </c>
      <c r="L26" s="2">
        <v>42991</v>
      </c>
      <c r="M26">
        <v>21</v>
      </c>
      <c r="N26">
        <v>1</v>
      </c>
      <c r="O26">
        <v>7</v>
      </c>
      <c r="P26">
        <v>1</v>
      </c>
      <c r="Q26" t="inlineStr">
        <is>
          <t>O</t>
        </is>
      </c>
      <c r="W26" t="inlineStr">
        <is>
          <t>on SR 1602 merge ramp 50' S of US 158 per diagram and narrative, &gt;150'</t>
        </is>
      </c>
      <c r="X26" t="inlineStr">
        <is>
          <t>RE</t>
        </is>
      </c>
      <c r="Y26" t="inlineStr">
        <is>
          <t>NBR</t>
        </is>
      </c>
      <c r="Z26" t="inlineStr">
        <is>
          <t>NBR</t>
        </is>
      </c>
      <c r="AA26" t="inlineStr">
        <is>
          <t>V1</t>
        </is>
      </c>
      <c r="AB26" t="inlineStr">
        <is>
          <t>RE: vehicle's 1 and 2 were traveling north on sr 1602 attempting to merge onto us 158; V1 at fault</t>
        </is>
      </c>
    </row>
    <row r="27">
      <c r="A27" t="inlineStr">
        <is>
          <t>OXFORD</t>
        </is>
      </c>
      <c r="B27" t="inlineStr">
        <is>
          <t>MAIN</t>
        </is>
      </c>
      <c r="C27">
        <v>0.114</v>
      </c>
      <c r="D27" t="inlineStr">
        <is>
          <t>S</t>
        </is>
      </c>
      <c r="E27" t="inlineStr">
        <is>
          <t>WILLIAMSBORO</t>
        </is>
      </c>
      <c r="F27" t="inlineStr">
        <is>
          <t>SPRING</t>
        </is>
      </c>
      <c r="G27" t="inlineStr">
        <is>
          <t>SR 1602</t>
        </is>
      </c>
      <c r="H27">
        <v>1.39</v>
      </c>
      <c r="J27" s="604" t="inlineStr">
        <is>
          <t>NIS</t>
        </is>
      </c>
      <c r="K27">
        <v>105255322</v>
      </c>
      <c r="L27" s="2">
        <v>43025</v>
      </c>
      <c r="M27">
        <v>31</v>
      </c>
      <c r="N27">
        <v>1</v>
      </c>
      <c r="O27">
        <v>0</v>
      </c>
      <c r="P27">
        <v>1</v>
      </c>
      <c r="Q27" t="inlineStr">
        <is>
          <t>O</t>
        </is>
      </c>
      <c r="W27" t="inlineStr">
        <is>
          <t>in Main St angled parking mid-block between Williamsboro and Spring per diagram, about 160' N of Spring, &gt;150'</t>
        </is>
      </c>
      <c r="X27" t="inlineStr">
        <is>
          <t>Other</t>
        </is>
      </c>
      <c r="Z27" t="inlineStr">
        <is>
          <t>Unk</t>
        </is>
      </c>
      <c r="AA27" t="inlineStr">
        <is>
          <t>V2</t>
        </is>
      </c>
      <c r="AB27" t="inlineStr">
        <is>
          <t>Backing: "vehicle one was parked facing east on main street when it was struck in the left rear...; V2 at fault</t>
        </is>
      </c>
    </row>
    <row r="28">
      <c r="A28" t="inlineStr">
        <is>
          <t>OXFORD</t>
        </is>
      </c>
      <c r="B28" t="inlineStr">
        <is>
          <t>MAIN</t>
        </is>
      </c>
      <c r="C28">
        <v>0.0</v>
      </c>
      <c r="D28" t="inlineStr">
        <is>
          <t>E</t>
        </is>
      </c>
      <c r="E28" t="inlineStr">
        <is>
          <t>WILLIAMSBORO</t>
        </is>
      </c>
      <c r="F28" t="inlineStr">
        <is>
          <t>SPRING</t>
        </is>
      </c>
      <c r="G28" t="inlineStr">
        <is>
          <t>SR 1602</t>
        </is>
      </c>
      <c r="H28">
        <v>1.504</v>
      </c>
      <c r="J28" s="604" t="inlineStr">
        <is>
          <t>NIS</t>
        </is>
      </c>
      <c r="K28">
        <v>105471861</v>
      </c>
      <c r="L28" s="2">
        <v>43228</v>
      </c>
      <c r="M28">
        <v>18</v>
      </c>
      <c r="N28">
        <v>1</v>
      </c>
      <c r="O28">
        <v>0</v>
      </c>
      <c r="P28">
        <v>1</v>
      </c>
      <c r="Q28" t="inlineStr">
        <is>
          <t>O</t>
        </is>
      </c>
      <c r="W28" t="inlineStr">
        <is>
          <t>Post Office angled parking row on Main per diagram, coded from Williamsboro toward Spring with no distance; row starts 140' N of Spring, not placed within 150'</t>
        </is>
      </c>
      <c r="X28" t="inlineStr">
        <is>
          <t>Other</t>
        </is>
      </c>
      <c r="Y28" t="inlineStr">
        <is>
          <t>Unk</t>
        </is>
      </c>
      <c r="Z28" t="inlineStr">
        <is>
          <t>SBT</t>
        </is>
      </c>
      <c r="AA28" t="inlineStr">
        <is>
          <t>V1</t>
        </is>
      </c>
      <c r="AB28" t="inlineStr">
        <is>
          <t>Backing: unit 1 backed from a parking space into unit 2 stopped in the lane; V1 at fault</t>
        </is>
      </c>
    </row>
    <row r="29">
      <c r="A29" t="inlineStr">
        <is>
          <t>OXFORD</t>
        </is>
      </c>
      <c r="B29" t="inlineStr">
        <is>
          <t>MAIN</t>
        </is>
      </c>
      <c r="C29">
        <v>0.038</v>
      </c>
      <c r="D29" t="inlineStr">
        <is>
          <t>N</t>
        </is>
      </c>
      <c r="E29" t="inlineStr">
        <is>
          <t>SPRING</t>
        </is>
      </c>
      <c r="F29" t="inlineStr">
        <is>
          <t>LITTLE JOHN</t>
        </is>
      </c>
      <c r="G29" t="inlineStr">
        <is>
          <t>SR 1602</t>
        </is>
      </c>
      <c r="H29">
        <v>1.398</v>
      </c>
      <c r="J29" s="604" t="inlineStr">
        <is>
          <t>NIS</t>
        </is>
      </c>
      <c r="K29">
        <v>105555859</v>
      </c>
      <c r="L29" s="2">
        <v>43311</v>
      </c>
      <c r="M29">
        <v>20</v>
      </c>
      <c r="N29">
        <v>1</v>
      </c>
      <c r="O29">
        <v>0</v>
      </c>
      <c r="P29">
        <v>1</v>
      </c>
      <c r="W29" t="inlineStr">
        <is>
          <t>parked in front of the Post Office on Main, coded 200' N of Spring; &gt;150'</t>
        </is>
      </c>
      <c r="X29" t="inlineStr">
        <is>
          <t>Other</t>
        </is>
      </c>
      <c r="Y29" t="inlineStr">
        <is>
          <t>NBT</t>
        </is>
      </c>
      <c r="AA29" t="inlineStr">
        <is>
          <t>V1</t>
        </is>
      </c>
      <c r="AB29" t="inlineStr">
        <is>
          <t>Parked: hit and run on a parked vehicle; V1 at fault</t>
        </is>
      </c>
    </row>
    <row r="30">
      <c r="A30" t="inlineStr">
        <is>
          <t>RURAL</t>
        </is>
      </c>
      <c r="B30" t="inlineStr">
        <is>
          <t>SR 1602</t>
        </is>
      </c>
      <c r="C30">
        <v>0.6</v>
      </c>
      <c r="D30" t="inlineStr">
        <is>
          <t>S</t>
        </is>
      </c>
      <c r="E30" t="inlineStr">
        <is>
          <t>US 158</t>
        </is>
      </c>
      <c r="F30" t="inlineStr">
        <is>
          <t>SR 1650</t>
        </is>
      </c>
      <c r="G30" t="inlineStr">
        <is>
          <t>SR 1602</t>
        </is>
      </c>
      <c r="H30">
        <v>0.904</v>
      </c>
      <c r="J30" s="604" t="inlineStr">
        <is>
          <t>NIS</t>
        </is>
      </c>
      <c r="K30">
        <v>105563645</v>
      </c>
      <c r="L30" s="2">
        <v>43315</v>
      </c>
      <c r="M30">
        <v>21</v>
      </c>
      <c r="N30">
        <v>2</v>
      </c>
      <c r="O30">
        <v>4</v>
      </c>
      <c r="P30">
        <v>1</v>
      </c>
      <c r="Q30" t="inlineStr">
        <is>
          <t>O</t>
        </is>
      </c>
      <c r="W30" t="inlineStr">
        <is>
          <t>rural SR 1602 at Shalag US Inc PVA, 0.6 mi S of US 158 outside town per location block and diagram, &gt;150'</t>
        </is>
      </c>
      <c r="X30" t="inlineStr">
        <is>
          <t>RE</t>
        </is>
      </c>
      <c r="Y30" t="inlineStr">
        <is>
          <t>NBT</t>
        </is>
      </c>
      <c r="Z30" t="inlineStr">
        <is>
          <t>NBT</t>
        </is>
      </c>
      <c r="AA30" t="inlineStr">
        <is>
          <t>V1</t>
        </is>
      </c>
      <c r="AB30" t="inlineStr">
        <is>
          <t>RE: "vehicle's 1, 2, and 3 were traveling north on sr 1602; V1 at fault</t>
        </is>
      </c>
    </row>
    <row r="31">
      <c r="A31" t="inlineStr">
        <is>
          <t>OXFORD</t>
        </is>
      </c>
      <c r="B31" t="inlineStr">
        <is>
          <t>MAIN</t>
        </is>
      </c>
      <c r="C31">
        <v>0.0</v>
      </c>
      <c r="E31" t="inlineStr">
        <is>
          <t>LITTLE JOHN</t>
        </is>
      </c>
      <c r="F31" t="inlineStr">
        <is>
          <t>SPRING</t>
        </is>
      </c>
      <c r="G31" t="inlineStr">
        <is>
          <t>SR 1602</t>
        </is>
      </c>
      <c r="H31">
        <v>1.421</v>
      </c>
      <c r="J31" s="604" t="inlineStr">
        <is>
          <t>NIS</t>
        </is>
      </c>
      <c r="K31">
        <v>105733123</v>
      </c>
      <c r="L31" s="2">
        <v>43467</v>
      </c>
      <c r="M31">
        <v>30</v>
      </c>
      <c r="N31">
        <v>1</v>
      </c>
      <c r="O31">
        <v>0</v>
      </c>
      <c r="P31">
        <v>1</v>
      </c>
      <c r="Q31" t="inlineStr">
        <is>
          <t>O</t>
        </is>
      </c>
      <c r="W31" t="inlineStr">
        <is>
          <t>at Little John St per diagram and narrative, backing from Main St parking space, &gt;150'</t>
        </is>
      </c>
      <c r="X31" t="inlineStr">
        <is>
          <t>Other</t>
        </is>
      </c>
      <c r="Y31" t="inlineStr">
        <is>
          <t>WBL</t>
        </is>
      </c>
      <c r="Z31" t="inlineStr">
        <is>
          <t>Unk</t>
        </is>
      </c>
      <c r="AA31" t="inlineStr">
        <is>
          <t>Unclear</t>
        </is>
      </c>
      <c r="AB31" t="inlineStr">
        <is>
          <t>Backing: vehicle 2 was parked on main st</t>
        </is>
      </c>
    </row>
    <row r="32">
      <c r="A32" t="inlineStr">
        <is>
          <t>OXFORD</t>
        </is>
      </c>
      <c r="B32" t="inlineStr">
        <is>
          <t>MAIN</t>
        </is>
      </c>
      <c r="C32">
        <v>0.011</v>
      </c>
      <c r="D32" t="inlineStr">
        <is>
          <t>S</t>
        </is>
      </c>
      <c r="E32" t="inlineStr">
        <is>
          <t>WILLIAMSBORO</t>
        </is>
      </c>
      <c r="F32" t="inlineStr">
        <is>
          <t>MAIN</t>
        </is>
      </c>
      <c r="G32" t="inlineStr">
        <is>
          <t>SR 1602</t>
        </is>
      </c>
      <c r="H32">
        <v>1.493</v>
      </c>
      <c r="J32" s="604" t="inlineStr">
        <is>
          <t>NIS</t>
        </is>
      </c>
      <c r="K32">
        <v>105803061</v>
      </c>
      <c r="L32" s="2">
        <v>43540</v>
      </c>
      <c r="M32">
        <v>32</v>
      </c>
      <c r="N32">
        <v>1</v>
      </c>
      <c r="O32">
        <v>0</v>
      </c>
      <c r="P32">
        <v>1</v>
      </c>
      <c r="Q32" t="inlineStr">
        <is>
          <t>O</t>
        </is>
      </c>
      <c r="W32" t="inlineStr">
        <is>
          <t>angled parking on Main 60' S of Williamsboro per location block and diagram, about 700' N of Spring, &gt;150'</t>
        </is>
      </c>
      <c r="X32" t="inlineStr">
        <is>
          <t>Other</t>
        </is>
      </c>
      <c r="Y32" t="inlineStr">
        <is>
          <t>NBR</t>
        </is>
      </c>
      <c r="AA32" t="inlineStr">
        <is>
          <t>V1</t>
        </is>
      </c>
      <c r="AB32" t="inlineStr">
        <is>
          <t>Parked: hr i was dispatched to main street in reference to an accident; V1 at fault</t>
        </is>
      </c>
    </row>
    <row r="33">
      <c r="A33" t="inlineStr">
        <is>
          <t>OXFORD</t>
        </is>
      </c>
      <c r="B33" t="inlineStr">
        <is>
          <t>PVA SUNTRUST BANK PVA</t>
        </is>
      </c>
      <c r="C33">
        <v>0.0</v>
      </c>
      <c r="E33" t="inlineStr">
        <is>
          <t>MAIN</t>
        </is>
      </c>
      <c r="F33" t="inlineStr">
        <is>
          <t>SPRING</t>
        </is>
      </c>
      <c r="H33">
        <v>999.999</v>
      </c>
      <c r="J33" s="604" t="inlineStr">
        <is>
          <t>NIS</t>
        </is>
      </c>
      <c r="K33">
        <v>106017912</v>
      </c>
      <c r="L33" s="2">
        <v>43739</v>
      </c>
      <c r="M33">
        <v>31</v>
      </c>
      <c r="N33">
        <v>1</v>
      </c>
      <c r="O33">
        <v>0</v>
      </c>
      <c r="P33">
        <v>1</v>
      </c>
      <c r="Q33" t="inlineStr">
        <is>
          <t>O</t>
        </is>
      </c>
      <c r="W33" t="inlineStr">
        <is>
          <t>entirely in the SunTrust Bank parking lot (PVA) per diagram and narrative; parking lot crash</t>
        </is>
      </c>
      <c r="X33" t="inlineStr">
        <is>
          <t>Other</t>
        </is>
      </c>
      <c r="Y33" t="inlineStr">
        <is>
          <t>Unk</t>
        </is>
      </c>
      <c r="Z33" t="inlineStr">
        <is>
          <t>NBT</t>
        </is>
      </c>
      <c r="AA33" t="inlineStr">
        <is>
          <t>V1</t>
        </is>
      </c>
      <c r="AB33" t="inlineStr">
        <is>
          <t>Backing: unit 1 backed into unit 2 leaving a space in the lot; V1 at fault</t>
        </is>
      </c>
    </row>
    <row r="34">
      <c r="A34" t="inlineStr">
        <is>
          <t>OXFORD</t>
        </is>
      </c>
      <c r="B34" t="inlineStr">
        <is>
          <t>PVA SPRING STREET</t>
        </is>
      </c>
      <c r="C34">
        <v>0.004</v>
      </c>
      <c r="D34" t="inlineStr">
        <is>
          <t>N</t>
        </is>
      </c>
      <c r="E34" t="inlineStr">
        <is>
          <t>SPRING</t>
        </is>
      </c>
      <c r="F34" t="inlineStr">
        <is>
          <t>MAIN</t>
        </is>
      </c>
      <c r="G34" t="inlineStr">
        <is>
          <t>SPRING</t>
        </is>
      </c>
      <c r="H34">
        <v>999.999</v>
      </c>
      <c r="J34" s="604" t="inlineStr">
        <is>
          <t>NIS</t>
        </is>
      </c>
      <c r="K34">
        <v>106036274</v>
      </c>
      <c r="L34" s="2">
        <v>43761</v>
      </c>
      <c r="M34">
        <v>20</v>
      </c>
      <c r="N34">
        <v>1</v>
      </c>
      <c r="O34">
        <v>4</v>
      </c>
      <c r="P34">
        <v>1</v>
      </c>
      <c r="Q34" t="inlineStr">
        <is>
          <t>O</t>
        </is>
      </c>
      <c r="W34" t="inlineStr">
        <is>
          <t>in a PVA off W Spring per location block, no diagram (hit and run); parking lot crash</t>
        </is>
      </c>
      <c r="X34" t="inlineStr">
        <is>
          <t>Other</t>
        </is>
      </c>
      <c r="Z34" t="inlineStr">
        <is>
          <t>Unk</t>
        </is>
      </c>
      <c r="AA34" t="inlineStr">
        <is>
          <t>V2</t>
        </is>
      </c>
      <c r="AB34" t="inlineStr">
        <is>
          <t>Parked: hit and run on a parked vehicle in a driveway; V2 at fault</t>
        </is>
      </c>
    </row>
    <row r="35">
      <c r="A35" t="inlineStr">
        <is>
          <t>OXFORD</t>
        </is>
      </c>
      <c r="B35" t="inlineStr">
        <is>
          <t>MAIN</t>
        </is>
      </c>
      <c r="C35">
        <v>0.095</v>
      </c>
      <c r="D35" t="inlineStr">
        <is>
          <t>N</t>
        </is>
      </c>
      <c r="E35" t="inlineStr">
        <is>
          <t>SPRING</t>
        </is>
      </c>
      <c r="F35" t="inlineStr">
        <is>
          <t>SYCAMORE</t>
        </is>
      </c>
      <c r="G35" t="inlineStr">
        <is>
          <t>SR 1602</t>
        </is>
      </c>
      <c r="H35">
        <v>1.455</v>
      </c>
      <c r="J35" s="604" t="inlineStr">
        <is>
          <t>NIS</t>
        </is>
      </c>
      <c r="K35">
        <v>106038134</v>
      </c>
      <c r="L35" s="2">
        <v>43763</v>
      </c>
      <c r="M35">
        <v>31</v>
      </c>
      <c r="N35">
        <v>1</v>
      </c>
      <c r="O35">
        <v>0</v>
      </c>
      <c r="P35">
        <v>1</v>
      </c>
      <c r="Q35" t="inlineStr">
        <is>
          <t>O</t>
        </is>
      </c>
      <c r="W35" t="inlineStr">
        <is>
          <t>Post Office angled parking on Main per diagram, coded 500' N of Spring; &gt;150'</t>
        </is>
      </c>
      <c r="X35" t="inlineStr">
        <is>
          <t>Other</t>
        </is>
      </c>
      <c r="Y35" t="inlineStr">
        <is>
          <t>Unk</t>
        </is>
      </c>
      <c r="Z35" t="inlineStr">
        <is>
          <t>SBT</t>
        </is>
      </c>
      <c r="AA35" t="inlineStr">
        <is>
          <t>V1</t>
        </is>
      </c>
      <c r="AB35" t="inlineStr">
        <is>
          <t>Backing: unit 1 backed from a space into unit 2; V1 at fault</t>
        </is>
      </c>
    </row>
    <row r="36">
      <c r="A36" t="inlineStr">
        <is>
          <t>OXFORD</t>
        </is>
      </c>
      <c r="B36" t="inlineStr">
        <is>
          <t>MAIN</t>
        </is>
      </c>
      <c r="C36">
        <v>0.0</v>
      </c>
      <c r="E36" t="inlineStr">
        <is>
          <t>LITTLE JOHN</t>
        </is>
      </c>
      <c r="F36" t="inlineStr">
        <is>
          <t>SPRING</t>
        </is>
      </c>
      <c r="G36" t="inlineStr">
        <is>
          <t>SR 1602</t>
        </is>
      </c>
      <c r="H36">
        <v>1.421</v>
      </c>
      <c r="J36" s="604" t="inlineStr">
        <is>
          <t>NIS</t>
        </is>
      </c>
      <c r="K36">
        <v>106197362</v>
      </c>
      <c r="L36" s="2">
        <v>43915</v>
      </c>
      <c r="M36">
        <v>21</v>
      </c>
      <c r="N36">
        <v>2</v>
      </c>
      <c r="O36">
        <v>8</v>
      </c>
      <c r="P36">
        <v>1</v>
      </c>
      <c r="Q36" t="inlineStr">
        <is>
          <t>O</t>
        </is>
      </c>
      <c r="W36" t="inlineStr">
        <is>
          <t>impact drawn N of Little John St in SB Main lane per diagram, unit 1 fled down Little John, &gt;150'</t>
        </is>
      </c>
      <c r="X36" t="inlineStr">
        <is>
          <t>RE</t>
        </is>
      </c>
      <c r="Y36" t="inlineStr">
        <is>
          <t>SBT</t>
        </is>
      </c>
      <c r="Z36" t="inlineStr">
        <is>
          <t>SBT</t>
        </is>
      </c>
      <c r="AA36" t="inlineStr">
        <is>
          <t>V1</t>
        </is>
      </c>
      <c r="AB36" t="inlineStr">
        <is>
          <t>RE: vehicle 1 and 2 were traveling south on main st; V1 at fault</t>
        </is>
      </c>
    </row>
    <row r="37">
      <c r="A37" t="inlineStr">
        <is>
          <t>OXFORD</t>
        </is>
      </c>
      <c r="B37" t="inlineStr">
        <is>
          <t>MAIN</t>
        </is>
      </c>
      <c r="C37">
        <v>0.0</v>
      </c>
      <c r="D37" t="inlineStr">
        <is>
          <t>S</t>
        </is>
      </c>
      <c r="E37" t="inlineStr">
        <is>
          <t>HILLSBORO</t>
        </is>
      </c>
      <c r="F37" t="inlineStr">
        <is>
          <t>FRONT</t>
        </is>
      </c>
      <c r="G37" t="inlineStr">
        <is>
          <t>MAIN</t>
        </is>
      </c>
      <c r="H37">
        <v>999.999</v>
      </c>
      <c r="J37" s="604" t="inlineStr">
        <is>
          <t>NIS</t>
        </is>
      </c>
      <c r="K37">
        <v>106558296</v>
      </c>
      <c r="L37" s="2">
        <v>44309</v>
      </c>
      <c r="M37">
        <v>30</v>
      </c>
      <c r="N37">
        <v>1</v>
      </c>
      <c r="O37">
        <v>0</v>
      </c>
      <c r="P37">
        <v>1</v>
      </c>
      <c r="Q37" t="inlineStr">
        <is>
          <t>O</t>
        </is>
      </c>
      <c r="W37" t="inlineStr">
        <is>
          <t>at E Front St crosswalk per diagram and narrative, 1,100' S of Spring</t>
        </is>
      </c>
      <c r="X37" t="inlineStr">
        <is>
          <t>RE</t>
        </is>
      </c>
      <c r="Y37" t="inlineStr">
        <is>
          <t>SBT</t>
        </is>
      </c>
      <c r="Z37" t="inlineStr">
        <is>
          <t>SBT</t>
        </is>
      </c>
      <c r="AA37" t="inlineStr">
        <is>
          <t>V1</t>
        </is>
      </c>
      <c r="AB37" t="inlineStr">
        <is>
          <t>RE: unit 1 was traveling south down main st; V1 at fault</t>
        </is>
      </c>
    </row>
    <row r="38">
      <c r="A38" t="inlineStr">
        <is>
          <t>OXFORD</t>
        </is>
      </c>
      <c r="B38" t="inlineStr">
        <is>
          <t>SPRING</t>
        </is>
      </c>
      <c r="C38">
        <v>0.0</v>
      </c>
      <c r="E38" t="inlineStr">
        <is>
          <t>WILLIAMSBORO</t>
        </is>
      </c>
      <c r="F38" t="inlineStr">
        <is>
          <t>SPRING</t>
        </is>
      </c>
      <c r="G38" t="inlineStr">
        <is>
          <t>SPRING</t>
        </is>
      </c>
      <c r="H38">
        <v>999.999</v>
      </c>
      <c r="J38" s="604" t="inlineStr">
        <is>
          <t>NIS</t>
        </is>
      </c>
      <c r="K38">
        <v>106899128</v>
      </c>
      <c r="L38" s="2">
        <v>44578</v>
      </c>
      <c r="M38">
        <v>20</v>
      </c>
      <c r="N38">
        <v>1</v>
      </c>
      <c r="O38">
        <v>0</v>
      </c>
      <c r="P38">
        <v>1</v>
      </c>
      <c r="W38" t="inlineStr">
        <is>
          <t>at 703 E Spring St per narrative, coded at Williamsboro St, mid-block segment on diagram, &gt;150'</t>
        </is>
      </c>
      <c r="X38" t="inlineStr">
        <is>
          <t>Other</t>
        </is>
      </c>
      <c r="Y38" t="inlineStr">
        <is>
          <t>WBT</t>
        </is>
      </c>
      <c r="AA38" t="inlineStr">
        <is>
          <t>V1</t>
        </is>
      </c>
      <c r="AB38" t="inlineStr">
        <is>
          <t>Parked: hrs i was dispatched to 703 e spring st in reference to a vehicle accident; V1 at fault</t>
        </is>
      </c>
    </row>
    <row r="39">
      <c r="A39" t="inlineStr">
        <is>
          <t>OXFORD</t>
        </is>
      </c>
      <c r="B39" t="inlineStr">
        <is>
          <t>SPRING</t>
        </is>
      </c>
      <c r="C39">
        <v>0.0</v>
      </c>
      <c r="E39" t="inlineStr">
        <is>
          <t>MARTIN LUTHER KING</t>
        </is>
      </c>
      <c r="F39" t="inlineStr">
        <is>
          <t>MAIN</t>
        </is>
      </c>
      <c r="G39" t="inlineStr">
        <is>
          <t>SPRING</t>
        </is>
      </c>
      <c r="H39">
        <v>999.999</v>
      </c>
      <c r="J39" s="604" t="inlineStr">
        <is>
          <t>NIS</t>
        </is>
      </c>
      <c r="K39">
        <v>106955408</v>
      </c>
      <c r="L39" s="2">
        <v>44683</v>
      </c>
      <c r="M39">
        <v>13</v>
      </c>
      <c r="N39">
        <v>1</v>
      </c>
      <c r="O39">
        <v>0</v>
      </c>
      <c r="P39">
        <v>1</v>
      </c>
      <c r="Q39" t="inlineStr">
        <is>
          <t>A</t>
        </is>
      </c>
      <c r="R39">
        <v>36.309199</v>
      </c>
      <c r="S39">
        <v>-78.590109</v>
      </c>
      <c r="T39" t="inlineStr">
        <is>
          <t>ITRE_SEVEREINJURY</t>
        </is>
      </c>
      <c r="V39">
        <v>0.1650698194535878</v>
      </c>
      <c r="W39" t="inlineStr">
        <is>
          <t>at MLK Jr Ave per narrative and diagram, 875' W of Main</t>
        </is>
      </c>
      <c r="X39" t="inlineStr">
        <is>
          <t>Overturn</t>
        </is>
      </c>
      <c r="Y39" t="inlineStr">
        <is>
          <t>EBT</t>
        </is>
      </c>
      <c r="AA39" t="inlineStr">
        <is>
          <t>V1</t>
        </is>
      </c>
      <c r="AB39" t="inlineStr">
        <is>
          <t>Overturn: vehicle 1 was traveling east on spring st headed towards mlk jr; V1 at fault</t>
        </is>
      </c>
    </row>
    <row r="40">
      <c r="A40" t="inlineStr">
        <is>
          <t>OXFORD</t>
        </is>
      </c>
      <c r="B40" t="inlineStr">
        <is>
          <t>SPRING</t>
        </is>
      </c>
      <c r="C40">
        <v>0.0</v>
      </c>
      <c r="E40" t="inlineStr">
        <is>
          <t>PARK</t>
        </is>
      </c>
      <c r="F40" t="inlineStr">
        <is>
          <t>SPRING</t>
        </is>
      </c>
      <c r="G40" t="inlineStr">
        <is>
          <t>SPRING</t>
        </is>
      </c>
      <c r="H40">
        <v>999.999</v>
      </c>
      <c r="J40" s="604" t="inlineStr">
        <is>
          <t>NIS</t>
        </is>
      </c>
      <c r="K40">
        <v>107105886</v>
      </c>
      <c r="L40" s="2">
        <v>44835</v>
      </c>
      <c r="M40">
        <v>3</v>
      </c>
      <c r="N40">
        <v>2</v>
      </c>
      <c r="O40">
        <v>0</v>
      </c>
      <c r="P40">
        <v>6</v>
      </c>
      <c r="W40" t="inlineStr">
        <is>
          <t>at Park Dr per location block and narrative, 3,410' E of Main</t>
        </is>
      </c>
      <c r="X40" t="inlineStr">
        <is>
          <t>RORS</t>
        </is>
      </c>
      <c r="Y40" t="inlineStr">
        <is>
          <t>NBL</t>
        </is>
      </c>
      <c r="AA40" t="inlineStr">
        <is>
          <t>V1</t>
        </is>
      </c>
      <c r="AB40" t="inlineStr">
        <is>
          <t>RORS: hrs i was dispatched to the intersection of e spring st and park dr in reference to a hit...; V1 at fault</t>
        </is>
      </c>
    </row>
    <row r="41">
      <c r="A41" t="inlineStr">
        <is>
          <t>OXFORD</t>
        </is>
      </c>
      <c r="B41" t="inlineStr">
        <is>
          <t>SPRING</t>
        </is>
      </c>
      <c r="C41">
        <v>0.0</v>
      </c>
      <c r="E41" t="inlineStr">
        <is>
          <t>ORANGE</t>
        </is>
      </c>
      <c r="G41" t="inlineStr">
        <is>
          <t>SPRING</t>
        </is>
      </c>
      <c r="H41">
        <v>999.999</v>
      </c>
      <c r="J41" s="604" t="inlineStr">
        <is>
          <t>NIS</t>
        </is>
      </c>
      <c r="K41">
        <v>107195886</v>
      </c>
      <c r="L41" s="2">
        <v>44848</v>
      </c>
      <c r="M41">
        <v>28</v>
      </c>
      <c r="N41">
        <v>1</v>
      </c>
      <c r="O41">
        <v>0</v>
      </c>
      <c r="P41">
        <v>1</v>
      </c>
      <c r="Q41" t="inlineStr">
        <is>
          <t>O</t>
        </is>
      </c>
      <c r="W41" t="inlineStr">
        <is>
          <t>at Orange St per narrative and location block, 1,730' W of Main</t>
        </is>
      </c>
      <c r="X41" t="inlineStr">
        <is>
          <t>LTSR</t>
        </is>
      </c>
      <c r="Y41" t="inlineStr">
        <is>
          <t>SBL</t>
        </is>
      </c>
      <c r="Z41" t="inlineStr">
        <is>
          <t>NBT</t>
        </is>
      </c>
      <c r="AA41" t="inlineStr">
        <is>
          <t>V1</t>
        </is>
      </c>
      <c r="AB41" t="inlineStr">
        <is>
          <t>LTSR: while unit 2 was traveling north on west spring st, unit 1 was traveling south on west...; V1 at fault</t>
        </is>
      </c>
    </row>
    <row r="42">
      <c r="A42" t="inlineStr">
        <is>
          <t>RURAL</t>
        </is>
      </c>
      <c r="B42" t="inlineStr">
        <is>
          <t>SR 1602</t>
        </is>
      </c>
      <c r="C42">
        <v>0.1</v>
      </c>
      <c r="D42" t="inlineStr">
        <is>
          <t>E</t>
        </is>
      </c>
      <c r="E42" t="inlineStr">
        <is>
          <t>US 158</t>
        </is>
      </c>
      <c r="F42" t="inlineStr">
        <is>
          <t>MALULI</t>
        </is>
      </c>
      <c r="G42" t="inlineStr">
        <is>
          <t>SR 1602</t>
        </is>
      </c>
      <c r="H42">
        <v>1.404</v>
      </c>
      <c r="J42" s="604" t="inlineStr">
        <is>
          <t>NIS</t>
        </is>
      </c>
      <c r="K42">
        <v>107150708</v>
      </c>
      <c r="L42" s="2">
        <v>44880</v>
      </c>
      <c r="M42">
        <v>19</v>
      </c>
      <c r="N42">
        <v>1</v>
      </c>
      <c r="O42">
        <v>0</v>
      </c>
      <c r="P42">
        <v>4</v>
      </c>
      <c r="W42" t="inlineStr">
        <is>
          <t>rural curve on SR 1602 outside city limits 0.1 mi E of US 158 per diagram and location block, &gt;150'</t>
        </is>
      </c>
      <c r="X42" t="inlineStr">
        <is>
          <t>RORR</t>
        </is>
      </c>
      <c r="Y42" t="inlineStr">
        <is>
          <t>WBT</t>
        </is>
      </c>
      <c r="AA42" t="inlineStr">
        <is>
          <t>V1</t>
        </is>
      </c>
      <c r="AB42" t="inlineStr">
        <is>
          <t>RORR: vehicle 1 was traveling west on sr1602; V1 at fault</t>
        </is>
      </c>
    </row>
    <row r="43">
      <c r="A43" t="inlineStr">
        <is>
          <t>OXFORD</t>
        </is>
      </c>
      <c r="B43" t="inlineStr">
        <is>
          <t>MAIN</t>
        </is>
      </c>
      <c r="C43">
        <v>0.028</v>
      </c>
      <c r="D43" t="inlineStr">
        <is>
          <t>N</t>
        </is>
      </c>
      <c r="E43" t="inlineStr">
        <is>
          <t>LITTLE JOHN</t>
        </is>
      </c>
      <c r="F43" t="inlineStr">
        <is>
          <t>SPRING</t>
        </is>
      </c>
      <c r="G43" t="inlineStr">
        <is>
          <t>SR 1602</t>
        </is>
      </c>
      <c r="H43">
        <v>1.449</v>
      </c>
      <c r="J43" s="604" t="inlineStr">
        <is>
          <t>NIS</t>
        </is>
      </c>
      <c r="K43">
        <v>107343387</v>
      </c>
      <c r="L43" s="2">
        <v>45063</v>
      </c>
      <c r="M43">
        <v>30</v>
      </c>
      <c r="N43">
        <v>1</v>
      </c>
      <c r="O43">
        <v>0</v>
      </c>
      <c r="P43">
        <v>1</v>
      </c>
      <c r="W43" t="inlineStr">
        <is>
          <t>parked at the Post Office on Main, coded 150' N of Little John (about 470' N of Spring); &gt;150'</t>
        </is>
      </c>
      <c r="X43" t="inlineStr">
        <is>
          <t>Other</t>
        </is>
      </c>
      <c r="Y43" t="inlineStr">
        <is>
          <t>SBT</t>
        </is>
      </c>
      <c r="AA43" t="inlineStr">
        <is>
          <t>V1</t>
        </is>
      </c>
      <c r="AB43" t="inlineStr">
        <is>
          <t>Parked: unattended parked vehicle struck, hit and run; V1 at fault</t>
        </is>
      </c>
    </row>
    <row r="44">
      <c r="A44" t="inlineStr">
        <is>
          <t>OXFORD</t>
        </is>
      </c>
      <c r="B44" t="inlineStr">
        <is>
          <t>PVA MAIN ST</t>
        </is>
      </c>
      <c r="C44">
        <v>0.0</v>
      </c>
      <c r="E44" t="inlineStr">
        <is>
          <t>PVA W SPRING ST</t>
        </is>
      </c>
      <c r="F44" t="inlineStr">
        <is>
          <t>SPRING</t>
        </is>
      </c>
      <c r="G44" t="inlineStr">
        <is>
          <t>SR 1602</t>
        </is>
      </c>
      <c r="H44">
        <v>1.36</v>
      </c>
      <c r="J44" s="604" t="inlineStr">
        <is>
          <t>NIS</t>
        </is>
      </c>
      <c r="K44">
        <v>107433763</v>
      </c>
      <c r="L44" s="2">
        <v>45162</v>
      </c>
      <c r="M44">
        <v>31</v>
      </c>
      <c r="N44">
        <v>1</v>
      </c>
      <c r="O44">
        <v>0</v>
      </c>
      <c r="P44">
        <v>1</v>
      </c>
      <c r="W44" t="inlineStr">
        <is>
          <t>entirely in the Library parking lot off W Spring per diagram and narrative; parking lot crash</t>
        </is>
      </c>
      <c r="X44" t="inlineStr">
        <is>
          <t>Other</t>
        </is>
      </c>
      <c r="Y44" t="inlineStr">
        <is>
          <t>Unk</t>
        </is>
      </c>
      <c r="Z44" t="inlineStr">
        <is>
          <t>WBT</t>
        </is>
      </c>
      <c r="AA44" t="inlineStr">
        <is>
          <t>V1</t>
        </is>
      </c>
      <c r="AB44" t="inlineStr">
        <is>
          <t>Backing: unit 1 backed out of a space into unit 2 in the lot; V1 at fault</t>
        </is>
      </c>
    </row>
    <row r="45">
      <c r="A45" t="inlineStr">
        <is>
          <t>OXFORD</t>
        </is>
      </c>
      <c r="B45" t="inlineStr">
        <is>
          <t>MAIN</t>
        </is>
      </c>
      <c r="C45">
        <v>0.0</v>
      </c>
      <c r="E45" t="inlineStr">
        <is>
          <t>LITTLE JOHN</t>
        </is>
      </c>
      <c r="F45" t="inlineStr">
        <is>
          <t>MAIN</t>
        </is>
      </c>
      <c r="G45" t="inlineStr">
        <is>
          <t>SR 1602</t>
        </is>
      </c>
      <c r="H45">
        <v>1.421</v>
      </c>
      <c r="J45" s="604" t="inlineStr">
        <is>
          <t>NIS</t>
        </is>
      </c>
      <c r="K45">
        <v>107470908</v>
      </c>
      <c r="L45" s="2">
        <v>45196</v>
      </c>
      <c r="M45">
        <v>21</v>
      </c>
      <c r="N45">
        <v>1</v>
      </c>
      <c r="O45">
        <v>0</v>
      </c>
      <c r="P45">
        <v>1</v>
      </c>
      <c r="Q45" t="inlineStr">
        <is>
          <t>O</t>
        </is>
      </c>
      <c r="W45" t="inlineStr">
        <is>
          <t>at Little John St per location block, no diagram, narrative does not place it nearer Spring, &gt;150'</t>
        </is>
      </c>
      <c r="X45" t="inlineStr">
        <is>
          <t>RE</t>
        </is>
      </c>
      <c r="Y45" t="inlineStr">
        <is>
          <t>NBT</t>
        </is>
      </c>
      <c r="Z45" t="inlineStr">
        <is>
          <t>NBT</t>
        </is>
      </c>
      <c r="AA45" t="inlineStr">
        <is>
          <t>V1</t>
        </is>
      </c>
      <c r="AB45" t="inlineStr">
        <is>
          <t>RE: unit 1 stated she was traveling north on main street as unit 2 was in front of her; V1 at fault</t>
        </is>
      </c>
    </row>
    <row r="46">
      <c r="A46" t="inlineStr">
        <is>
          <t>OXFORD</t>
        </is>
      </c>
      <c r="B46" t="inlineStr">
        <is>
          <t>SPRING</t>
        </is>
      </c>
      <c r="C46">
        <v>0.0</v>
      </c>
      <c r="E46" t="inlineStr">
        <is>
          <t>MARTIN LUTHER KING</t>
        </is>
      </c>
      <c r="F46" t="inlineStr">
        <is>
          <t>SPRING</t>
        </is>
      </c>
      <c r="G46" t="inlineStr">
        <is>
          <t>SPRING</t>
        </is>
      </c>
      <c r="H46">
        <v>999.999</v>
      </c>
      <c r="J46" s="604" t="inlineStr">
        <is>
          <t>NIS</t>
        </is>
      </c>
      <c r="K46">
        <v>107874844</v>
      </c>
      <c r="L46" s="2">
        <v>45572</v>
      </c>
      <c r="M46">
        <v>28</v>
      </c>
      <c r="N46">
        <v>1</v>
      </c>
      <c r="O46">
        <v>7</v>
      </c>
      <c r="P46">
        <v>1</v>
      </c>
      <c r="Q46" t="inlineStr">
        <is>
          <t>O</t>
        </is>
      </c>
      <c r="W46" t="inlineStr">
        <is>
          <t>at MLK Jr Ave per narrative and location block, 875' W of Main</t>
        </is>
      </c>
      <c r="X46" t="inlineStr">
        <is>
          <t>SSSD</t>
        </is>
      </c>
      <c r="Y46" t="inlineStr">
        <is>
          <t>WBL</t>
        </is>
      </c>
      <c r="Z46" t="inlineStr">
        <is>
          <t>WBT</t>
        </is>
      </c>
      <c r="AA46" t="inlineStr">
        <is>
          <t>V2</t>
        </is>
      </c>
      <c r="AB46" t="inlineStr">
        <is>
          <t>SSSD: i was dispatched to a hit and run at e spring street and mlk; V2 at fault</t>
        </is>
      </c>
    </row>
    <row r="47">
      <c r="A47" t="inlineStr">
        <is>
          <t>OXFORD</t>
        </is>
      </c>
      <c r="B47" t="inlineStr">
        <is>
          <t>SPRING</t>
        </is>
      </c>
      <c r="C47">
        <v>0.0</v>
      </c>
      <c r="E47" t="inlineStr">
        <is>
          <t>GRANVILLE</t>
        </is>
      </c>
      <c r="F47" t="inlineStr">
        <is>
          <t>MAIN</t>
        </is>
      </c>
      <c r="G47" t="inlineStr">
        <is>
          <t>SPRING</t>
        </is>
      </c>
      <c r="H47">
        <v>0.09</v>
      </c>
      <c r="J47" s="604" t="inlineStr">
        <is>
          <t>NIS</t>
        </is>
      </c>
      <c r="K47">
        <v>107935640</v>
      </c>
      <c r="L47" s="2">
        <v>45608</v>
      </c>
      <c r="M47">
        <v>30</v>
      </c>
      <c r="N47">
        <v>1</v>
      </c>
      <c r="O47">
        <v>0</v>
      </c>
      <c r="P47">
        <v>4</v>
      </c>
      <c r="Q47" t="inlineStr">
        <is>
          <t>O</t>
        </is>
      </c>
      <c r="W47" t="inlineStr">
        <is>
          <t>at MLK Jr Ave per narrative, 875' W of Main</t>
        </is>
      </c>
      <c r="X47" t="inlineStr">
        <is>
          <t>LTSR</t>
        </is>
      </c>
      <c r="Y47" t="inlineStr">
        <is>
          <t>WBL</t>
        </is>
      </c>
      <c r="Z47" t="inlineStr">
        <is>
          <t>EBT</t>
        </is>
      </c>
      <c r="AA47" t="inlineStr">
        <is>
          <t>V1</t>
        </is>
      </c>
      <c r="AB47" t="inlineStr">
        <is>
          <t>LTSR: unit 1 was traveling west on w spring st; V1 at fault</t>
        </is>
      </c>
    </row>
    <row r="48">
      <c r="A48" t="inlineStr">
        <is>
          <t>OXFORD</t>
        </is>
      </c>
      <c r="B48" t="inlineStr">
        <is>
          <t>SPRING</t>
        </is>
      </c>
      <c r="C48">
        <v>0.0</v>
      </c>
      <c r="E48" t="inlineStr">
        <is>
          <t>SPRING</t>
        </is>
      </c>
      <c r="F48" t="inlineStr">
        <is>
          <t>MARTIN LUTHER KING</t>
        </is>
      </c>
      <c r="G48" t="inlineStr">
        <is>
          <t>SPRING</t>
        </is>
      </c>
      <c r="H48">
        <v>999.999</v>
      </c>
      <c r="J48" s="604" t="inlineStr">
        <is>
          <t>NIS</t>
        </is>
      </c>
      <c r="K48">
        <v>108080999</v>
      </c>
      <c r="L48" s="2">
        <v>45763</v>
      </c>
      <c r="M48">
        <v>31</v>
      </c>
      <c r="N48">
        <v>1</v>
      </c>
      <c r="O48">
        <v>13</v>
      </c>
      <c r="P48">
        <v>1</v>
      </c>
      <c r="Q48" t="inlineStr">
        <is>
          <t>O</t>
        </is>
      </c>
      <c r="W48" t="inlineStr">
        <is>
          <t>backed into parked car at 200 W Spring St per narrative, no diagram (vehicles moved), coded toward MLK; 200 block is W of Wall St, &gt;150'</t>
        </is>
      </c>
      <c r="X48" t="inlineStr">
        <is>
          <t>Other</t>
        </is>
      </c>
      <c r="Y48" t="inlineStr">
        <is>
          <t>Unk</t>
        </is>
      </c>
      <c r="AA48" t="inlineStr">
        <is>
          <t>V1</t>
        </is>
      </c>
      <c r="AB48" t="inlineStr">
        <is>
          <t>Backing: i responded to 200 w spring st due to a call about a vehicle collision with only property...; V1 at fault</t>
        </is>
      </c>
    </row>
    <row r="49">
      <c r="A49" t="inlineStr">
        <is>
          <t>OXFORD</t>
        </is>
      </c>
      <c r="B49" t="inlineStr">
        <is>
          <t>MAIN</t>
        </is>
      </c>
      <c r="C49">
        <v>0.0</v>
      </c>
      <c r="E49" t="inlineStr">
        <is>
          <t>HILLSBORO</t>
        </is>
      </c>
      <c r="F49" t="inlineStr">
        <is>
          <t>SPRING</t>
        </is>
      </c>
      <c r="G49" t="inlineStr">
        <is>
          <t>MAIN</t>
        </is>
      </c>
      <c r="H49">
        <v>999.999</v>
      </c>
      <c r="J49" s="604" t="inlineStr">
        <is>
          <t>NIS</t>
        </is>
      </c>
      <c r="K49">
        <v>108099425</v>
      </c>
      <c r="L49" s="2">
        <v>45782</v>
      </c>
      <c r="M49">
        <v>31</v>
      </c>
      <c r="N49">
        <v>1</v>
      </c>
      <c r="O49">
        <v>0</v>
      </c>
      <c r="P49">
        <v>1</v>
      </c>
      <c r="Q49" t="inlineStr">
        <is>
          <t>O</t>
        </is>
      </c>
      <c r="W49" t="inlineStr">
        <is>
          <t>backing from Main St parking space, coded from Hillsboro toward Spring with distance blank, diagram shows no cross street or landmark; not placed within 150' of Spring</t>
        </is>
      </c>
      <c r="X49" t="inlineStr">
        <is>
          <t>Other</t>
        </is>
      </c>
      <c r="Y49" t="inlineStr">
        <is>
          <t>Unk</t>
        </is>
      </c>
      <c r="Z49" t="inlineStr">
        <is>
          <t>SBT</t>
        </is>
      </c>
      <c r="AA49" t="inlineStr">
        <is>
          <t>V1</t>
        </is>
      </c>
      <c r="AB49" t="inlineStr">
        <is>
          <t>Backing: i was on main st when i saw unit 1 back into unit 2 from a parking spot; V1 at fault</t>
        </is>
      </c>
    </row>
    <row r="50">
      <c r="A50" t="inlineStr">
        <is>
          <t>OXFORD</t>
        </is>
      </c>
      <c r="B50" t="inlineStr">
        <is>
          <t>SPRING</t>
        </is>
      </c>
      <c r="C50">
        <v>0.0</v>
      </c>
      <c r="E50" t="inlineStr">
        <is>
          <t>*LCL T&amp;M PVA</t>
        </is>
      </c>
      <c r="F50" t="inlineStr">
        <is>
          <t>SPRING</t>
        </is>
      </c>
      <c r="H50">
        <v>999.999</v>
      </c>
      <c r="J50" s="604" t="inlineStr">
        <is>
          <t>NIS</t>
        </is>
      </c>
      <c r="K50">
        <v>108256216</v>
      </c>
      <c r="L50" s="2">
        <v>45929</v>
      </c>
      <c r="M50">
        <v>32</v>
      </c>
      <c r="N50">
        <v>2</v>
      </c>
      <c r="O50">
        <v>0</v>
      </c>
      <c r="P50">
        <v>1</v>
      </c>
      <c r="Q50" t="inlineStr">
        <is>
          <t>O</t>
        </is>
      </c>
      <c r="W50" t="inlineStr">
        <is>
          <t>T&amp;M Foodmart PVA on W Spring, drawn between MLK Jr Ave and Granville St on 106955408, about 1,000' W of Main</t>
        </is>
      </c>
      <c r="X50" t="inlineStr">
        <is>
          <t>LTDR</t>
        </is>
      </c>
      <c r="Y50" t="inlineStr">
        <is>
          <t>WBL</t>
        </is>
      </c>
      <c r="Z50" t="inlineStr">
        <is>
          <t>EBT</t>
        </is>
      </c>
      <c r="AA50" t="inlineStr">
        <is>
          <t>V1</t>
        </is>
      </c>
      <c r="AB50" t="inlineStr">
        <is>
          <t>LTDR: i ofc b; V1 at fault</t>
        </is>
      </c>
    </row>
    <row r="51">
      <c r="A51" t="inlineStr">
        <is>
          <t>OXFORD</t>
        </is>
      </c>
      <c r="B51" t="inlineStr">
        <is>
          <t>PVA SPRING ST</t>
        </is>
      </c>
      <c r="C51">
        <v>0.0</v>
      </c>
      <c r="E51" t="inlineStr">
        <is>
          <t>PVA SPRING ST</t>
        </is>
      </c>
      <c r="F51" t="inlineStr">
        <is>
          <t>PVA SPRING ST</t>
        </is>
      </c>
      <c r="G51" t="inlineStr">
        <is>
          <t>SPRING</t>
        </is>
      </c>
      <c r="H51">
        <v>999.999</v>
      </c>
      <c r="J51" s="604" t="inlineStr">
        <is>
          <t>NIS</t>
        </is>
      </c>
      <c r="K51">
        <v>108526964</v>
      </c>
      <c r="L51" s="2">
        <v>46185</v>
      </c>
      <c r="M51">
        <v>31</v>
      </c>
      <c r="N51">
        <v>1</v>
      </c>
      <c r="O51">
        <v>0</v>
      </c>
      <c r="P51">
        <v>1</v>
      </c>
      <c r="W51" t="inlineStr">
        <is>
          <t>entirely in the Post Office parking lot off W Spring per diagram; parking lot crash</t>
        </is>
      </c>
      <c r="X51" t="inlineStr">
        <is>
          <t>Other</t>
        </is>
      </c>
      <c r="Y51" t="inlineStr">
        <is>
          <t>Unk</t>
        </is>
      </c>
      <c r="AA51" t="inlineStr">
        <is>
          <t>V1</t>
        </is>
      </c>
      <c r="AB51" t="inlineStr">
        <is>
          <t>Backing: unit 1 backed into parked unit 2 in the lot; V1 at fault</t>
        </is>
      </c>
    </row>
    <row r="52" s="607" customFormat="1">
      <c r="A52" s="610" t="inlineStr">
        <is>
          <t>NOT IN STUDY - REPORT NOT REVIEWED</t>
        </is>
      </c>
      <c r="L52" s="608"/>
    </row>
    <row r="53">
      <c r="A53" t="inlineStr">
        <is>
          <t>OXFORD</t>
        </is>
      </c>
      <c r="B53" t="inlineStr">
        <is>
          <t>MARTIN LUTHER KING</t>
        </is>
      </c>
      <c r="C53">
        <v>0.0</v>
      </c>
      <c r="E53" t="inlineStr">
        <is>
          <t>SPRING</t>
        </is>
      </c>
      <c r="F53" t="inlineStr">
        <is>
          <t>SPRING</t>
        </is>
      </c>
      <c r="G53" t="inlineStr">
        <is>
          <t>NC 96</t>
        </is>
      </c>
      <c r="H53">
        <v>17.59</v>
      </c>
      <c r="J53" s="604" t="inlineStr">
        <is>
          <t>NIS</t>
        </is>
      </c>
      <c r="K53">
        <v>105030848</v>
      </c>
      <c r="L53" s="2">
        <v>42802</v>
      </c>
      <c r="M53">
        <v>32</v>
      </c>
      <c r="N53">
        <v>1</v>
      </c>
      <c r="O53">
        <v>7</v>
      </c>
      <c r="P53">
        <v>1</v>
      </c>
      <c r="Q53" t="inlineStr">
        <is>
          <t>C</t>
        </is>
      </c>
    </row>
    <row r="54">
      <c r="A54" t="inlineStr">
        <is>
          <t>CREEDMOOR</t>
        </is>
      </c>
      <c r="B54" t="inlineStr">
        <is>
          <t>PVA MAIN ST</t>
        </is>
      </c>
      <c r="C54">
        <v>0.0</v>
      </c>
      <c r="E54" t="inlineStr">
        <is>
          <t>PVA MAIN ST</t>
        </is>
      </c>
      <c r="G54" t="inlineStr">
        <is>
          <t>SR 1127</t>
        </is>
      </c>
      <c r="H54">
        <v>5.073</v>
      </c>
      <c r="J54" s="604" t="inlineStr">
        <is>
          <t>NIS</t>
        </is>
      </c>
      <c r="K54">
        <v>105116773</v>
      </c>
      <c r="L54" s="2">
        <v>42804</v>
      </c>
      <c r="M54">
        <v>31</v>
      </c>
      <c r="N54">
        <v>1</v>
      </c>
      <c r="O54">
        <v>0</v>
      </c>
      <c r="P54">
        <v>1</v>
      </c>
      <c r="Q54" t="inlineStr">
        <is>
          <t>O</t>
        </is>
      </c>
    </row>
    <row r="55">
      <c r="A55" t="inlineStr">
        <is>
          <t>CREEDMOOR</t>
        </is>
      </c>
      <c r="B55" t="inlineStr">
        <is>
          <t>PVA FAMILY FARE</t>
        </is>
      </c>
      <c r="C55">
        <v>0.0</v>
      </c>
      <c r="E55" t="inlineStr">
        <is>
          <t>MAIN</t>
        </is>
      </c>
      <c r="F55" t="inlineStr">
        <is>
          <t>LION</t>
        </is>
      </c>
      <c r="H55">
        <v>999.999</v>
      </c>
      <c r="J55" s="604" t="inlineStr">
        <is>
          <t>NIS</t>
        </is>
      </c>
      <c r="K55">
        <v>105053293</v>
      </c>
      <c r="L55" s="2">
        <v>42812</v>
      </c>
      <c r="M55">
        <v>30</v>
      </c>
      <c r="N55">
        <v>1</v>
      </c>
      <c r="O55">
        <v>0</v>
      </c>
      <c r="P55">
        <v>4</v>
      </c>
      <c r="Q55" t="inlineStr">
        <is>
          <t>O</t>
        </is>
      </c>
    </row>
    <row r="56">
      <c r="A56" t="inlineStr">
        <is>
          <t>CREEDMOOR</t>
        </is>
      </c>
      <c r="B56" t="inlineStr">
        <is>
          <t>MAIN</t>
        </is>
      </c>
      <c r="C56">
        <v>0.0</v>
      </c>
      <c r="E56" t="inlineStr">
        <is>
          <t>HOLLY CREEK</t>
        </is>
      </c>
      <c r="F56" t="inlineStr">
        <is>
          <t>NC 56</t>
        </is>
      </c>
      <c r="G56" t="inlineStr">
        <is>
          <t>SR 1639</t>
        </is>
      </c>
      <c r="H56">
        <v>0.11</v>
      </c>
      <c r="J56" s="604" t="inlineStr">
        <is>
          <t>NIS</t>
        </is>
      </c>
      <c r="K56">
        <v>105053295</v>
      </c>
      <c r="L56" s="2">
        <v>42815</v>
      </c>
      <c r="M56">
        <v>17</v>
      </c>
      <c r="N56">
        <v>1</v>
      </c>
      <c r="O56">
        <v>0</v>
      </c>
      <c r="P56">
        <v>1</v>
      </c>
      <c r="Q56" t="inlineStr">
        <is>
          <t>O</t>
        </is>
      </c>
    </row>
    <row r="57">
      <c r="A57" t="inlineStr">
        <is>
          <t>RURAL</t>
        </is>
      </c>
      <c r="B57" t="inlineStr">
        <is>
          <t>SR 1522</t>
        </is>
      </c>
      <c r="C57">
        <v>0.2</v>
      </c>
      <c r="D57" t="inlineStr">
        <is>
          <t>E</t>
        </is>
      </c>
      <c r="E57" t="inlineStr">
        <is>
          <t>SR 1646</t>
        </is>
      </c>
      <c r="F57" t="inlineStr">
        <is>
          <t>SR 1523</t>
        </is>
      </c>
      <c r="G57" t="inlineStr">
        <is>
          <t>SR 1522</t>
        </is>
      </c>
      <c r="H57">
        <v>999.999</v>
      </c>
      <c r="J57" s="604" t="inlineStr">
        <is>
          <t>NIS</t>
        </is>
      </c>
      <c r="K57">
        <v>105058532</v>
      </c>
      <c r="L57" s="2">
        <v>42823</v>
      </c>
      <c r="M57">
        <v>21</v>
      </c>
      <c r="N57">
        <v>1</v>
      </c>
      <c r="O57">
        <v>0</v>
      </c>
      <c r="P57">
        <v>1</v>
      </c>
      <c r="Q57" t="inlineStr">
        <is>
          <t>C</t>
        </is>
      </c>
    </row>
    <row r="58">
      <c r="A58" t="inlineStr">
        <is>
          <t>OXFORD</t>
        </is>
      </c>
      <c r="B58" t="inlineStr">
        <is>
          <t>HILLSBORO</t>
        </is>
      </c>
      <c r="C58">
        <v>0.004</v>
      </c>
      <c r="D58" t="inlineStr">
        <is>
          <t>E</t>
        </is>
      </c>
      <c r="E58" t="inlineStr">
        <is>
          <t>SPRING</t>
        </is>
      </c>
      <c r="F58" t="inlineStr">
        <is>
          <t>LEWIS</t>
        </is>
      </c>
      <c r="G58" t="inlineStr">
        <is>
          <t>SR 1004</t>
        </is>
      </c>
      <c r="H58">
        <v>17.828</v>
      </c>
      <c r="J58" s="604" t="inlineStr">
        <is>
          <t>NIS</t>
        </is>
      </c>
      <c r="K58">
        <v>105070792</v>
      </c>
      <c r="L58" s="2">
        <v>42835</v>
      </c>
      <c r="M58">
        <v>1</v>
      </c>
      <c r="N58">
        <v>1</v>
      </c>
      <c r="O58">
        <v>0</v>
      </c>
      <c r="P58">
        <v>4</v>
      </c>
      <c r="Q58" t="inlineStr">
        <is>
          <t>O</t>
        </is>
      </c>
    </row>
    <row r="59">
      <c r="A59" t="inlineStr">
        <is>
          <t>CREEDMOOR</t>
        </is>
      </c>
      <c r="B59" t="inlineStr">
        <is>
          <t>WILTON</t>
        </is>
      </c>
      <c r="C59">
        <v>0.0</v>
      </c>
      <c r="D59" t="inlineStr">
        <is>
          <t>W</t>
        </is>
      </c>
      <c r="E59" t="inlineStr">
        <is>
          <t>MAIN</t>
        </is>
      </c>
      <c r="F59" t="inlineStr">
        <is>
          <t>CRESCENT</t>
        </is>
      </c>
      <c r="G59" t="inlineStr">
        <is>
          <t>NC 50</t>
        </is>
      </c>
      <c r="H59">
        <v>3.285</v>
      </c>
      <c r="J59" s="604" t="inlineStr">
        <is>
          <t>NIS</t>
        </is>
      </c>
      <c r="K59">
        <v>105071492</v>
      </c>
      <c r="L59" s="2">
        <v>42843</v>
      </c>
      <c r="M59">
        <v>21</v>
      </c>
      <c r="N59">
        <v>1</v>
      </c>
      <c r="O59">
        <v>0</v>
      </c>
      <c r="P59">
        <v>1</v>
      </c>
      <c r="Q59" t="inlineStr">
        <is>
          <t>O</t>
        </is>
      </c>
    </row>
    <row r="60">
      <c r="A60" t="inlineStr">
        <is>
          <t>CREEDMOOR</t>
        </is>
      </c>
      <c r="B60" t="inlineStr">
        <is>
          <t>PVA MAIN ST</t>
        </is>
      </c>
      <c r="C60">
        <v>0.0</v>
      </c>
      <c r="D60" t="inlineStr">
        <is>
          <t>S</t>
        </is>
      </c>
      <c r="E60" t="inlineStr">
        <is>
          <t>CHURCH</t>
        </is>
      </c>
      <c r="F60" t="inlineStr">
        <is>
          <t>LION</t>
        </is>
      </c>
      <c r="G60" t="inlineStr">
        <is>
          <t>NC 50</t>
        </is>
      </c>
      <c r="H60">
        <v>2.868</v>
      </c>
      <c r="J60" s="604" t="inlineStr">
        <is>
          <t>NIS</t>
        </is>
      </c>
      <c r="K60">
        <v>105071495</v>
      </c>
      <c r="L60" s="2">
        <v>42843</v>
      </c>
      <c r="M60">
        <v>31</v>
      </c>
      <c r="N60">
        <v>1</v>
      </c>
      <c r="O60">
        <v>4</v>
      </c>
      <c r="P60">
        <v>1</v>
      </c>
      <c r="Q60" t="inlineStr">
        <is>
          <t>O</t>
        </is>
      </c>
    </row>
    <row r="61">
      <c r="A61" t="inlineStr">
        <is>
          <t>OXFORD</t>
        </is>
      </c>
      <c r="B61" t="inlineStr">
        <is>
          <t>MARTIN LUTHER KING</t>
        </is>
      </c>
      <c r="C61">
        <v>0.0</v>
      </c>
      <c r="E61" t="inlineStr">
        <is>
          <t>SPRING</t>
        </is>
      </c>
      <c r="F61" t="inlineStr">
        <is>
          <t>HUNT</t>
        </is>
      </c>
      <c r="G61" t="inlineStr">
        <is>
          <t>NC 96</t>
        </is>
      </c>
      <c r="H61">
        <v>17.59</v>
      </c>
      <c r="J61" s="604" t="inlineStr">
        <is>
          <t>NIS</t>
        </is>
      </c>
      <c r="K61">
        <v>105076245</v>
      </c>
      <c r="L61" s="2">
        <v>42850</v>
      </c>
      <c r="M61">
        <v>30</v>
      </c>
      <c r="N61">
        <v>1</v>
      </c>
      <c r="O61">
        <v>7</v>
      </c>
      <c r="P61">
        <v>1</v>
      </c>
      <c r="Q61" t="inlineStr">
        <is>
          <t>O</t>
        </is>
      </c>
    </row>
    <row r="62">
      <c r="A62" t="inlineStr">
        <is>
          <t>OXFORD</t>
        </is>
      </c>
      <c r="B62" t="inlineStr">
        <is>
          <t>SPRING</t>
        </is>
      </c>
      <c r="C62">
        <v>0.0</v>
      </c>
      <c r="E62" t="inlineStr">
        <is>
          <t>LEWIS</t>
        </is>
      </c>
      <c r="F62" t="inlineStr">
        <is>
          <t>ORANGE</t>
        </is>
      </c>
      <c r="G62" t="inlineStr">
        <is>
          <t>SPRING</t>
        </is>
      </c>
      <c r="H62">
        <v>999.999</v>
      </c>
      <c r="J62" s="604" t="inlineStr">
        <is>
          <t>NIS</t>
        </is>
      </c>
      <c r="K62">
        <v>105077632</v>
      </c>
      <c r="L62" s="2">
        <v>42851</v>
      </c>
      <c r="M62">
        <v>24</v>
      </c>
      <c r="N62">
        <v>1</v>
      </c>
      <c r="O62">
        <v>7</v>
      </c>
      <c r="P62">
        <v>1</v>
      </c>
      <c r="Q62" t="inlineStr">
        <is>
          <t>C</t>
        </is>
      </c>
    </row>
    <row r="63">
      <c r="A63" t="inlineStr">
        <is>
          <t>OXFORD</t>
        </is>
      </c>
      <c r="B63" t="inlineStr">
        <is>
          <t>SPRING</t>
        </is>
      </c>
      <c r="C63">
        <v>0.0</v>
      </c>
      <c r="E63" t="inlineStr">
        <is>
          <t>GRANVILLE</t>
        </is>
      </c>
      <c r="F63" t="inlineStr">
        <is>
          <t>MARTIN LUTHER KING</t>
        </is>
      </c>
      <c r="G63" t="inlineStr">
        <is>
          <t>SPRING</t>
        </is>
      </c>
      <c r="H63">
        <v>0.09</v>
      </c>
      <c r="J63" s="604" t="inlineStr">
        <is>
          <t>NIS</t>
        </is>
      </c>
      <c r="K63">
        <v>105115267</v>
      </c>
      <c r="L63" s="2">
        <v>42852</v>
      </c>
      <c r="M63">
        <v>30</v>
      </c>
      <c r="N63">
        <v>1</v>
      </c>
      <c r="O63">
        <v>0</v>
      </c>
      <c r="P63">
        <v>1</v>
      </c>
      <c r="Q63" t="inlineStr">
        <is>
          <t>C</t>
        </is>
      </c>
    </row>
    <row r="64">
      <c r="A64" t="inlineStr">
        <is>
          <t>OXFORD</t>
        </is>
      </c>
      <c r="B64" t="inlineStr">
        <is>
          <t>WILLIAMSBORO</t>
        </is>
      </c>
      <c r="C64">
        <v>0.0</v>
      </c>
      <c r="E64" t="inlineStr">
        <is>
          <t>MAIN</t>
        </is>
      </c>
      <c r="F64" t="inlineStr">
        <is>
          <t>NEW COLLEGE</t>
        </is>
      </c>
      <c r="G64" t="inlineStr">
        <is>
          <t>US 158BUS</t>
        </is>
      </c>
      <c r="H64">
        <v>2.055</v>
      </c>
      <c r="J64" s="604" t="inlineStr">
        <is>
          <t>NIS</t>
        </is>
      </c>
      <c r="K64">
        <v>105164921</v>
      </c>
      <c r="L64" s="2">
        <v>42852</v>
      </c>
      <c r="M64">
        <v>21</v>
      </c>
      <c r="N64">
        <v>1</v>
      </c>
      <c r="O64">
        <v>0</v>
      </c>
      <c r="P64">
        <v>1</v>
      </c>
      <c r="Q64" t="inlineStr">
        <is>
          <t>O</t>
        </is>
      </c>
    </row>
    <row r="65">
      <c r="A65" t="inlineStr">
        <is>
          <t>OXFORD</t>
        </is>
      </c>
      <c r="B65" t="inlineStr">
        <is>
          <t>MAIN</t>
        </is>
      </c>
      <c r="C65">
        <v>0.0</v>
      </c>
      <c r="E65" t="inlineStr">
        <is>
          <t>MAIN</t>
        </is>
      </c>
      <c r="F65" t="inlineStr">
        <is>
          <t>SPRING</t>
        </is>
      </c>
      <c r="G65" t="inlineStr">
        <is>
          <t>SR 1127</t>
        </is>
      </c>
      <c r="H65">
        <v>5.073</v>
      </c>
      <c r="J65" s="604" t="inlineStr">
        <is>
          <t>NIS</t>
        </is>
      </c>
      <c r="K65">
        <v>105088904</v>
      </c>
      <c r="L65" s="2">
        <v>42861</v>
      </c>
      <c r="M65">
        <v>30</v>
      </c>
      <c r="N65">
        <v>1</v>
      </c>
      <c r="O65">
        <v>7</v>
      </c>
      <c r="P65">
        <v>1</v>
      </c>
      <c r="Q65" t="inlineStr">
        <is>
          <t>O</t>
        </is>
      </c>
    </row>
    <row r="66">
      <c r="A66" t="inlineStr">
        <is>
          <t>RURAL</t>
        </is>
      </c>
      <c r="B66" t="inlineStr">
        <is>
          <t>SR 1522</t>
        </is>
      </c>
      <c r="C66">
        <v>0.003</v>
      </c>
      <c r="D66" t="inlineStr">
        <is>
          <t>S</t>
        </is>
      </c>
      <c r="E66" t="inlineStr">
        <is>
          <t>US 158</t>
        </is>
      </c>
      <c r="F66" t="inlineStr">
        <is>
          <t>PVA EDGEWOOD DR</t>
        </is>
      </c>
      <c r="G66" t="inlineStr">
        <is>
          <t>SR 1522</t>
        </is>
      </c>
      <c r="H66">
        <v>0.879</v>
      </c>
      <c r="J66" s="604" t="inlineStr">
        <is>
          <t>NIS</t>
        </is>
      </c>
      <c r="K66">
        <v>105113138</v>
      </c>
      <c r="L66" s="2">
        <v>42873</v>
      </c>
      <c r="M66">
        <v>21</v>
      </c>
      <c r="N66">
        <v>1</v>
      </c>
      <c r="O66">
        <v>0</v>
      </c>
      <c r="P66">
        <v>1</v>
      </c>
      <c r="Q66" t="inlineStr">
        <is>
          <t>O</t>
        </is>
      </c>
    </row>
    <row r="67">
      <c r="A67" t="inlineStr">
        <is>
          <t>OXFORD</t>
        </is>
      </c>
      <c r="B67" t="inlineStr">
        <is>
          <t>MARTIN LUTHER KING</t>
        </is>
      </c>
      <c r="C67">
        <v>0.0</v>
      </c>
      <c r="E67" t="inlineStr">
        <is>
          <t>SPRING</t>
        </is>
      </c>
      <c r="F67" t="inlineStr">
        <is>
          <t>HILLSBORO</t>
        </is>
      </c>
      <c r="G67" t="inlineStr">
        <is>
          <t>NC 96</t>
        </is>
      </c>
      <c r="H67">
        <v>17.59</v>
      </c>
      <c r="J67" s="604" t="inlineStr">
        <is>
          <t>NIS</t>
        </is>
      </c>
      <c r="K67">
        <v>105115262</v>
      </c>
      <c r="L67" s="2">
        <v>42880</v>
      </c>
      <c r="M67">
        <v>24</v>
      </c>
      <c r="N67">
        <v>2</v>
      </c>
      <c r="O67">
        <v>0</v>
      </c>
      <c r="P67">
        <v>1</v>
      </c>
      <c r="Q67" t="inlineStr">
        <is>
          <t>O</t>
        </is>
      </c>
    </row>
    <row r="68">
      <c r="A68" t="inlineStr">
        <is>
          <t>RURAL</t>
        </is>
      </c>
      <c r="B68" t="inlineStr">
        <is>
          <t>SR 1522</t>
        </is>
      </c>
      <c r="C68">
        <v>0.2</v>
      </c>
      <c r="D68" t="inlineStr">
        <is>
          <t>E</t>
        </is>
      </c>
      <c r="E68" t="inlineStr">
        <is>
          <t>SR 1662</t>
        </is>
      </c>
      <c r="F68" t="inlineStr">
        <is>
          <t>CL-VANCE</t>
        </is>
      </c>
      <c r="G68" t="inlineStr">
        <is>
          <t>SR 1522</t>
        </is>
      </c>
      <c r="H68">
        <v>999.999</v>
      </c>
      <c r="J68" s="604" t="inlineStr">
        <is>
          <t>NIS</t>
        </is>
      </c>
      <c r="K68">
        <v>105123982</v>
      </c>
      <c r="L68" s="2">
        <v>42888</v>
      </c>
      <c r="M68">
        <v>23</v>
      </c>
      <c r="N68">
        <v>1</v>
      </c>
      <c r="O68">
        <v>5</v>
      </c>
      <c r="P68">
        <v>1</v>
      </c>
      <c r="Q68" t="inlineStr">
        <is>
          <t>C</t>
        </is>
      </c>
    </row>
    <row r="69">
      <c r="A69" t="inlineStr">
        <is>
          <t>RURAL</t>
        </is>
      </c>
      <c r="B69" t="inlineStr">
        <is>
          <t>US 158</t>
        </is>
      </c>
      <c r="C69">
        <v>0.0</v>
      </c>
      <c r="E69" t="inlineStr">
        <is>
          <t>SR 1522</t>
        </is>
      </c>
      <c r="F69" t="inlineStr">
        <is>
          <t>PVA EDGEWOOD DR</t>
        </is>
      </c>
      <c r="G69" t="inlineStr">
        <is>
          <t>US 158</t>
        </is>
      </c>
      <c r="H69">
        <v>14.055</v>
      </c>
      <c r="J69" s="604" t="inlineStr">
        <is>
          <t>NIS</t>
        </is>
      </c>
      <c r="K69">
        <v>105142851</v>
      </c>
      <c r="L69" s="2">
        <v>42892</v>
      </c>
      <c r="M69">
        <v>24</v>
      </c>
      <c r="N69">
        <v>1</v>
      </c>
      <c r="O69">
        <v>4</v>
      </c>
      <c r="P69">
        <v>1</v>
      </c>
      <c r="Q69" t="inlineStr">
        <is>
          <t>B</t>
        </is>
      </c>
    </row>
    <row r="70">
      <c r="A70" t="inlineStr">
        <is>
          <t>OXFORD</t>
        </is>
      </c>
      <c r="B70" t="inlineStr">
        <is>
          <t>MAIN</t>
        </is>
      </c>
      <c r="C70">
        <v>0.0</v>
      </c>
      <c r="E70" t="inlineStr">
        <is>
          <t>MAIN</t>
        </is>
      </c>
      <c r="F70" t="inlineStr">
        <is>
          <t>WILLIAMSBORO</t>
        </is>
      </c>
      <c r="G70" t="inlineStr">
        <is>
          <t>SR 1127</t>
        </is>
      </c>
      <c r="H70">
        <v>5.073</v>
      </c>
      <c r="J70" s="604" t="inlineStr">
        <is>
          <t>NIS</t>
        </is>
      </c>
      <c r="K70">
        <v>105135600</v>
      </c>
      <c r="L70" s="2">
        <v>42898</v>
      </c>
      <c r="M70">
        <v>22</v>
      </c>
      <c r="N70">
        <v>1</v>
      </c>
      <c r="O70">
        <v>0</v>
      </c>
      <c r="P70">
        <v>1</v>
      </c>
      <c r="Q70" t="inlineStr">
        <is>
          <t>O</t>
        </is>
      </c>
    </row>
    <row r="71">
      <c r="A71" t="inlineStr">
        <is>
          <t>RURAL</t>
        </is>
      </c>
      <c r="B71" t="inlineStr">
        <is>
          <t>SR 1522</t>
        </is>
      </c>
      <c r="C71">
        <v>0.014</v>
      </c>
      <c r="D71" t="inlineStr">
        <is>
          <t>N</t>
        </is>
      </c>
      <c r="E71" t="inlineStr">
        <is>
          <t>US 158</t>
        </is>
      </c>
      <c r="F71" t="inlineStr">
        <is>
          <t>SR 1515</t>
        </is>
      </c>
      <c r="G71" t="inlineStr">
        <is>
          <t>SR 1522</t>
        </is>
      </c>
      <c r="H71">
        <v>0.896</v>
      </c>
      <c r="J71" s="604" t="inlineStr">
        <is>
          <t>NIS</t>
        </is>
      </c>
      <c r="K71">
        <v>105142894</v>
      </c>
      <c r="L71" s="2">
        <v>42910</v>
      </c>
      <c r="M71">
        <v>21</v>
      </c>
      <c r="N71">
        <v>1</v>
      </c>
      <c r="O71">
        <v>0</v>
      </c>
      <c r="P71">
        <v>1</v>
      </c>
      <c r="Q71" t="inlineStr">
        <is>
          <t>O</t>
        </is>
      </c>
    </row>
    <row r="72">
      <c r="A72" t="inlineStr">
        <is>
          <t>RURAL</t>
        </is>
      </c>
      <c r="B72" t="inlineStr">
        <is>
          <t>SR 1004</t>
        </is>
      </c>
      <c r="C72">
        <v>0.0</v>
      </c>
      <c r="E72" t="inlineStr">
        <is>
          <t>MAIN</t>
        </is>
      </c>
      <c r="F72" t="inlineStr">
        <is>
          <t>SUNSET</t>
        </is>
      </c>
      <c r="G72" t="inlineStr">
        <is>
          <t>SR 1004</t>
        </is>
      </c>
      <c r="H72">
        <v>6.604</v>
      </c>
      <c r="J72" s="604" t="inlineStr">
        <is>
          <t>NIS</t>
        </is>
      </c>
      <c r="K72">
        <v>105147018</v>
      </c>
      <c r="L72" s="2">
        <v>42915</v>
      </c>
      <c r="M72">
        <v>19</v>
      </c>
      <c r="N72">
        <v>1</v>
      </c>
      <c r="O72">
        <v>8</v>
      </c>
      <c r="P72">
        <v>1</v>
      </c>
      <c r="Q72" t="inlineStr">
        <is>
          <t>O</t>
        </is>
      </c>
    </row>
    <row r="73">
      <c r="A73" t="inlineStr">
        <is>
          <t>CREEDMOOR</t>
        </is>
      </c>
      <c r="B73" t="inlineStr">
        <is>
          <t>MAIN</t>
        </is>
      </c>
      <c r="C73">
        <v>0.0</v>
      </c>
      <c r="D73" t="inlineStr">
        <is>
          <t>S</t>
        </is>
      </c>
      <c r="E73" t="inlineStr">
        <is>
          <t>MASONIC</t>
        </is>
      </c>
      <c r="F73" t="inlineStr">
        <is>
          <t>ROGER</t>
        </is>
      </c>
      <c r="G73" t="inlineStr">
        <is>
          <t>NC 50</t>
        </is>
      </c>
      <c r="H73">
        <v>2.996</v>
      </c>
      <c r="J73" s="604" t="inlineStr">
        <is>
          <t>NIS</t>
        </is>
      </c>
      <c r="K73">
        <v>105156577</v>
      </c>
      <c r="L73" s="2">
        <v>42926</v>
      </c>
      <c r="M73">
        <v>30</v>
      </c>
      <c r="N73">
        <v>1</v>
      </c>
      <c r="O73">
        <v>0</v>
      </c>
      <c r="P73">
        <v>1</v>
      </c>
      <c r="Q73" t="inlineStr">
        <is>
          <t>C</t>
        </is>
      </c>
    </row>
    <row r="74">
      <c r="A74" t="inlineStr">
        <is>
          <t>OXFORD</t>
        </is>
      </c>
      <c r="B74" t="inlineStr">
        <is>
          <t>LEWIS</t>
        </is>
      </c>
      <c r="C74">
        <v>0.0</v>
      </c>
      <c r="E74" t="inlineStr">
        <is>
          <t>SPRING</t>
        </is>
      </c>
      <c r="F74" t="inlineStr">
        <is>
          <t>ORANGE</t>
        </is>
      </c>
      <c r="G74" t="inlineStr">
        <is>
          <t>US 15</t>
        </is>
      </c>
      <c r="H74">
        <v>20.498</v>
      </c>
      <c r="J74" s="604" t="inlineStr">
        <is>
          <t>NIS</t>
        </is>
      </c>
      <c r="K74">
        <v>105180482</v>
      </c>
      <c r="L74" s="2">
        <v>42953</v>
      </c>
      <c r="M74">
        <v>30</v>
      </c>
      <c r="N74">
        <v>1</v>
      </c>
      <c r="O74">
        <v>7</v>
      </c>
      <c r="P74">
        <v>5</v>
      </c>
      <c r="Q74" t="inlineStr">
        <is>
          <t>O</t>
        </is>
      </c>
    </row>
    <row r="75">
      <c r="A75" t="inlineStr">
        <is>
          <t>CREEDMOOR</t>
        </is>
      </c>
      <c r="B75" t="inlineStr">
        <is>
          <t>MAIN</t>
        </is>
      </c>
      <c r="C75">
        <v>0.019</v>
      </c>
      <c r="D75" t="inlineStr">
        <is>
          <t>S</t>
        </is>
      </c>
      <c r="E75" t="inlineStr">
        <is>
          <t>MILL</t>
        </is>
      </c>
      <c r="F75" t="inlineStr">
        <is>
          <t>PARK</t>
        </is>
      </c>
      <c r="G75" t="inlineStr">
        <is>
          <t>NC 50</t>
        </is>
      </c>
      <c r="H75">
        <v>2.997</v>
      </c>
      <c r="J75" s="604" t="inlineStr">
        <is>
          <t>NIS</t>
        </is>
      </c>
      <c r="K75">
        <v>105185581</v>
      </c>
      <c r="L75" s="2">
        <v>42953</v>
      </c>
      <c r="M75">
        <v>28</v>
      </c>
      <c r="N75">
        <v>1</v>
      </c>
      <c r="O75">
        <v>0</v>
      </c>
      <c r="P75">
        <v>4</v>
      </c>
      <c r="Q75" t="inlineStr">
        <is>
          <t>O</t>
        </is>
      </c>
    </row>
    <row r="76">
      <c r="A76" t="inlineStr">
        <is>
          <t>CREEDMOOR</t>
        </is>
      </c>
      <c r="B76" t="inlineStr">
        <is>
          <t>MAIN</t>
        </is>
      </c>
      <c r="C76">
        <v>0.0</v>
      </c>
      <c r="E76" t="inlineStr">
        <is>
          <t>CHURCH</t>
        </is>
      </c>
      <c r="F76" t="inlineStr">
        <is>
          <t>ROGER</t>
        </is>
      </c>
      <c r="G76" t="inlineStr">
        <is>
          <t>NC 50</t>
        </is>
      </c>
      <c r="H76">
        <v>2.868</v>
      </c>
      <c r="J76" s="604" t="inlineStr">
        <is>
          <t>NIS</t>
        </is>
      </c>
      <c r="K76">
        <v>105507729</v>
      </c>
      <c r="L76" s="2">
        <v>42965</v>
      </c>
      <c r="M76">
        <v>30</v>
      </c>
      <c r="N76">
        <v>1</v>
      </c>
      <c r="O76">
        <v>7</v>
      </c>
      <c r="P76">
        <v>1</v>
      </c>
      <c r="Q76" t="inlineStr">
        <is>
          <t>O</t>
        </is>
      </c>
    </row>
    <row r="77">
      <c r="A77" t="inlineStr">
        <is>
          <t>CREEDMOOR</t>
        </is>
      </c>
      <c r="B77" t="inlineStr">
        <is>
          <t>MAIN</t>
        </is>
      </c>
      <c r="C77">
        <v>0.007</v>
      </c>
      <c r="D77" t="inlineStr">
        <is>
          <t>N</t>
        </is>
      </c>
      <c r="E77" t="inlineStr">
        <is>
          <t>MILL</t>
        </is>
      </c>
      <c r="F77" t="inlineStr">
        <is>
          <t>MASONIC</t>
        </is>
      </c>
      <c r="G77" t="inlineStr">
        <is>
          <t>NC 50</t>
        </is>
      </c>
      <c r="H77">
        <v>3.023</v>
      </c>
      <c r="J77" s="604" t="inlineStr">
        <is>
          <t>NIS</t>
        </is>
      </c>
      <c r="K77">
        <v>105199106</v>
      </c>
      <c r="L77" s="2">
        <v>42969</v>
      </c>
      <c r="M77">
        <v>32</v>
      </c>
      <c r="N77">
        <v>1</v>
      </c>
      <c r="O77">
        <v>0</v>
      </c>
      <c r="P77">
        <v>1</v>
      </c>
      <c r="Q77" t="inlineStr">
        <is>
          <t>O</t>
        </is>
      </c>
    </row>
    <row r="78">
      <c r="A78" t="inlineStr">
        <is>
          <t>RURAL</t>
        </is>
      </c>
      <c r="B78" t="inlineStr">
        <is>
          <t>SR 1522</t>
        </is>
      </c>
      <c r="C78">
        <v>0.1</v>
      </c>
      <c r="D78" t="inlineStr">
        <is>
          <t>S</t>
        </is>
      </c>
      <c r="E78" t="inlineStr">
        <is>
          <t>US 158</t>
        </is>
      </c>
      <c r="F78" t="inlineStr">
        <is>
          <t>WILLIAMSBORO</t>
        </is>
      </c>
      <c r="G78" t="inlineStr">
        <is>
          <t>SR 1522</t>
        </is>
      </c>
      <c r="H78">
        <v>0.782</v>
      </c>
      <c r="J78" s="604" t="inlineStr">
        <is>
          <t>NIS</t>
        </is>
      </c>
      <c r="K78">
        <v>105206557</v>
      </c>
      <c r="L78" s="2">
        <v>42977</v>
      </c>
      <c r="M78">
        <v>27</v>
      </c>
      <c r="N78">
        <v>1</v>
      </c>
      <c r="O78">
        <v>0</v>
      </c>
      <c r="P78">
        <v>1</v>
      </c>
      <c r="Q78" t="inlineStr">
        <is>
          <t>B</t>
        </is>
      </c>
    </row>
    <row r="79">
      <c r="A79" t="inlineStr">
        <is>
          <t>RURAL</t>
        </is>
      </c>
      <c r="B79" t="inlineStr">
        <is>
          <t>SR 1522</t>
        </is>
      </c>
      <c r="C79">
        <v>0.5</v>
      </c>
      <c r="D79" t="inlineStr">
        <is>
          <t>NE</t>
        </is>
      </c>
      <c r="E79" t="inlineStr">
        <is>
          <t>SR 1523</t>
        </is>
      </c>
      <c r="F79" t="inlineStr">
        <is>
          <t>SR 1521</t>
        </is>
      </c>
      <c r="G79" t="inlineStr">
        <is>
          <t>SR 1522</t>
        </is>
      </c>
      <c r="H79">
        <v>2.413</v>
      </c>
      <c r="J79" s="604" t="inlineStr">
        <is>
          <t>NIS</t>
        </is>
      </c>
      <c r="K79">
        <v>105210501</v>
      </c>
      <c r="L79" s="2">
        <v>42979</v>
      </c>
      <c r="M79">
        <v>19</v>
      </c>
      <c r="N79">
        <v>2</v>
      </c>
      <c r="O79">
        <v>5</v>
      </c>
      <c r="P79">
        <v>2</v>
      </c>
      <c r="Q79" t="inlineStr">
        <is>
          <t>C</t>
        </is>
      </c>
    </row>
    <row r="80">
      <c r="A80" t="inlineStr">
        <is>
          <t>RURAL</t>
        </is>
      </c>
      <c r="B80" t="inlineStr">
        <is>
          <t>SR 1522</t>
        </is>
      </c>
      <c r="C80">
        <v>0.0</v>
      </c>
      <c r="E80" t="inlineStr">
        <is>
          <t>US 158</t>
        </is>
      </c>
      <c r="F80" t="inlineStr">
        <is>
          <t>SR 1515</t>
        </is>
      </c>
      <c r="G80" t="inlineStr">
        <is>
          <t>SR 1522</t>
        </is>
      </c>
      <c r="H80">
        <v>0.882</v>
      </c>
      <c r="J80" s="604" t="inlineStr">
        <is>
          <t>NIS</t>
        </is>
      </c>
      <c r="K80">
        <v>105227631</v>
      </c>
      <c r="L80" s="2">
        <v>42995</v>
      </c>
      <c r="M80">
        <v>30</v>
      </c>
      <c r="N80">
        <v>1</v>
      </c>
      <c r="O80">
        <v>7</v>
      </c>
      <c r="P80">
        <v>1</v>
      </c>
      <c r="Q80" t="inlineStr">
        <is>
          <t>O</t>
        </is>
      </c>
    </row>
    <row r="81">
      <c r="A81" t="inlineStr">
        <is>
          <t>CREEDMOOR</t>
        </is>
      </c>
      <c r="B81" t="inlineStr">
        <is>
          <t>PVA MAIN ST</t>
        </is>
      </c>
      <c r="C81">
        <v>0.0</v>
      </c>
      <c r="E81" t="inlineStr">
        <is>
          <t>PVA FBC ACADEMY</t>
        </is>
      </c>
      <c r="H81">
        <v>999.999</v>
      </c>
      <c r="J81" s="604" t="inlineStr">
        <is>
          <t>NIS</t>
        </is>
      </c>
      <c r="K81">
        <v>105230066</v>
      </c>
      <c r="L81" s="2">
        <v>42998</v>
      </c>
      <c r="M81">
        <v>20</v>
      </c>
      <c r="N81">
        <v>1</v>
      </c>
      <c r="O81">
        <v>0</v>
      </c>
      <c r="P81">
        <v>1</v>
      </c>
      <c r="Q81" t="inlineStr">
        <is>
          <t>O</t>
        </is>
      </c>
    </row>
    <row r="82">
      <c r="A82" t="inlineStr">
        <is>
          <t>CREEDMOOR</t>
        </is>
      </c>
      <c r="B82" t="inlineStr">
        <is>
          <t>MAIN</t>
        </is>
      </c>
      <c r="C82">
        <v>0.0</v>
      </c>
      <c r="E82" t="inlineStr">
        <is>
          <t>WILTON</t>
        </is>
      </c>
      <c r="F82" t="inlineStr">
        <is>
          <t>PARK</t>
        </is>
      </c>
      <c r="G82" t="inlineStr">
        <is>
          <t>NC 50</t>
        </is>
      </c>
      <c r="H82">
        <v>3.285</v>
      </c>
      <c r="J82" s="604" t="inlineStr">
        <is>
          <t>NIS</t>
        </is>
      </c>
      <c r="K82">
        <v>105230312</v>
      </c>
      <c r="L82" s="2">
        <v>43003</v>
      </c>
      <c r="M82">
        <v>21</v>
      </c>
      <c r="N82">
        <v>1</v>
      </c>
      <c r="O82">
        <v>0</v>
      </c>
      <c r="P82">
        <v>1</v>
      </c>
      <c r="Q82" t="inlineStr">
        <is>
          <t>O</t>
        </is>
      </c>
    </row>
    <row r="83">
      <c r="A83" t="inlineStr">
        <is>
          <t>CREEDMOOR</t>
        </is>
      </c>
      <c r="B83" t="inlineStr">
        <is>
          <t>PVA FAMILY FARE</t>
        </is>
      </c>
      <c r="C83">
        <v>0.0</v>
      </c>
      <c r="E83" t="inlineStr">
        <is>
          <t>MAIN</t>
        </is>
      </c>
      <c r="F83" t="inlineStr">
        <is>
          <t>LION</t>
        </is>
      </c>
      <c r="H83">
        <v>999.999</v>
      </c>
      <c r="J83" s="604" t="inlineStr">
        <is>
          <t>NIS</t>
        </is>
      </c>
      <c r="K83">
        <v>105250200</v>
      </c>
      <c r="L83" s="2">
        <v>43014</v>
      </c>
      <c r="M83">
        <v>31</v>
      </c>
      <c r="N83">
        <v>1</v>
      </c>
      <c r="O83">
        <v>0</v>
      </c>
      <c r="P83">
        <v>1</v>
      </c>
      <c r="Q83" t="inlineStr">
        <is>
          <t>O</t>
        </is>
      </c>
    </row>
    <row r="84">
      <c r="A84" t="inlineStr">
        <is>
          <t>OXFORD</t>
        </is>
      </c>
      <c r="B84" t="inlineStr">
        <is>
          <t>WILLIAMSBORO</t>
        </is>
      </c>
      <c r="C84">
        <v>0.0</v>
      </c>
      <c r="D84" t="inlineStr">
        <is>
          <t>W</t>
        </is>
      </c>
      <c r="E84" t="inlineStr">
        <is>
          <t>MAIN</t>
        </is>
      </c>
      <c r="F84" t="inlineStr">
        <is>
          <t>SPRING</t>
        </is>
      </c>
      <c r="G84" t="inlineStr">
        <is>
          <t>US 158BUS</t>
        </is>
      </c>
      <c r="H84">
        <v>2.055</v>
      </c>
      <c r="J84" s="604" t="inlineStr">
        <is>
          <t>NIS</t>
        </is>
      </c>
      <c r="K84">
        <v>105247665</v>
      </c>
      <c r="L84" s="2">
        <v>43018</v>
      </c>
      <c r="M84">
        <v>23</v>
      </c>
      <c r="N84">
        <v>1</v>
      </c>
      <c r="O84">
        <v>7</v>
      </c>
      <c r="P84">
        <v>1</v>
      </c>
      <c r="Q84" t="inlineStr">
        <is>
          <t>O</t>
        </is>
      </c>
    </row>
    <row r="85">
      <c r="A85" t="inlineStr">
        <is>
          <t>CREEDMOOR</t>
        </is>
      </c>
      <c r="B85" t="inlineStr">
        <is>
          <t>PVA DOLLAR GENERAL PVA</t>
        </is>
      </c>
      <c r="C85">
        <v>0.006</v>
      </c>
      <c r="D85" t="inlineStr">
        <is>
          <t>W</t>
        </is>
      </c>
      <c r="E85" t="inlineStr">
        <is>
          <t>MAIN</t>
        </is>
      </c>
      <c r="F85" t="inlineStr">
        <is>
          <t>CHURCH</t>
        </is>
      </c>
      <c r="H85">
        <v>999.999</v>
      </c>
      <c r="J85" s="604" t="inlineStr">
        <is>
          <t>NIS</t>
        </is>
      </c>
      <c r="K85">
        <v>105984303</v>
      </c>
      <c r="L85" s="2">
        <v>43018</v>
      </c>
      <c r="M85">
        <v>31</v>
      </c>
      <c r="N85">
        <v>1</v>
      </c>
      <c r="O85">
        <v>0</v>
      </c>
      <c r="P85">
        <v>1</v>
      </c>
      <c r="Q85" t="inlineStr">
        <is>
          <t>O</t>
        </is>
      </c>
    </row>
    <row r="86">
      <c r="A86" t="inlineStr">
        <is>
          <t>CREEDMOOR</t>
        </is>
      </c>
      <c r="B86" t="inlineStr">
        <is>
          <t>PVA MAIN STREET</t>
        </is>
      </c>
      <c r="C86">
        <v>0.0</v>
      </c>
      <c r="D86" t="inlineStr">
        <is>
          <t>W</t>
        </is>
      </c>
      <c r="E86" t="inlineStr">
        <is>
          <t>LAKE</t>
        </is>
      </c>
      <c r="F86" t="inlineStr">
        <is>
          <t>FLEMING</t>
        </is>
      </c>
      <c r="G86" t="inlineStr">
        <is>
          <t>NC 50</t>
        </is>
      </c>
      <c r="H86">
        <v>3.206</v>
      </c>
      <c r="J86" s="604" t="inlineStr">
        <is>
          <t>NIS</t>
        </is>
      </c>
      <c r="K86">
        <v>105251330</v>
      </c>
      <c r="L86" s="2">
        <v>43020</v>
      </c>
      <c r="M86">
        <v>31</v>
      </c>
      <c r="N86">
        <v>1</v>
      </c>
      <c r="O86">
        <v>4</v>
      </c>
      <c r="P86">
        <v>1</v>
      </c>
      <c r="Q86" t="inlineStr">
        <is>
          <t>O</t>
        </is>
      </c>
    </row>
    <row r="87">
      <c r="A87" t="inlineStr">
        <is>
          <t>CREEDMOOR</t>
        </is>
      </c>
      <c r="B87" t="inlineStr">
        <is>
          <t>MAIN</t>
        </is>
      </c>
      <c r="C87">
        <v>0.0</v>
      </c>
      <c r="D87" t="inlineStr">
        <is>
          <t>W</t>
        </is>
      </c>
      <c r="E87" t="inlineStr">
        <is>
          <t>DOGWOOD</t>
        </is>
      </c>
      <c r="F87" t="inlineStr">
        <is>
          <t>*LCL E LYON STREET</t>
        </is>
      </c>
      <c r="G87" t="inlineStr">
        <is>
          <t>NC 50</t>
        </is>
      </c>
      <c r="H87">
        <v>2.6</v>
      </c>
      <c r="J87" s="604" t="inlineStr">
        <is>
          <t>NIS</t>
        </is>
      </c>
      <c r="K87">
        <v>105251331</v>
      </c>
      <c r="L87" s="2">
        <v>43020</v>
      </c>
      <c r="M87">
        <v>21</v>
      </c>
      <c r="N87">
        <v>1</v>
      </c>
      <c r="O87">
        <v>0</v>
      </c>
      <c r="P87">
        <v>4</v>
      </c>
      <c r="Q87" t="inlineStr">
        <is>
          <t>O</t>
        </is>
      </c>
    </row>
    <row r="88">
      <c r="A88" t="inlineStr">
        <is>
          <t>CREEDMOOR</t>
        </is>
      </c>
      <c r="B88" t="inlineStr">
        <is>
          <t>MAIN</t>
        </is>
      </c>
      <c r="C88">
        <v>0.057</v>
      </c>
      <c r="D88" t="inlineStr">
        <is>
          <t>N</t>
        </is>
      </c>
      <c r="E88" t="inlineStr">
        <is>
          <t>DURHAM</t>
        </is>
      </c>
      <c r="F88" t="inlineStr">
        <is>
          <t>MAIN</t>
        </is>
      </c>
      <c r="G88" t="inlineStr">
        <is>
          <t>SR 1639</t>
        </is>
      </c>
      <c r="H88">
        <v>0.535</v>
      </c>
      <c r="J88" s="604" t="inlineStr">
        <is>
          <t>NIS</t>
        </is>
      </c>
      <c r="K88">
        <v>105269639</v>
      </c>
      <c r="L88" s="2">
        <v>43035</v>
      </c>
      <c r="M88">
        <v>21</v>
      </c>
      <c r="N88">
        <v>1</v>
      </c>
      <c r="O88">
        <v>0</v>
      </c>
      <c r="P88">
        <v>1</v>
      </c>
      <c r="Q88" t="inlineStr">
        <is>
          <t>O</t>
        </is>
      </c>
    </row>
    <row r="89">
      <c r="A89" t="inlineStr">
        <is>
          <t>CREEDMOOR</t>
        </is>
      </c>
      <c r="B89" t="inlineStr">
        <is>
          <t>MAIN</t>
        </is>
      </c>
      <c r="C89">
        <v>0.0</v>
      </c>
      <c r="E89" t="inlineStr">
        <is>
          <t>MILL</t>
        </is>
      </c>
      <c r="G89" t="inlineStr">
        <is>
          <t>NC 50</t>
        </is>
      </c>
      <c r="H89">
        <v>3.016</v>
      </c>
      <c r="J89" s="604" t="inlineStr">
        <is>
          <t>NIS</t>
        </is>
      </c>
      <c r="K89">
        <v>105285187</v>
      </c>
      <c r="L89" s="2">
        <v>43049</v>
      </c>
      <c r="M89">
        <v>28</v>
      </c>
      <c r="N89">
        <v>1</v>
      </c>
      <c r="O89">
        <v>0</v>
      </c>
      <c r="P89">
        <v>2</v>
      </c>
      <c r="Q89" t="inlineStr">
        <is>
          <t>O</t>
        </is>
      </c>
    </row>
    <row r="90">
      <c r="A90" t="inlineStr">
        <is>
          <t>OXFORD</t>
        </is>
      </c>
      <c r="B90" t="inlineStr">
        <is>
          <t>SPRING</t>
        </is>
      </c>
      <c r="C90">
        <v>0.0</v>
      </c>
      <c r="E90" t="inlineStr">
        <is>
          <t>ORANGE</t>
        </is>
      </c>
      <c r="F90" t="inlineStr">
        <is>
          <t>ORANGE</t>
        </is>
      </c>
      <c r="G90" t="inlineStr">
        <is>
          <t>SPRING</t>
        </is>
      </c>
      <c r="H90">
        <v>999.999</v>
      </c>
      <c r="J90" s="604" t="inlineStr">
        <is>
          <t>NIS</t>
        </is>
      </c>
      <c r="K90">
        <v>105297726</v>
      </c>
      <c r="L90" s="2">
        <v>43063</v>
      </c>
      <c r="M90">
        <v>30</v>
      </c>
      <c r="N90">
        <v>1</v>
      </c>
      <c r="O90">
        <v>0</v>
      </c>
      <c r="P90">
        <v>1</v>
      </c>
      <c r="Q90" t="inlineStr">
        <is>
          <t>A</t>
        </is>
      </c>
      <c r="R90">
        <v>36.308058</v>
      </c>
      <c r="S90">
        <v>-78.592677</v>
      </c>
      <c r="T90" t="inlineStr">
        <is>
          <t>ITRE_SEVEREINJURY</t>
        </is>
      </c>
      <c r="V90">
        <v>0.3274226257464975</v>
      </c>
    </row>
    <row r="91">
      <c r="A91" t="inlineStr">
        <is>
          <t>OXFORD</t>
        </is>
      </c>
      <c r="B91" t="inlineStr">
        <is>
          <t>PVA LIBRARY PVA</t>
        </is>
      </c>
      <c r="C91">
        <v>0.0</v>
      </c>
      <c r="E91" t="inlineStr">
        <is>
          <t>SPRING</t>
        </is>
      </c>
      <c r="F91" t="inlineStr">
        <is>
          <t>SPRING</t>
        </is>
      </c>
      <c r="H91">
        <v>999.999</v>
      </c>
      <c r="J91" s="604" t="inlineStr">
        <is>
          <t>NIS</t>
        </is>
      </c>
      <c r="K91">
        <v>105310344</v>
      </c>
      <c r="L91" s="2">
        <v>43068</v>
      </c>
      <c r="M91">
        <v>18</v>
      </c>
      <c r="N91">
        <v>1</v>
      </c>
      <c r="O91">
        <v>0</v>
      </c>
      <c r="P91">
        <v>1</v>
      </c>
      <c r="Q91" t="inlineStr">
        <is>
          <t>O</t>
        </is>
      </c>
    </row>
    <row r="92">
      <c r="A92" t="inlineStr">
        <is>
          <t>CREEDMOOR</t>
        </is>
      </c>
      <c r="B92" t="inlineStr">
        <is>
          <t>MAIN</t>
        </is>
      </c>
      <c r="C92">
        <v>0.023</v>
      </c>
      <c r="D92" t="inlineStr">
        <is>
          <t>N</t>
        </is>
      </c>
      <c r="E92" t="inlineStr">
        <is>
          <t>LION</t>
        </is>
      </c>
      <c r="F92" t="inlineStr">
        <is>
          <t>*LCL W SANDERFORD ST</t>
        </is>
      </c>
      <c r="G92" t="inlineStr">
        <is>
          <t>NC 50</t>
        </is>
      </c>
      <c r="H92">
        <v>2.96</v>
      </c>
      <c r="J92" s="604" t="inlineStr">
        <is>
          <t>NIS</t>
        </is>
      </c>
      <c r="K92">
        <v>105317302</v>
      </c>
      <c r="L92" s="2">
        <v>43074</v>
      </c>
      <c r="M92">
        <v>28</v>
      </c>
      <c r="N92">
        <v>1</v>
      </c>
      <c r="O92">
        <v>0</v>
      </c>
      <c r="P92">
        <v>1</v>
      </c>
    </row>
    <row r="93">
      <c r="A93" t="inlineStr">
        <is>
          <t>OXFORD</t>
        </is>
      </c>
      <c r="B93" t="inlineStr">
        <is>
          <t>SALEM</t>
        </is>
      </c>
      <c r="C93">
        <v>0.0</v>
      </c>
      <c r="D93" t="inlineStr">
        <is>
          <t>W</t>
        </is>
      </c>
      <c r="E93" t="inlineStr">
        <is>
          <t>HORNER SIDING</t>
        </is>
      </c>
      <c r="F93" t="inlineStr">
        <is>
          <t>LANDIS</t>
        </is>
      </c>
      <c r="G93" t="inlineStr">
        <is>
          <t>SR 1515</t>
        </is>
      </c>
      <c r="H93">
        <v>10.078</v>
      </c>
      <c r="J93" s="604" t="inlineStr">
        <is>
          <t>NIS</t>
        </is>
      </c>
      <c r="K93">
        <v>105319066</v>
      </c>
      <c r="L93" s="2">
        <v>43082</v>
      </c>
      <c r="M93">
        <v>17</v>
      </c>
      <c r="N93">
        <v>1</v>
      </c>
      <c r="O93">
        <v>0</v>
      </c>
      <c r="P93">
        <v>4</v>
      </c>
      <c r="Q93" t="inlineStr">
        <is>
          <t>O</t>
        </is>
      </c>
    </row>
    <row r="94">
      <c r="A94" t="inlineStr">
        <is>
          <t>CREEDMOOR</t>
        </is>
      </c>
      <c r="B94" t="inlineStr">
        <is>
          <t>MAIN</t>
        </is>
      </c>
      <c r="C94">
        <v>0.038</v>
      </c>
      <c r="D94" t="inlineStr">
        <is>
          <t>S</t>
        </is>
      </c>
      <c r="E94" t="inlineStr">
        <is>
          <t>FLEMING</t>
        </is>
      </c>
      <c r="F94" t="inlineStr">
        <is>
          <t>MILL</t>
        </is>
      </c>
      <c r="G94" t="inlineStr">
        <is>
          <t>NC 50</t>
        </is>
      </c>
      <c r="H94">
        <v>3.088</v>
      </c>
      <c r="J94" s="604" t="inlineStr">
        <is>
          <t>NIS</t>
        </is>
      </c>
      <c r="K94">
        <v>105334610</v>
      </c>
      <c r="L94" s="2">
        <v>43090</v>
      </c>
      <c r="M94">
        <v>28</v>
      </c>
      <c r="N94">
        <v>1</v>
      </c>
      <c r="O94">
        <v>0</v>
      </c>
      <c r="P94">
        <v>1</v>
      </c>
      <c r="Q94" t="inlineStr">
        <is>
          <t>O</t>
        </is>
      </c>
    </row>
    <row r="95">
      <c r="A95" t="inlineStr">
        <is>
          <t>OXFORD</t>
        </is>
      </c>
      <c r="B95" t="inlineStr">
        <is>
          <t>MARTIN LUTHER KING</t>
        </is>
      </c>
      <c r="C95">
        <v>0.0</v>
      </c>
      <c r="E95" t="inlineStr">
        <is>
          <t>SPRING</t>
        </is>
      </c>
      <c r="F95" t="inlineStr">
        <is>
          <t>GRANVILLE</t>
        </is>
      </c>
      <c r="G95" t="inlineStr">
        <is>
          <t>NC 96</t>
        </is>
      </c>
      <c r="H95">
        <v>17.59</v>
      </c>
      <c r="J95" s="604" t="inlineStr">
        <is>
          <t>NIS</t>
        </is>
      </c>
      <c r="K95">
        <v>105336080</v>
      </c>
      <c r="L95" s="2">
        <v>43099</v>
      </c>
      <c r="M95">
        <v>30</v>
      </c>
      <c r="N95">
        <v>1</v>
      </c>
      <c r="O95">
        <v>0</v>
      </c>
      <c r="P95">
        <v>4</v>
      </c>
      <c r="Q95" t="inlineStr">
        <is>
          <t>O</t>
        </is>
      </c>
    </row>
    <row r="96">
      <c r="A96" t="inlineStr">
        <is>
          <t>OXFORD</t>
        </is>
      </c>
      <c r="B96" t="inlineStr">
        <is>
          <t>SPRING</t>
        </is>
      </c>
      <c r="C96">
        <v>0.0</v>
      </c>
      <c r="E96" t="inlineStr">
        <is>
          <t>HILLSBORO</t>
        </is>
      </c>
      <c r="F96" t="inlineStr">
        <is>
          <t>LEWIS</t>
        </is>
      </c>
      <c r="G96" t="inlineStr">
        <is>
          <t>SPRING</t>
        </is>
      </c>
      <c r="H96">
        <v>999.999</v>
      </c>
      <c r="J96" s="604" t="inlineStr">
        <is>
          <t>NIS</t>
        </is>
      </c>
      <c r="K96">
        <v>105375720</v>
      </c>
      <c r="L96" s="2">
        <v>43139</v>
      </c>
      <c r="M96">
        <v>30</v>
      </c>
      <c r="N96">
        <v>1</v>
      </c>
      <c r="O96">
        <v>7</v>
      </c>
      <c r="P96">
        <v>1</v>
      </c>
      <c r="Q96" t="inlineStr">
        <is>
          <t>O</t>
        </is>
      </c>
    </row>
    <row r="97">
      <c r="A97" t="inlineStr">
        <is>
          <t>CREEDMOOR</t>
        </is>
      </c>
      <c r="B97" t="inlineStr">
        <is>
          <t>MAIN</t>
        </is>
      </c>
      <c r="C97">
        <v>0.0</v>
      </c>
      <c r="E97" t="inlineStr">
        <is>
          <t>MILL</t>
        </is>
      </c>
      <c r="F97" t="inlineStr">
        <is>
          <t>FLEMING</t>
        </is>
      </c>
      <c r="G97" t="inlineStr">
        <is>
          <t>NC 50</t>
        </is>
      </c>
      <c r="H97">
        <v>3.016</v>
      </c>
      <c r="J97" s="604" t="inlineStr">
        <is>
          <t>NIS</t>
        </is>
      </c>
      <c r="K97">
        <v>105399346</v>
      </c>
      <c r="L97" s="2">
        <v>43142</v>
      </c>
      <c r="M97">
        <v>27</v>
      </c>
      <c r="N97">
        <v>2</v>
      </c>
      <c r="O97">
        <v>0</v>
      </c>
      <c r="P97">
        <v>3</v>
      </c>
      <c r="Q97" t="inlineStr">
        <is>
          <t>C</t>
        </is>
      </c>
    </row>
    <row r="98">
      <c r="A98" t="inlineStr">
        <is>
          <t>OXFORD</t>
        </is>
      </c>
      <c r="B98" t="inlineStr">
        <is>
          <t>MARTIN LUTHER KING</t>
        </is>
      </c>
      <c r="C98">
        <v>0.0</v>
      </c>
      <c r="E98" t="inlineStr">
        <is>
          <t>SPRING</t>
        </is>
      </c>
      <c r="F98" t="inlineStr">
        <is>
          <t>SYCAMORE</t>
        </is>
      </c>
      <c r="G98" t="inlineStr">
        <is>
          <t>NC 96</t>
        </is>
      </c>
      <c r="H98">
        <v>17.59</v>
      </c>
      <c r="J98" s="604" t="inlineStr">
        <is>
          <t>NIS</t>
        </is>
      </c>
      <c r="K98">
        <v>105397737</v>
      </c>
      <c r="L98" s="2">
        <v>43161</v>
      </c>
      <c r="M98">
        <v>30</v>
      </c>
      <c r="N98">
        <v>1</v>
      </c>
      <c r="O98">
        <v>0</v>
      </c>
      <c r="P98">
        <v>4</v>
      </c>
    </row>
    <row r="99">
      <c r="A99" t="inlineStr">
        <is>
          <t>OXFORD</t>
        </is>
      </c>
      <c r="B99" t="inlineStr">
        <is>
          <t>PVA POST OFFICE PVA</t>
        </is>
      </c>
      <c r="C99">
        <v>0.0</v>
      </c>
      <c r="E99" t="inlineStr">
        <is>
          <t>SPRING</t>
        </is>
      </c>
      <c r="F99" t="inlineStr">
        <is>
          <t>SPRING</t>
        </is>
      </c>
      <c r="H99">
        <v>999.999</v>
      </c>
      <c r="J99" s="604" t="inlineStr">
        <is>
          <t>NIS</t>
        </is>
      </c>
      <c r="K99">
        <v>105402812</v>
      </c>
      <c r="L99" s="2">
        <v>43166</v>
      </c>
      <c r="M99">
        <v>21</v>
      </c>
      <c r="N99">
        <v>1</v>
      </c>
      <c r="O99">
        <v>0</v>
      </c>
      <c r="P99">
        <v>1</v>
      </c>
      <c r="Q99" t="inlineStr">
        <is>
          <t>O</t>
        </is>
      </c>
    </row>
    <row r="100">
      <c r="A100" t="inlineStr">
        <is>
          <t>CREEDMOOR</t>
        </is>
      </c>
      <c r="B100" t="inlineStr">
        <is>
          <t>MAIN</t>
        </is>
      </c>
      <c r="C100">
        <v>0.009</v>
      </c>
      <c r="D100" t="inlineStr">
        <is>
          <t>S</t>
        </is>
      </c>
      <c r="E100" t="inlineStr">
        <is>
          <t>PARK</t>
        </is>
      </c>
      <c r="F100" t="inlineStr">
        <is>
          <t>LAKE</t>
        </is>
      </c>
      <c r="G100" t="inlineStr">
        <is>
          <t>NC 50</t>
        </is>
      </c>
      <c r="H100">
        <v>3.147</v>
      </c>
      <c r="J100" s="604" t="inlineStr">
        <is>
          <t>NIS</t>
        </is>
      </c>
      <c r="K100">
        <v>105417620</v>
      </c>
      <c r="L100" s="2">
        <v>43174</v>
      </c>
      <c r="M100">
        <v>1</v>
      </c>
      <c r="N100">
        <v>1</v>
      </c>
      <c r="O100">
        <v>0</v>
      </c>
      <c r="P100">
        <v>1</v>
      </c>
      <c r="Q100" t="inlineStr">
        <is>
          <t>O</t>
        </is>
      </c>
    </row>
    <row r="101">
      <c r="A101" t="inlineStr">
        <is>
          <t>CREEDMOOR</t>
        </is>
      </c>
      <c r="B101" t="inlineStr">
        <is>
          <t>MAIN</t>
        </is>
      </c>
      <c r="C101">
        <v>0.0</v>
      </c>
      <c r="E101" t="inlineStr">
        <is>
          <t>NC 56</t>
        </is>
      </c>
      <c r="F101" t="inlineStr">
        <is>
          <t>US 15</t>
        </is>
      </c>
      <c r="G101" t="inlineStr">
        <is>
          <t>NC 50</t>
        </is>
      </c>
      <c r="H101">
        <v>3.284</v>
      </c>
      <c r="J101" s="604" t="inlineStr">
        <is>
          <t>NIS</t>
        </is>
      </c>
      <c r="K101">
        <v>105417622</v>
      </c>
      <c r="L101" s="2">
        <v>43174</v>
      </c>
      <c r="M101">
        <v>23</v>
      </c>
      <c r="N101">
        <v>1</v>
      </c>
      <c r="O101">
        <v>7</v>
      </c>
      <c r="P101">
        <v>1</v>
      </c>
      <c r="Q101" t="inlineStr">
        <is>
          <t>O</t>
        </is>
      </c>
    </row>
    <row r="102">
      <c r="A102" t="inlineStr">
        <is>
          <t>CREEDMOOR</t>
        </is>
      </c>
      <c r="B102" t="inlineStr">
        <is>
          <t>PVA PVA CITY TAVERN</t>
        </is>
      </c>
      <c r="C102">
        <v>0.009</v>
      </c>
      <c r="D102" t="inlineStr">
        <is>
          <t>E</t>
        </is>
      </c>
      <c r="E102" t="inlineStr">
        <is>
          <t>MAIN</t>
        </is>
      </c>
      <c r="F102" t="inlineStr">
        <is>
          <t>GRAY</t>
        </is>
      </c>
      <c r="H102">
        <v>999.999</v>
      </c>
      <c r="J102" s="604" t="inlineStr">
        <is>
          <t>NIS</t>
        </is>
      </c>
      <c r="K102">
        <v>105984302</v>
      </c>
      <c r="L102" s="2">
        <v>43175</v>
      </c>
      <c r="M102">
        <v>31</v>
      </c>
      <c r="N102">
        <v>1</v>
      </c>
      <c r="O102">
        <v>0</v>
      </c>
      <c r="P102">
        <v>4</v>
      </c>
      <c r="Q102" t="inlineStr">
        <is>
          <t>O</t>
        </is>
      </c>
    </row>
    <row r="103">
      <c r="A103" t="inlineStr">
        <is>
          <t>OXFORD</t>
        </is>
      </c>
      <c r="B103" t="inlineStr">
        <is>
          <t>MARTIN LUTHER KING</t>
        </is>
      </c>
      <c r="C103">
        <v>0.0</v>
      </c>
      <c r="E103" t="inlineStr">
        <is>
          <t>SPRING</t>
        </is>
      </c>
      <c r="F103" t="inlineStr">
        <is>
          <t>HILLSBORO</t>
        </is>
      </c>
      <c r="G103" t="inlineStr">
        <is>
          <t>NC 96</t>
        </is>
      </c>
      <c r="H103">
        <v>17.59</v>
      </c>
      <c r="J103" s="604" t="inlineStr">
        <is>
          <t>NIS</t>
        </is>
      </c>
      <c r="K103">
        <v>105421874</v>
      </c>
      <c r="L103" s="2">
        <v>43183</v>
      </c>
      <c r="M103">
        <v>30</v>
      </c>
      <c r="N103">
        <v>6</v>
      </c>
      <c r="O103">
        <v>7</v>
      </c>
      <c r="P103">
        <v>4</v>
      </c>
      <c r="Q103" t="inlineStr">
        <is>
          <t>C</t>
        </is>
      </c>
    </row>
    <row r="104">
      <c r="A104" t="inlineStr">
        <is>
          <t>CREEDMOOR</t>
        </is>
      </c>
      <c r="B104" t="inlineStr">
        <is>
          <t>MAIN</t>
        </is>
      </c>
      <c r="C104">
        <v>0.015</v>
      </c>
      <c r="D104" t="inlineStr">
        <is>
          <t>S</t>
        </is>
      </c>
      <c r="E104" t="inlineStr">
        <is>
          <t>FLEMING</t>
        </is>
      </c>
      <c r="F104" t="inlineStr">
        <is>
          <t>PARK</t>
        </is>
      </c>
      <c r="G104" t="inlineStr">
        <is>
          <t>NC 50</t>
        </is>
      </c>
      <c r="H104">
        <v>3.111</v>
      </c>
      <c r="J104" s="604" t="inlineStr">
        <is>
          <t>NIS</t>
        </is>
      </c>
      <c r="K104">
        <v>105433973</v>
      </c>
      <c r="L104" s="2">
        <v>43187</v>
      </c>
      <c r="M104">
        <v>21</v>
      </c>
      <c r="N104">
        <v>1</v>
      </c>
      <c r="O104">
        <v>0</v>
      </c>
      <c r="P104">
        <v>1</v>
      </c>
      <c r="Q104" t="inlineStr">
        <is>
          <t>O</t>
        </is>
      </c>
    </row>
    <row r="105">
      <c r="A105" t="inlineStr">
        <is>
          <t>CREEDMOOR</t>
        </is>
      </c>
      <c r="B105" t="inlineStr">
        <is>
          <t>PVA MAIN ST</t>
        </is>
      </c>
      <c r="C105">
        <v>0.009</v>
      </c>
      <c r="D105" t="inlineStr">
        <is>
          <t>S</t>
        </is>
      </c>
      <c r="E105" t="inlineStr">
        <is>
          <t>CHURCH</t>
        </is>
      </c>
      <c r="F105" t="inlineStr">
        <is>
          <t>ROGER</t>
        </is>
      </c>
      <c r="G105" t="inlineStr">
        <is>
          <t>NC 50</t>
        </is>
      </c>
      <c r="H105">
        <v>2.859</v>
      </c>
      <c r="J105" s="604" t="inlineStr">
        <is>
          <t>NIS</t>
        </is>
      </c>
      <c r="K105">
        <v>105433975</v>
      </c>
      <c r="L105" s="2">
        <v>43192</v>
      </c>
      <c r="M105">
        <v>20</v>
      </c>
      <c r="N105">
        <v>1</v>
      </c>
      <c r="P105">
        <v>1</v>
      </c>
      <c r="Q105" t="inlineStr">
        <is>
          <t>O</t>
        </is>
      </c>
    </row>
    <row r="106">
      <c r="A106" t="inlineStr">
        <is>
          <t>CREEDMOOR</t>
        </is>
      </c>
      <c r="B106" t="inlineStr">
        <is>
          <t>MAIN</t>
        </is>
      </c>
      <c r="C106">
        <v>0.0</v>
      </c>
      <c r="E106" t="inlineStr">
        <is>
          <t>CHURCH</t>
        </is>
      </c>
      <c r="G106" t="inlineStr">
        <is>
          <t>NC 50</t>
        </is>
      </c>
      <c r="H106">
        <v>2.868</v>
      </c>
      <c r="J106" s="604" t="inlineStr">
        <is>
          <t>NIS</t>
        </is>
      </c>
      <c r="K106">
        <v>105449819</v>
      </c>
      <c r="L106" s="2">
        <v>43203</v>
      </c>
      <c r="M106">
        <v>30</v>
      </c>
      <c r="N106">
        <v>1</v>
      </c>
      <c r="O106">
        <v>7</v>
      </c>
      <c r="P106">
        <v>1</v>
      </c>
      <c r="Q106" t="inlineStr">
        <is>
          <t>C</t>
        </is>
      </c>
    </row>
    <row r="107">
      <c r="A107" t="inlineStr">
        <is>
          <t>CREEDMOOR</t>
        </is>
      </c>
      <c r="B107" t="inlineStr">
        <is>
          <t>MAIN</t>
        </is>
      </c>
      <c r="C107">
        <v>0.0</v>
      </c>
      <c r="E107" t="inlineStr">
        <is>
          <t>LION</t>
        </is>
      </c>
      <c r="F107" t="inlineStr">
        <is>
          <t>CHURCH</t>
        </is>
      </c>
      <c r="G107" t="inlineStr">
        <is>
          <t>NC 50</t>
        </is>
      </c>
      <c r="H107">
        <v>2.937</v>
      </c>
      <c r="J107" s="604" t="inlineStr">
        <is>
          <t>NIS</t>
        </is>
      </c>
      <c r="K107">
        <v>105449820</v>
      </c>
      <c r="L107" s="2">
        <v>43206</v>
      </c>
      <c r="M107">
        <v>24</v>
      </c>
      <c r="N107">
        <v>1</v>
      </c>
      <c r="O107">
        <v>12</v>
      </c>
      <c r="P107">
        <v>1</v>
      </c>
      <c r="Q107" t="inlineStr">
        <is>
          <t>O</t>
        </is>
      </c>
    </row>
    <row r="108">
      <c r="A108" t="inlineStr">
        <is>
          <t>OXFORD</t>
        </is>
      </c>
      <c r="B108" t="inlineStr">
        <is>
          <t>LEWIS</t>
        </is>
      </c>
      <c r="C108">
        <v>0.0</v>
      </c>
      <c r="E108" t="inlineStr">
        <is>
          <t>SPRING</t>
        </is>
      </c>
      <c r="F108" t="inlineStr">
        <is>
          <t>HILLSBORO</t>
        </is>
      </c>
      <c r="G108" t="inlineStr">
        <is>
          <t>US 15</t>
        </is>
      </c>
      <c r="H108">
        <v>20.498</v>
      </c>
      <c r="J108" s="604" t="inlineStr">
        <is>
          <t>NIS</t>
        </is>
      </c>
      <c r="K108">
        <v>105468703</v>
      </c>
      <c r="L108" s="2">
        <v>43218</v>
      </c>
      <c r="M108">
        <v>30</v>
      </c>
      <c r="N108">
        <v>1</v>
      </c>
      <c r="O108">
        <v>7</v>
      </c>
      <c r="P108">
        <v>1</v>
      </c>
      <c r="Q108" t="inlineStr">
        <is>
          <t>O</t>
        </is>
      </c>
    </row>
    <row r="109">
      <c r="A109" t="inlineStr">
        <is>
          <t>OXFORD</t>
        </is>
      </c>
      <c r="B109" t="inlineStr">
        <is>
          <t>PVA SOCIAL SERVICES LOT</t>
        </is>
      </c>
      <c r="C109">
        <v>0.0</v>
      </c>
      <c r="E109" t="inlineStr">
        <is>
          <t>SPRING</t>
        </is>
      </c>
      <c r="F109" t="inlineStr">
        <is>
          <t>HILLSBORO</t>
        </is>
      </c>
      <c r="H109">
        <v>999.999</v>
      </c>
      <c r="J109" s="604" t="inlineStr">
        <is>
          <t>NIS</t>
        </is>
      </c>
      <c r="K109">
        <v>105465888</v>
      </c>
      <c r="L109" s="2">
        <v>43222</v>
      </c>
      <c r="M109">
        <v>20</v>
      </c>
      <c r="N109">
        <v>1</v>
      </c>
      <c r="O109">
        <v>0</v>
      </c>
      <c r="P109">
        <v>1</v>
      </c>
      <c r="Q109" t="inlineStr">
        <is>
          <t>O</t>
        </is>
      </c>
    </row>
    <row r="110">
      <c r="A110" t="inlineStr">
        <is>
          <t>OXFORD</t>
        </is>
      </c>
      <c r="B110" t="inlineStr">
        <is>
          <t>MAIN</t>
        </is>
      </c>
      <c r="C110">
        <v>0.0</v>
      </c>
      <c r="E110" t="inlineStr">
        <is>
          <t>LITTLE JOHN</t>
        </is>
      </c>
      <c r="F110" t="inlineStr">
        <is>
          <t>WILLIAMSBORO</t>
        </is>
      </c>
      <c r="G110" t="inlineStr">
        <is>
          <t>SR 1602</t>
        </is>
      </c>
      <c r="H110">
        <v>1.421</v>
      </c>
      <c r="J110" s="604" t="inlineStr">
        <is>
          <t>NIS</t>
        </is>
      </c>
      <c r="K110">
        <v>105481992</v>
      </c>
      <c r="L110" s="2">
        <v>43236</v>
      </c>
      <c r="M110">
        <v>28</v>
      </c>
      <c r="N110">
        <v>10</v>
      </c>
      <c r="O110">
        <v>0</v>
      </c>
      <c r="P110">
        <v>1</v>
      </c>
    </row>
    <row r="111">
      <c r="A111" t="inlineStr">
        <is>
          <t>CREEDMOOR</t>
        </is>
      </c>
      <c r="B111" t="inlineStr">
        <is>
          <t>NC 56</t>
        </is>
      </c>
      <c r="C111">
        <v>0.0</v>
      </c>
      <c r="E111" t="inlineStr">
        <is>
          <t>MAIN</t>
        </is>
      </c>
      <c r="F111" t="inlineStr">
        <is>
          <t>NC 56</t>
        </is>
      </c>
      <c r="G111" t="inlineStr">
        <is>
          <t>NC 50</t>
        </is>
      </c>
      <c r="H111">
        <v>3.284</v>
      </c>
      <c r="J111" s="604" t="inlineStr">
        <is>
          <t>NIS</t>
        </is>
      </c>
      <c r="K111">
        <v>105508622</v>
      </c>
      <c r="L111" s="2">
        <v>43238</v>
      </c>
      <c r="M111">
        <v>23</v>
      </c>
      <c r="N111">
        <v>1</v>
      </c>
      <c r="O111">
        <v>7</v>
      </c>
      <c r="P111">
        <v>1</v>
      </c>
      <c r="Q111" t="inlineStr">
        <is>
          <t>O</t>
        </is>
      </c>
    </row>
    <row r="112">
      <c r="A112" t="inlineStr">
        <is>
          <t>OXFORD</t>
        </is>
      </c>
      <c r="B112" t="inlineStr">
        <is>
          <t>SPRING</t>
        </is>
      </c>
      <c r="C112">
        <v>0.0</v>
      </c>
      <c r="E112" t="inlineStr">
        <is>
          <t>COOPER</t>
        </is>
      </c>
      <c r="F112" t="inlineStr">
        <is>
          <t>COOPER</t>
        </is>
      </c>
      <c r="G112" t="inlineStr">
        <is>
          <t>SPRING</t>
        </is>
      </c>
      <c r="H112">
        <v>0.62</v>
      </c>
      <c r="J112" s="604" t="inlineStr">
        <is>
          <t>NIS</t>
        </is>
      </c>
      <c r="K112">
        <v>105494799</v>
      </c>
      <c r="L112" s="2">
        <v>43241</v>
      </c>
      <c r="M112">
        <v>19</v>
      </c>
      <c r="N112">
        <v>1</v>
      </c>
      <c r="O112">
        <v>0</v>
      </c>
      <c r="P112">
        <v>1</v>
      </c>
      <c r="Q112" t="inlineStr">
        <is>
          <t>O</t>
        </is>
      </c>
    </row>
    <row r="113">
      <c r="A113" t="inlineStr">
        <is>
          <t>OXFORD</t>
        </is>
      </c>
      <c r="B113" t="inlineStr">
        <is>
          <t>WILLIAMSBORO</t>
        </is>
      </c>
      <c r="C113">
        <v>0.0</v>
      </c>
      <c r="E113" t="inlineStr">
        <is>
          <t>SPRING</t>
        </is>
      </c>
      <c r="F113" t="inlineStr">
        <is>
          <t>SALEM</t>
        </is>
      </c>
      <c r="G113" t="inlineStr">
        <is>
          <t>US 158BUS</t>
        </is>
      </c>
      <c r="H113">
        <v>2.685</v>
      </c>
      <c r="J113" s="604" t="inlineStr">
        <is>
          <t>NIS</t>
        </is>
      </c>
      <c r="K113">
        <v>105494802</v>
      </c>
      <c r="L113" s="2">
        <v>43242</v>
      </c>
      <c r="M113">
        <v>30</v>
      </c>
      <c r="N113">
        <v>1</v>
      </c>
      <c r="O113">
        <v>7</v>
      </c>
      <c r="P113">
        <v>1</v>
      </c>
      <c r="Q113" t="inlineStr">
        <is>
          <t>O</t>
        </is>
      </c>
    </row>
    <row r="114">
      <c r="A114" t="inlineStr">
        <is>
          <t>CREEDMOOR</t>
        </is>
      </c>
      <c r="B114" t="inlineStr">
        <is>
          <t>MAIN</t>
        </is>
      </c>
      <c r="C114">
        <v>0.0</v>
      </c>
      <c r="E114" t="inlineStr">
        <is>
          <t>LAKE</t>
        </is>
      </c>
      <c r="G114" t="inlineStr">
        <is>
          <t>NC 50</t>
        </is>
      </c>
      <c r="H114">
        <v>3.206</v>
      </c>
      <c r="J114" s="604" t="inlineStr">
        <is>
          <t>NIS</t>
        </is>
      </c>
      <c r="K114">
        <v>105526147</v>
      </c>
      <c r="L114" s="2">
        <v>43280</v>
      </c>
      <c r="M114">
        <v>30</v>
      </c>
      <c r="N114">
        <v>1</v>
      </c>
      <c r="O114">
        <v>8</v>
      </c>
      <c r="P114">
        <v>1</v>
      </c>
      <c r="Q114" t="inlineStr">
        <is>
          <t>O</t>
        </is>
      </c>
    </row>
    <row r="115">
      <c r="A115" t="inlineStr">
        <is>
          <t>OXFORD</t>
        </is>
      </c>
      <c r="B115" t="inlineStr">
        <is>
          <t>WILLIAMSBORO</t>
        </is>
      </c>
      <c r="C115">
        <v>0.0</v>
      </c>
      <c r="E115" t="inlineStr">
        <is>
          <t>MAIN</t>
        </is>
      </c>
      <c r="F115" t="inlineStr">
        <is>
          <t>COLLEGE</t>
        </is>
      </c>
      <c r="G115" t="inlineStr">
        <is>
          <t>US 158BUS</t>
        </is>
      </c>
      <c r="H115">
        <v>2.055</v>
      </c>
      <c r="J115" s="604" t="inlineStr">
        <is>
          <t>NIS</t>
        </is>
      </c>
      <c r="K115">
        <v>105552281</v>
      </c>
      <c r="L115" s="2">
        <v>43291</v>
      </c>
      <c r="M115">
        <v>21</v>
      </c>
      <c r="N115">
        <v>1</v>
      </c>
      <c r="O115">
        <v>8</v>
      </c>
      <c r="P115">
        <v>1</v>
      </c>
      <c r="Q115" t="inlineStr">
        <is>
          <t>O</t>
        </is>
      </c>
    </row>
    <row r="116">
      <c r="A116" t="inlineStr">
        <is>
          <t>CREEDMOOR</t>
        </is>
      </c>
      <c r="B116" t="inlineStr">
        <is>
          <t>MAIN</t>
        </is>
      </c>
      <c r="C116">
        <v>0.031</v>
      </c>
      <c r="D116" t="inlineStr">
        <is>
          <t>S</t>
        </is>
      </c>
      <c r="E116" t="inlineStr">
        <is>
          <t>LION</t>
        </is>
      </c>
      <c r="F116" t="inlineStr">
        <is>
          <t>CHURCH</t>
        </is>
      </c>
      <c r="G116" t="inlineStr">
        <is>
          <t>NC 50</t>
        </is>
      </c>
      <c r="H116">
        <v>2.906</v>
      </c>
      <c r="J116" s="604" t="inlineStr">
        <is>
          <t>NIS</t>
        </is>
      </c>
      <c r="K116">
        <v>105551538</v>
      </c>
      <c r="L116" s="2">
        <v>43307</v>
      </c>
      <c r="M116">
        <v>30</v>
      </c>
      <c r="N116">
        <v>1</v>
      </c>
      <c r="O116">
        <v>4</v>
      </c>
      <c r="P116">
        <v>1</v>
      </c>
      <c r="Q116" t="inlineStr">
        <is>
          <t>O</t>
        </is>
      </c>
    </row>
    <row r="117">
      <c r="A117" t="inlineStr">
        <is>
          <t>OXFORD</t>
        </is>
      </c>
      <c r="B117" t="inlineStr">
        <is>
          <t>GRANVILLE</t>
        </is>
      </c>
      <c r="C117">
        <v>0.0</v>
      </c>
      <c r="E117" t="inlineStr">
        <is>
          <t>SPRING</t>
        </is>
      </c>
      <c r="F117" t="inlineStr">
        <is>
          <t>SYCAMORE</t>
        </is>
      </c>
      <c r="G117" t="inlineStr">
        <is>
          <t>SPRING</t>
        </is>
      </c>
      <c r="H117">
        <v>0.09</v>
      </c>
      <c r="J117" s="604" t="inlineStr">
        <is>
          <t>NIS</t>
        </is>
      </c>
      <c r="K117">
        <v>105573027</v>
      </c>
      <c r="L117" s="2">
        <v>43310</v>
      </c>
      <c r="M117">
        <v>30</v>
      </c>
      <c r="N117">
        <v>1</v>
      </c>
      <c r="O117">
        <v>0</v>
      </c>
      <c r="P117">
        <v>1</v>
      </c>
      <c r="Q117" t="inlineStr">
        <is>
          <t>B</t>
        </is>
      </c>
    </row>
    <row r="118">
      <c r="A118" t="inlineStr">
        <is>
          <t>OXFORD</t>
        </is>
      </c>
      <c r="B118" t="inlineStr">
        <is>
          <t>SPRING</t>
        </is>
      </c>
      <c r="C118">
        <v>0.0</v>
      </c>
      <c r="E118" t="inlineStr">
        <is>
          <t>COOPER</t>
        </is>
      </c>
      <c r="F118" t="inlineStr">
        <is>
          <t>BELL</t>
        </is>
      </c>
      <c r="G118" t="inlineStr">
        <is>
          <t>SPRING</t>
        </is>
      </c>
      <c r="H118">
        <v>0.62</v>
      </c>
      <c r="J118" s="604" t="inlineStr">
        <is>
          <t>NIS</t>
        </is>
      </c>
      <c r="K118">
        <v>105618961</v>
      </c>
      <c r="L118" s="2">
        <v>43337</v>
      </c>
      <c r="M118">
        <v>1</v>
      </c>
      <c r="N118">
        <v>1</v>
      </c>
      <c r="O118">
        <v>0</v>
      </c>
      <c r="P118">
        <v>4</v>
      </c>
      <c r="Q118" t="inlineStr">
        <is>
          <t>C</t>
        </is>
      </c>
    </row>
    <row r="119">
      <c r="A119" t="inlineStr">
        <is>
          <t>CREEDMOOR</t>
        </is>
      </c>
      <c r="B119" t="inlineStr">
        <is>
          <t>MAIN</t>
        </is>
      </c>
      <c r="C119">
        <v>0.01</v>
      </c>
      <c r="D119" t="inlineStr">
        <is>
          <t>S</t>
        </is>
      </c>
      <c r="E119" t="inlineStr">
        <is>
          <t>MASONIC</t>
        </is>
      </c>
      <c r="F119" t="inlineStr">
        <is>
          <t>SANDERFORD</t>
        </is>
      </c>
      <c r="G119" t="inlineStr">
        <is>
          <t>NC 50</t>
        </is>
      </c>
      <c r="H119">
        <v>2.986</v>
      </c>
      <c r="J119" s="604" t="inlineStr">
        <is>
          <t>NIS</t>
        </is>
      </c>
      <c r="K119">
        <v>105601554</v>
      </c>
      <c r="L119" s="2">
        <v>43350</v>
      </c>
      <c r="M119">
        <v>28</v>
      </c>
      <c r="N119">
        <v>1</v>
      </c>
      <c r="O119">
        <v>0</v>
      </c>
      <c r="P119">
        <v>1</v>
      </c>
      <c r="Q119" t="inlineStr">
        <is>
          <t>O</t>
        </is>
      </c>
    </row>
    <row r="120">
      <c r="A120" t="inlineStr">
        <is>
          <t>CREEDMOOR</t>
        </is>
      </c>
      <c r="B120" t="inlineStr">
        <is>
          <t>MASONIC</t>
        </is>
      </c>
      <c r="C120">
        <v>0.019</v>
      </c>
      <c r="D120" t="inlineStr">
        <is>
          <t>W</t>
        </is>
      </c>
      <c r="E120" t="inlineStr">
        <is>
          <t>MAIN</t>
        </is>
      </c>
      <c r="F120" t="inlineStr">
        <is>
          <t>ELM</t>
        </is>
      </c>
      <c r="H120">
        <v>999.999</v>
      </c>
      <c r="J120" s="604" t="inlineStr">
        <is>
          <t>NIS</t>
        </is>
      </c>
      <c r="K120">
        <v>105601553</v>
      </c>
      <c r="L120" s="2">
        <v>43353</v>
      </c>
      <c r="M120">
        <v>31</v>
      </c>
      <c r="N120">
        <v>1</v>
      </c>
      <c r="O120">
        <v>0</v>
      </c>
      <c r="P120">
        <v>1</v>
      </c>
      <c r="Q120" t="inlineStr">
        <is>
          <t>O</t>
        </is>
      </c>
    </row>
    <row r="121">
      <c r="A121" t="inlineStr">
        <is>
          <t>CREEDMOOR</t>
        </is>
      </c>
      <c r="B121" t="inlineStr">
        <is>
          <t>MAIN</t>
        </is>
      </c>
      <c r="C121">
        <v>0.0</v>
      </c>
      <c r="E121" t="inlineStr">
        <is>
          <t>NC 56</t>
        </is>
      </c>
      <c r="F121" t="inlineStr">
        <is>
          <t>DOUGLAS</t>
        </is>
      </c>
      <c r="G121" t="inlineStr">
        <is>
          <t>NC 50</t>
        </is>
      </c>
      <c r="H121">
        <v>3.284</v>
      </c>
      <c r="J121" s="604" t="inlineStr">
        <is>
          <t>NIS</t>
        </is>
      </c>
      <c r="K121">
        <v>105601555</v>
      </c>
      <c r="L121" s="2">
        <v>43353</v>
      </c>
      <c r="M121">
        <v>26</v>
      </c>
      <c r="N121">
        <v>1</v>
      </c>
      <c r="O121">
        <v>7</v>
      </c>
      <c r="P121">
        <v>1</v>
      </c>
      <c r="Q121" t="inlineStr">
        <is>
          <t>O</t>
        </is>
      </c>
    </row>
    <row r="122">
      <c r="A122" t="inlineStr">
        <is>
          <t>OXFORD</t>
        </is>
      </c>
      <c r="B122" t="inlineStr">
        <is>
          <t>WALL</t>
        </is>
      </c>
      <c r="C122">
        <v>0.0</v>
      </c>
      <c r="E122" t="inlineStr">
        <is>
          <t>SPRING</t>
        </is>
      </c>
      <c r="F122" t="inlineStr">
        <is>
          <t>HILLSBORO</t>
        </is>
      </c>
      <c r="G122" t="inlineStr">
        <is>
          <t>SPRING</t>
        </is>
      </c>
      <c r="H122">
        <v>0.22</v>
      </c>
      <c r="J122" s="604" t="inlineStr">
        <is>
          <t>NIS</t>
        </is>
      </c>
      <c r="K122">
        <v>105616476</v>
      </c>
      <c r="L122" s="2">
        <v>43370</v>
      </c>
      <c r="M122">
        <v>29</v>
      </c>
      <c r="N122">
        <v>2</v>
      </c>
      <c r="O122">
        <v>4</v>
      </c>
      <c r="P122">
        <v>1</v>
      </c>
      <c r="Q122" t="inlineStr">
        <is>
          <t>O</t>
        </is>
      </c>
    </row>
    <row r="123">
      <c r="A123" t="inlineStr">
        <is>
          <t>OXFORD</t>
        </is>
      </c>
      <c r="B123" t="inlineStr">
        <is>
          <t>SPRING</t>
        </is>
      </c>
      <c r="C123">
        <v>0.0</v>
      </c>
      <c r="E123" t="inlineStr">
        <is>
          <t>BELL</t>
        </is>
      </c>
      <c r="F123" t="inlineStr">
        <is>
          <t>COOPER</t>
        </is>
      </c>
      <c r="G123" t="inlineStr">
        <is>
          <t>SPRING</t>
        </is>
      </c>
      <c r="H123">
        <v>0.47</v>
      </c>
      <c r="J123" s="604" t="inlineStr">
        <is>
          <t>NIS</t>
        </is>
      </c>
      <c r="K123">
        <v>105656255</v>
      </c>
      <c r="L123" s="2">
        <v>43379</v>
      </c>
      <c r="M123">
        <v>30</v>
      </c>
      <c r="N123">
        <v>1</v>
      </c>
      <c r="O123">
        <v>0</v>
      </c>
      <c r="P123">
        <v>1</v>
      </c>
      <c r="Q123" t="inlineStr">
        <is>
          <t>O</t>
        </is>
      </c>
    </row>
    <row r="124">
      <c r="A124" t="inlineStr">
        <is>
          <t>CREEDMOOR</t>
        </is>
      </c>
      <c r="B124" t="inlineStr">
        <is>
          <t>MAIN</t>
        </is>
      </c>
      <c r="C124">
        <v>0.0</v>
      </c>
      <c r="E124" t="inlineStr">
        <is>
          <t>DOUGLAS</t>
        </is>
      </c>
      <c r="F124" t="inlineStr">
        <is>
          <t>LAKE</t>
        </is>
      </c>
      <c r="G124" t="inlineStr">
        <is>
          <t>NC 50</t>
        </is>
      </c>
      <c r="H124">
        <v>3.226</v>
      </c>
      <c r="J124" s="604" t="inlineStr">
        <is>
          <t>NIS</t>
        </is>
      </c>
      <c r="K124">
        <v>105658855</v>
      </c>
      <c r="L124" s="2">
        <v>43396</v>
      </c>
      <c r="M124">
        <v>24</v>
      </c>
      <c r="N124">
        <v>1</v>
      </c>
      <c r="O124">
        <v>12</v>
      </c>
      <c r="P124">
        <v>1</v>
      </c>
      <c r="Q124" t="inlineStr">
        <is>
          <t>O</t>
        </is>
      </c>
    </row>
    <row r="125">
      <c r="A125" t="inlineStr">
        <is>
          <t>OXFORD</t>
        </is>
      </c>
      <c r="B125" t="inlineStr">
        <is>
          <t>WILLIAMSBORO</t>
        </is>
      </c>
      <c r="C125">
        <v>0.0</v>
      </c>
      <c r="D125" t="inlineStr">
        <is>
          <t>S</t>
        </is>
      </c>
      <c r="E125" t="inlineStr">
        <is>
          <t>SALEM</t>
        </is>
      </c>
      <c r="F125" t="inlineStr">
        <is>
          <t>*LCL MILITARY STREET</t>
        </is>
      </c>
      <c r="G125" t="inlineStr">
        <is>
          <t>US 158BUS</t>
        </is>
      </c>
      <c r="H125">
        <v>2.685</v>
      </c>
      <c r="J125" s="604" t="inlineStr">
        <is>
          <t>NIS</t>
        </is>
      </c>
      <c r="K125">
        <v>105765497</v>
      </c>
      <c r="L125" s="2">
        <v>43396</v>
      </c>
      <c r="M125">
        <v>18</v>
      </c>
      <c r="N125">
        <v>1</v>
      </c>
      <c r="O125">
        <v>0</v>
      </c>
      <c r="P125">
        <v>1</v>
      </c>
      <c r="Q125" t="inlineStr">
        <is>
          <t>O</t>
        </is>
      </c>
    </row>
    <row r="126">
      <c r="A126" t="inlineStr">
        <is>
          <t>OXFORD</t>
        </is>
      </c>
      <c r="B126" t="inlineStr">
        <is>
          <t>SALEM</t>
        </is>
      </c>
      <c r="C126">
        <v>0.0</v>
      </c>
      <c r="E126" t="inlineStr">
        <is>
          <t>WILLIAMSBORO</t>
        </is>
      </c>
      <c r="F126" t="inlineStr">
        <is>
          <t>SPRING</t>
        </is>
      </c>
      <c r="G126" t="inlineStr">
        <is>
          <t>US 158BUS</t>
        </is>
      </c>
      <c r="H126">
        <v>2.685</v>
      </c>
      <c r="J126" s="604" t="inlineStr">
        <is>
          <t>NIS</t>
        </is>
      </c>
      <c r="K126">
        <v>105650743</v>
      </c>
      <c r="L126" s="2">
        <v>43399</v>
      </c>
      <c r="M126">
        <v>18</v>
      </c>
      <c r="N126">
        <v>2</v>
      </c>
      <c r="O126">
        <v>0</v>
      </c>
      <c r="P126">
        <v>5</v>
      </c>
      <c r="Q126" t="inlineStr">
        <is>
          <t>O</t>
        </is>
      </c>
    </row>
    <row r="127">
      <c r="A127" t="inlineStr">
        <is>
          <t>RURAL</t>
        </is>
      </c>
      <c r="B127" t="inlineStr">
        <is>
          <t>US 158</t>
        </is>
      </c>
      <c r="C127">
        <v>0.0</v>
      </c>
      <c r="E127" t="inlineStr">
        <is>
          <t>SR 1522</t>
        </is>
      </c>
      <c r="F127" t="inlineStr">
        <is>
          <t>SR 1515</t>
        </is>
      </c>
      <c r="G127" t="inlineStr">
        <is>
          <t>US 158</t>
        </is>
      </c>
      <c r="H127">
        <v>14.055</v>
      </c>
      <c r="J127" s="604" t="inlineStr">
        <is>
          <t>NIS</t>
        </is>
      </c>
      <c r="K127">
        <v>105665237</v>
      </c>
      <c r="L127" s="2">
        <v>43404</v>
      </c>
      <c r="M127">
        <v>23</v>
      </c>
      <c r="N127">
        <v>1</v>
      </c>
      <c r="O127">
        <v>7</v>
      </c>
      <c r="P127">
        <v>1</v>
      </c>
      <c r="Q127" t="inlineStr">
        <is>
          <t>C</t>
        </is>
      </c>
    </row>
    <row r="128">
      <c r="A128" t="inlineStr">
        <is>
          <t>CREEDMOOR</t>
        </is>
      </c>
      <c r="B128" t="inlineStr">
        <is>
          <t>PVA MAIN STREET</t>
        </is>
      </c>
      <c r="C128">
        <v>0.0</v>
      </c>
      <c r="E128" t="inlineStr">
        <is>
          <t>MAIN</t>
        </is>
      </c>
      <c r="F128" t="inlineStr">
        <is>
          <t>MILL</t>
        </is>
      </c>
      <c r="G128" t="inlineStr">
        <is>
          <t>SR 1127</t>
        </is>
      </c>
      <c r="H128">
        <v>5.073</v>
      </c>
      <c r="J128" s="604" t="inlineStr">
        <is>
          <t>NIS</t>
        </is>
      </c>
      <c r="K128">
        <v>105662698</v>
      </c>
      <c r="L128" s="2">
        <v>43405</v>
      </c>
      <c r="M128">
        <v>21</v>
      </c>
      <c r="N128">
        <v>1</v>
      </c>
      <c r="O128">
        <v>0</v>
      </c>
      <c r="P128">
        <v>4</v>
      </c>
      <c r="Q128" t="inlineStr">
        <is>
          <t>O</t>
        </is>
      </c>
    </row>
    <row r="129">
      <c r="A129" t="inlineStr">
        <is>
          <t>OXFORD</t>
        </is>
      </c>
      <c r="B129" t="inlineStr">
        <is>
          <t>ORANGE</t>
        </is>
      </c>
      <c r="C129">
        <v>0.0</v>
      </c>
      <c r="E129" t="inlineStr">
        <is>
          <t>SPRING</t>
        </is>
      </c>
      <c r="F129" t="inlineStr">
        <is>
          <t>ORANGE</t>
        </is>
      </c>
      <c r="G129" t="inlineStr">
        <is>
          <t>SPRING</t>
        </is>
      </c>
      <c r="H129">
        <v>999.999</v>
      </c>
      <c r="J129" s="604" t="inlineStr">
        <is>
          <t>NIS</t>
        </is>
      </c>
      <c r="K129">
        <v>105663384</v>
      </c>
      <c r="L129" s="2">
        <v>43410</v>
      </c>
      <c r="M129">
        <v>1</v>
      </c>
      <c r="N129">
        <v>2</v>
      </c>
      <c r="O129">
        <v>0</v>
      </c>
      <c r="P129">
        <v>1</v>
      </c>
      <c r="Q129" t="inlineStr">
        <is>
          <t>O</t>
        </is>
      </c>
    </row>
    <row r="130">
      <c r="A130" t="inlineStr">
        <is>
          <t>CREEDMOOR</t>
        </is>
      </c>
      <c r="B130" t="inlineStr">
        <is>
          <t>MAIN</t>
        </is>
      </c>
      <c r="C130">
        <v>0.15</v>
      </c>
      <c r="D130" t="inlineStr">
        <is>
          <t>N</t>
        </is>
      </c>
      <c r="E130" t="inlineStr">
        <is>
          <t>LION</t>
        </is>
      </c>
      <c r="F130" t="inlineStr">
        <is>
          <t>MILL</t>
        </is>
      </c>
      <c r="G130" t="inlineStr">
        <is>
          <t>NC 50</t>
        </is>
      </c>
      <c r="H130">
        <v>3.087</v>
      </c>
      <c r="J130" s="604" t="inlineStr">
        <is>
          <t>NIS</t>
        </is>
      </c>
      <c r="K130">
        <v>105680090</v>
      </c>
      <c r="L130" s="2">
        <v>43412</v>
      </c>
      <c r="M130">
        <v>23</v>
      </c>
      <c r="N130">
        <v>1</v>
      </c>
      <c r="O130">
        <v>0</v>
      </c>
      <c r="P130">
        <v>1</v>
      </c>
      <c r="Q130" t="inlineStr">
        <is>
          <t>O</t>
        </is>
      </c>
    </row>
    <row r="131">
      <c r="A131" t="inlineStr">
        <is>
          <t>OXFORD</t>
        </is>
      </c>
      <c r="B131" t="inlineStr">
        <is>
          <t>WILLIAMSBORO</t>
        </is>
      </c>
      <c r="C131">
        <v>0.019</v>
      </c>
      <c r="D131" t="inlineStr">
        <is>
          <t>E</t>
        </is>
      </c>
      <c r="E131" t="inlineStr">
        <is>
          <t>MAIN</t>
        </is>
      </c>
      <c r="F131" t="inlineStr">
        <is>
          <t>GILLIAM</t>
        </is>
      </c>
      <c r="G131" t="inlineStr">
        <is>
          <t>US 158BUS</t>
        </is>
      </c>
      <c r="H131">
        <v>2.074</v>
      </c>
      <c r="J131" s="604" t="inlineStr">
        <is>
          <t>NIS</t>
        </is>
      </c>
      <c r="K131">
        <v>105684376</v>
      </c>
      <c r="L131" s="2">
        <v>43420</v>
      </c>
      <c r="M131">
        <v>20</v>
      </c>
      <c r="N131">
        <v>1</v>
      </c>
      <c r="O131">
        <v>0</v>
      </c>
      <c r="P131">
        <v>2</v>
      </c>
      <c r="Q131" t="inlineStr">
        <is>
          <t>O</t>
        </is>
      </c>
    </row>
    <row r="132">
      <c r="A132" t="inlineStr">
        <is>
          <t>CREEDMOOR</t>
        </is>
      </c>
      <c r="B132" t="inlineStr">
        <is>
          <t>MAIN</t>
        </is>
      </c>
      <c r="C132">
        <v>0.047</v>
      </c>
      <c r="D132" t="inlineStr">
        <is>
          <t>N</t>
        </is>
      </c>
      <c r="E132" t="inlineStr">
        <is>
          <t>MOSS</t>
        </is>
      </c>
      <c r="F132" t="inlineStr">
        <is>
          <t>DURHAM</t>
        </is>
      </c>
      <c r="G132" t="inlineStr">
        <is>
          <t>SR 1639</t>
        </is>
      </c>
      <c r="H132">
        <v>0.472</v>
      </c>
      <c r="J132" s="604" t="inlineStr">
        <is>
          <t>NIS</t>
        </is>
      </c>
      <c r="K132">
        <v>105984781</v>
      </c>
      <c r="L132" s="2">
        <v>43427</v>
      </c>
      <c r="M132">
        <v>17</v>
      </c>
      <c r="N132">
        <v>1</v>
      </c>
      <c r="P132">
        <v>4</v>
      </c>
      <c r="Q132" t="inlineStr">
        <is>
          <t>O</t>
        </is>
      </c>
    </row>
    <row r="133">
      <c r="A133" t="inlineStr">
        <is>
          <t>RURAL</t>
        </is>
      </c>
      <c r="B133" t="inlineStr">
        <is>
          <t>SR 1522</t>
        </is>
      </c>
      <c r="C133">
        <v>0.066</v>
      </c>
      <c r="D133" t="inlineStr">
        <is>
          <t>S</t>
        </is>
      </c>
      <c r="E133" t="inlineStr">
        <is>
          <t>US 158</t>
        </is>
      </c>
      <c r="F133" t="inlineStr">
        <is>
          <t>PVA EDGEWOOD DR</t>
        </is>
      </c>
      <c r="G133" t="inlineStr">
        <is>
          <t>SR 1522</t>
        </is>
      </c>
      <c r="H133">
        <v>0.816</v>
      </c>
      <c r="J133" s="604" t="inlineStr">
        <is>
          <t>NIS</t>
        </is>
      </c>
      <c r="K133">
        <v>105715890</v>
      </c>
      <c r="L133" s="2">
        <v>43450</v>
      </c>
      <c r="M133">
        <v>19</v>
      </c>
      <c r="N133">
        <v>1</v>
      </c>
      <c r="O133">
        <v>0</v>
      </c>
      <c r="P133">
        <v>1</v>
      </c>
      <c r="Q133" t="inlineStr">
        <is>
          <t>O</t>
        </is>
      </c>
    </row>
    <row r="134">
      <c r="A134" t="inlineStr">
        <is>
          <t>CREEDMOOR</t>
        </is>
      </c>
      <c r="B134" t="inlineStr">
        <is>
          <t>WILTON</t>
        </is>
      </c>
      <c r="C134">
        <v>0.0</v>
      </c>
      <c r="E134" t="inlineStr">
        <is>
          <t>MAIN</t>
        </is>
      </c>
      <c r="F134" t="inlineStr">
        <is>
          <t>DURHAM</t>
        </is>
      </c>
      <c r="G134" t="inlineStr">
        <is>
          <t>NC 50</t>
        </is>
      </c>
      <c r="H134">
        <v>3.285</v>
      </c>
      <c r="J134" s="604" t="inlineStr">
        <is>
          <t>NIS</t>
        </is>
      </c>
      <c r="K134">
        <v>105750544</v>
      </c>
      <c r="L134" s="2">
        <v>43479</v>
      </c>
      <c r="M134">
        <v>28</v>
      </c>
      <c r="N134">
        <v>1</v>
      </c>
      <c r="O134">
        <v>7</v>
      </c>
      <c r="P134">
        <v>3</v>
      </c>
      <c r="Q134" t="inlineStr">
        <is>
          <t>O</t>
        </is>
      </c>
    </row>
    <row r="135">
      <c r="A135" t="inlineStr">
        <is>
          <t>CREEDMOOR</t>
        </is>
      </c>
      <c r="B135" t="inlineStr">
        <is>
          <t>PVA MAIN STREET</t>
        </is>
      </c>
      <c r="C135">
        <v>0.0</v>
      </c>
      <c r="E135" t="inlineStr">
        <is>
          <t>NC 56</t>
        </is>
      </c>
      <c r="F135" t="inlineStr">
        <is>
          <t>NC 56</t>
        </is>
      </c>
      <c r="G135" t="inlineStr">
        <is>
          <t>NC 50</t>
        </is>
      </c>
      <c r="H135">
        <v>3.284</v>
      </c>
      <c r="J135" s="604" t="inlineStr">
        <is>
          <t>NIS</t>
        </is>
      </c>
      <c r="K135">
        <v>105762325</v>
      </c>
      <c r="L135" s="2">
        <v>43497</v>
      </c>
      <c r="M135">
        <v>19</v>
      </c>
      <c r="N135">
        <v>1</v>
      </c>
      <c r="O135">
        <v>0</v>
      </c>
      <c r="P135">
        <v>1</v>
      </c>
      <c r="Q135" t="inlineStr">
        <is>
          <t>O</t>
        </is>
      </c>
    </row>
    <row r="136">
      <c r="A136" t="inlineStr">
        <is>
          <t>OXFORD</t>
        </is>
      </c>
      <c r="B136" t="inlineStr">
        <is>
          <t>SPRING</t>
        </is>
      </c>
      <c r="C136">
        <v>0.0</v>
      </c>
      <c r="E136" t="inlineStr">
        <is>
          <t>GRANVILLE</t>
        </is>
      </c>
      <c r="F136" t="inlineStr">
        <is>
          <t>MARTIN LUTHER KING</t>
        </is>
      </c>
      <c r="G136" t="inlineStr">
        <is>
          <t>SPRING</t>
        </is>
      </c>
      <c r="H136">
        <v>0.09</v>
      </c>
      <c r="J136" s="604" t="inlineStr">
        <is>
          <t>NIS</t>
        </is>
      </c>
      <c r="K136">
        <v>105771423</v>
      </c>
      <c r="L136" s="2">
        <v>43501</v>
      </c>
      <c r="M136">
        <v>21</v>
      </c>
      <c r="N136">
        <v>1</v>
      </c>
      <c r="O136">
        <v>0</v>
      </c>
      <c r="P136">
        <v>1</v>
      </c>
      <c r="Q136" t="inlineStr">
        <is>
          <t>C</t>
        </is>
      </c>
    </row>
    <row r="137">
      <c r="A137" t="inlineStr">
        <is>
          <t>RURAL</t>
        </is>
      </c>
      <c r="B137" t="inlineStr">
        <is>
          <t>SR 1521</t>
        </is>
      </c>
      <c r="C137">
        <v>0.009</v>
      </c>
      <c r="D137" t="inlineStr">
        <is>
          <t>S</t>
        </is>
      </c>
      <c r="E137" t="inlineStr">
        <is>
          <t>SR 1522</t>
        </is>
      </c>
      <c r="F137" t="inlineStr">
        <is>
          <t>SR 1524</t>
        </is>
      </c>
      <c r="G137" t="inlineStr">
        <is>
          <t>SR 1521</t>
        </is>
      </c>
      <c r="H137">
        <v>3.298</v>
      </c>
      <c r="J137" s="604" t="inlineStr">
        <is>
          <t>NIS</t>
        </is>
      </c>
      <c r="K137">
        <v>105770209</v>
      </c>
      <c r="L137" s="2">
        <v>43505</v>
      </c>
      <c r="M137">
        <v>29</v>
      </c>
      <c r="N137">
        <v>1</v>
      </c>
      <c r="O137">
        <v>0</v>
      </c>
      <c r="P137">
        <v>1</v>
      </c>
      <c r="Q137" t="inlineStr">
        <is>
          <t>C</t>
        </is>
      </c>
    </row>
    <row r="138">
      <c r="A138" t="inlineStr">
        <is>
          <t>RURAL</t>
        </is>
      </c>
      <c r="B138" t="inlineStr">
        <is>
          <t>US 158</t>
        </is>
      </c>
      <c r="C138">
        <v>0.01</v>
      </c>
      <c r="D138" t="inlineStr">
        <is>
          <t>W</t>
        </is>
      </c>
      <c r="E138" t="inlineStr">
        <is>
          <t>SR 1522</t>
        </is>
      </c>
      <c r="F138" t="inlineStr">
        <is>
          <t>US 15</t>
        </is>
      </c>
      <c r="G138" t="inlineStr">
        <is>
          <t>US 158</t>
        </is>
      </c>
      <c r="H138">
        <v>14.045</v>
      </c>
      <c r="J138" s="604" t="inlineStr">
        <is>
          <t>NIS</t>
        </is>
      </c>
      <c r="K138">
        <v>105790343</v>
      </c>
      <c r="L138" s="2">
        <v>43523</v>
      </c>
      <c r="M138">
        <v>21</v>
      </c>
      <c r="N138">
        <v>1</v>
      </c>
      <c r="O138">
        <v>0</v>
      </c>
      <c r="P138">
        <v>1</v>
      </c>
      <c r="Q138" t="inlineStr">
        <is>
          <t>B</t>
        </is>
      </c>
    </row>
    <row r="139">
      <c r="A139" t="inlineStr">
        <is>
          <t>OXFORD</t>
        </is>
      </c>
      <c r="B139" t="inlineStr">
        <is>
          <t>PVA PVA OF HIX GYM</t>
        </is>
      </c>
      <c r="C139">
        <v>0.0</v>
      </c>
      <c r="E139" t="inlineStr">
        <is>
          <t>SPRING</t>
        </is>
      </c>
      <c r="F139" t="inlineStr">
        <is>
          <t>PVA COOPER ST</t>
        </is>
      </c>
      <c r="H139">
        <v>999.999</v>
      </c>
      <c r="J139" s="604" t="inlineStr">
        <is>
          <t>NIS</t>
        </is>
      </c>
      <c r="K139">
        <v>105808057</v>
      </c>
      <c r="L139" s="2">
        <v>43526</v>
      </c>
      <c r="M139">
        <v>5</v>
      </c>
      <c r="N139">
        <v>1</v>
      </c>
      <c r="O139">
        <v>0</v>
      </c>
      <c r="P139">
        <v>1</v>
      </c>
    </row>
    <row r="140">
      <c r="A140" t="inlineStr">
        <is>
          <t>CREEDMOOR</t>
        </is>
      </c>
      <c r="B140" t="inlineStr">
        <is>
          <t>WILTON</t>
        </is>
      </c>
      <c r="C140">
        <v>0.008</v>
      </c>
      <c r="D140" t="inlineStr">
        <is>
          <t>W</t>
        </is>
      </c>
      <c r="E140" t="inlineStr">
        <is>
          <t>MAIN</t>
        </is>
      </c>
      <c r="F140" t="inlineStr">
        <is>
          <t>US 15</t>
        </is>
      </c>
      <c r="G140" t="inlineStr">
        <is>
          <t>NC 50</t>
        </is>
      </c>
      <c r="H140">
        <v>3.293</v>
      </c>
      <c r="J140" s="604" t="inlineStr">
        <is>
          <t>NIS</t>
        </is>
      </c>
      <c r="K140">
        <v>105924216</v>
      </c>
      <c r="L140" s="2">
        <v>43526</v>
      </c>
      <c r="M140">
        <v>2</v>
      </c>
      <c r="N140">
        <v>1</v>
      </c>
      <c r="O140">
        <v>7</v>
      </c>
      <c r="P140">
        <v>4</v>
      </c>
      <c r="Q140" t="inlineStr">
        <is>
          <t>O</t>
        </is>
      </c>
    </row>
    <row r="141">
      <c r="A141" t="inlineStr">
        <is>
          <t>OXFORD</t>
        </is>
      </c>
      <c r="B141" t="inlineStr">
        <is>
          <t>MAIN</t>
        </is>
      </c>
      <c r="C141">
        <v>0.028</v>
      </c>
      <c r="D141" t="inlineStr">
        <is>
          <t>S</t>
        </is>
      </c>
      <c r="E141" t="inlineStr">
        <is>
          <t>WILLIAMSBORO</t>
        </is>
      </c>
      <c r="F141" t="inlineStr">
        <is>
          <t>COURT</t>
        </is>
      </c>
      <c r="G141" t="inlineStr">
        <is>
          <t>SR 1602</t>
        </is>
      </c>
      <c r="H141">
        <v>1.476</v>
      </c>
      <c r="J141" s="604" t="inlineStr">
        <is>
          <t>NIS</t>
        </is>
      </c>
      <c r="K141">
        <v>105799613</v>
      </c>
      <c r="L141" s="2">
        <v>43535</v>
      </c>
      <c r="M141">
        <v>31</v>
      </c>
      <c r="N141">
        <v>1</v>
      </c>
      <c r="O141">
        <v>0</v>
      </c>
      <c r="P141">
        <v>1</v>
      </c>
      <c r="Q141" t="inlineStr">
        <is>
          <t>O</t>
        </is>
      </c>
    </row>
    <row r="142">
      <c r="A142" t="inlineStr">
        <is>
          <t>CREEDMOOR</t>
        </is>
      </c>
      <c r="B142" t="inlineStr">
        <is>
          <t>MAIN</t>
        </is>
      </c>
      <c r="C142">
        <v>0.0</v>
      </c>
      <c r="E142" t="inlineStr">
        <is>
          <t>CHURCH</t>
        </is>
      </c>
      <c r="F142" t="inlineStr">
        <is>
          <t>ROGER</t>
        </is>
      </c>
      <c r="G142" t="inlineStr">
        <is>
          <t>NC 50</t>
        </is>
      </c>
      <c r="H142">
        <v>2.868</v>
      </c>
      <c r="J142" s="604" t="inlineStr">
        <is>
          <t>NIS</t>
        </is>
      </c>
      <c r="K142">
        <v>105801665</v>
      </c>
      <c r="L142" s="2">
        <v>43536</v>
      </c>
      <c r="M142">
        <v>21</v>
      </c>
      <c r="N142">
        <v>1</v>
      </c>
      <c r="O142">
        <v>7</v>
      </c>
      <c r="P142">
        <v>1</v>
      </c>
      <c r="Q142" t="inlineStr">
        <is>
          <t>O</t>
        </is>
      </c>
    </row>
    <row r="143">
      <c r="A143" t="inlineStr">
        <is>
          <t>OXFORD</t>
        </is>
      </c>
      <c r="B143" t="inlineStr">
        <is>
          <t>SPRING</t>
        </is>
      </c>
      <c r="C143">
        <v>0.0</v>
      </c>
      <c r="E143" t="inlineStr">
        <is>
          <t>MARTIN LUTHER KING</t>
        </is>
      </c>
      <c r="F143" t="inlineStr">
        <is>
          <t>WALL</t>
        </is>
      </c>
      <c r="G143" t="inlineStr">
        <is>
          <t>SPRING</t>
        </is>
      </c>
      <c r="H143">
        <v>999.999</v>
      </c>
      <c r="J143" s="604" t="inlineStr">
        <is>
          <t>NIS</t>
        </is>
      </c>
      <c r="K143">
        <v>105801662</v>
      </c>
      <c r="L143" s="2">
        <v>43537</v>
      </c>
      <c r="M143">
        <v>31</v>
      </c>
      <c r="N143">
        <v>1</v>
      </c>
      <c r="O143">
        <v>0</v>
      </c>
      <c r="P143">
        <v>1</v>
      </c>
      <c r="Q143" t="inlineStr">
        <is>
          <t>O</t>
        </is>
      </c>
    </row>
    <row r="144">
      <c r="A144" t="inlineStr">
        <is>
          <t>RURAL</t>
        </is>
      </c>
      <c r="B144" t="inlineStr">
        <is>
          <t>SR 1522</t>
        </is>
      </c>
      <c r="C144">
        <v>0.0</v>
      </c>
      <c r="E144" t="inlineStr">
        <is>
          <t>SR 1523</t>
        </is>
      </c>
      <c r="F144" t="inlineStr">
        <is>
          <t>SR 1521</t>
        </is>
      </c>
      <c r="G144" t="inlineStr">
        <is>
          <t>SR 1522</t>
        </is>
      </c>
      <c r="H144">
        <v>1.913</v>
      </c>
      <c r="J144" s="604" t="inlineStr">
        <is>
          <t>NIS</t>
        </is>
      </c>
      <c r="K144">
        <v>105807326</v>
      </c>
      <c r="L144" s="2">
        <v>43543</v>
      </c>
      <c r="M144">
        <v>21</v>
      </c>
      <c r="N144">
        <v>1</v>
      </c>
      <c r="O144">
        <v>8</v>
      </c>
      <c r="P144">
        <v>1</v>
      </c>
      <c r="Q144" t="inlineStr">
        <is>
          <t>O</t>
        </is>
      </c>
    </row>
    <row r="145">
      <c r="A145" t="inlineStr">
        <is>
          <t>CREEDMOOR</t>
        </is>
      </c>
      <c r="B145" t="inlineStr">
        <is>
          <t>MAIN</t>
        </is>
      </c>
      <c r="C145">
        <v>0.014</v>
      </c>
      <c r="D145" t="inlineStr">
        <is>
          <t>N</t>
        </is>
      </c>
      <c r="E145" t="inlineStr">
        <is>
          <t>LION</t>
        </is>
      </c>
      <c r="F145" t="inlineStr">
        <is>
          <t>MASONIC</t>
        </is>
      </c>
      <c r="G145" t="inlineStr">
        <is>
          <t>NC 50</t>
        </is>
      </c>
      <c r="H145">
        <v>2.951</v>
      </c>
      <c r="J145" s="604" t="inlineStr">
        <is>
          <t>NIS</t>
        </is>
      </c>
      <c r="K145">
        <v>105822297</v>
      </c>
      <c r="L145" s="2">
        <v>43551</v>
      </c>
      <c r="M145">
        <v>28</v>
      </c>
      <c r="N145">
        <v>1</v>
      </c>
      <c r="O145">
        <v>0</v>
      </c>
      <c r="P145">
        <v>1</v>
      </c>
    </row>
    <row r="146">
      <c r="A146" t="inlineStr">
        <is>
          <t>OXFORD</t>
        </is>
      </c>
      <c r="B146" t="inlineStr">
        <is>
          <t>WILLIAMSBORO</t>
        </is>
      </c>
      <c r="C146">
        <v>0.0</v>
      </c>
      <c r="E146" t="inlineStr">
        <is>
          <t>SALEM</t>
        </is>
      </c>
      <c r="F146" t="inlineStr">
        <is>
          <t>PINECONE</t>
        </is>
      </c>
      <c r="G146" t="inlineStr">
        <is>
          <t>US 158BUS</t>
        </is>
      </c>
      <c r="H146">
        <v>2.685</v>
      </c>
      <c r="J146" s="604" t="inlineStr">
        <is>
          <t>NIS</t>
        </is>
      </c>
      <c r="K146">
        <v>105836651</v>
      </c>
      <c r="L146" s="2">
        <v>43557</v>
      </c>
      <c r="M146">
        <v>30</v>
      </c>
      <c r="N146">
        <v>2</v>
      </c>
      <c r="O146">
        <v>0</v>
      </c>
      <c r="P146">
        <v>1</v>
      </c>
      <c r="Q146" t="inlineStr">
        <is>
          <t>C</t>
        </is>
      </c>
    </row>
    <row r="147">
      <c r="A147" t="inlineStr">
        <is>
          <t>RURAL</t>
        </is>
      </c>
      <c r="B147" t="inlineStr">
        <is>
          <t>US 158</t>
        </is>
      </c>
      <c r="C147">
        <v>0.0</v>
      </c>
      <c r="E147" t="inlineStr">
        <is>
          <t>SR 1602</t>
        </is>
      </c>
      <c r="F147" t="inlineStr">
        <is>
          <t>SR 1522</t>
        </is>
      </c>
      <c r="G147" t="inlineStr">
        <is>
          <t>US 158</t>
        </is>
      </c>
      <c r="H147">
        <v>999.999</v>
      </c>
      <c r="J147" s="604" t="inlineStr">
        <is>
          <t>NIS</t>
        </is>
      </c>
      <c r="K147">
        <v>105825638</v>
      </c>
      <c r="L147" s="2">
        <v>43562</v>
      </c>
      <c r="M147">
        <v>23</v>
      </c>
      <c r="N147">
        <v>1</v>
      </c>
      <c r="O147">
        <v>7</v>
      </c>
      <c r="P147">
        <v>1</v>
      </c>
      <c r="Q147" t="inlineStr">
        <is>
          <t>B</t>
        </is>
      </c>
    </row>
    <row r="148">
      <c r="A148" t="inlineStr">
        <is>
          <t>OXFORD</t>
        </is>
      </c>
      <c r="B148" t="inlineStr">
        <is>
          <t>WILLIAMSBORO</t>
        </is>
      </c>
      <c r="C148">
        <v>0.0</v>
      </c>
      <c r="E148" t="inlineStr">
        <is>
          <t>MAIN</t>
        </is>
      </c>
      <c r="G148" t="inlineStr">
        <is>
          <t>US 158BUS</t>
        </is>
      </c>
      <c r="H148">
        <v>2.055</v>
      </c>
      <c r="J148" s="604" t="inlineStr">
        <is>
          <t>NIS</t>
        </is>
      </c>
      <c r="K148">
        <v>105849892</v>
      </c>
      <c r="L148" s="2">
        <v>43587</v>
      </c>
      <c r="M148">
        <v>21</v>
      </c>
      <c r="N148">
        <v>1</v>
      </c>
      <c r="O148">
        <v>0</v>
      </c>
      <c r="P148">
        <v>1</v>
      </c>
      <c r="Q148" t="inlineStr">
        <is>
          <t>O</t>
        </is>
      </c>
    </row>
    <row r="149">
      <c r="A149" t="inlineStr">
        <is>
          <t>CREEDMOOR</t>
        </is>
      </c>
      <c r="B149" t="inlineStr">
        <is>
          <t>MAIN</t>
        </is>
      </c>
      <c r="C149">
        <v>0.009</v>
      </c>
      <c r="D149" t="inlineStr">
        <is>
          <t>N</t>
        </is>
      </c>
      <c r="E149" t="inlineStr">
        <is>
          <t>LION</t>
        </is>
      </c>
      <c r="F149" t="inlineStr">
        <is>
          <t>SANDERFORD</t>
        </is>
      </c>
      <c r="G149" t="inlineStr">
        <is>
          <t>NC 50</t>
        </is>
      </c>
      <c r="H149">
        <v>2.946</v>
      </c>
      <c r="J149" s="604" t="inlineStr">
        <is>
          <t>NIS</t>
        </is>
      </c>
      <c r="K149">
        <v>105860727</v>
      </c>
      <c r="L149" s="2">
        <v>43595</v>
      </c>
      <c r="M149">
        <v>28</v>
      </c>
      <c r="N149">
        <v>1</v>
      </c>
      <c r="P149">
        <v>1</v>
      </c>
      <c r="Q149" t="inlineStr">
        <is>
          <t>O</t>
        </is>
      </c>
    </row>
    <row r="150">
      <c r="A150" t="inlineStr">
        <is>
          <t>RURAL</t>
        </is>
      </c>
      <c r="B150" t="inlineStr">
        <is>
          <t>SR 1522</t>
        </is>
      </c>
      <c r="C150">
        <v>0.0</v>
      </c>
      <c r="E150" t="inlineStr">
        <is>
          <t>SR 1146</t>
        </is>
      </c>
      <c r="F150" t="inlineStr">
        <is>
          <t>SR 1523</t>
        </is>
      </c>
      <c r="G150" t="inlineStr">
        <is>
          <t>SR 1522</t>
        </is>
      </c>
      <c r="H150">
        <v>999.999</v>
      </c>
      <c r="J150" s="604" t="inlineStr">
        <is>
          <t>NIS</t>
        </is>
      </c>
      <c r="K150">
        <v>105865220</v>
      </c>
      <c r="L150" s="2">
        <v>43599</v>
      </c>
      <c r="M150">
        <v>30</v>
      </c>
      <c r="N150">
        <v>1</v>
      </c>
      <c r="O150">
        <v>7</v>
      </c>
      <c r="P150">
        <v>1</v>
      </c>
      <c r="Q150" t="inlineStr">
        <is>
          <t>B</t>
        </is>
      </c>
    </row>
    <row r="151">
      <c r="A151" t="inlineStr">
        <is>
          <t>RURAL</t>
        </is>
      </c>
      <c r="B151" t="inlineStr">
        <is>
          <t>US 158</t>
        </is>
      </c>
      <c r="C151">
        <v>0.0</v>
      </c>
      <c r="E151" t="inlineStr">
        <is>
          <t>SR 1522</t>
        </is>
      </c>
      <c r="F151" t="inlineStr">
        <is>
          <t>US 15</t>
        </is>
      </c>
      <c r="G151" t="inlineStr">
        <is>
          <t>US 158</t>
        </is>
      </c>
      <c r="H151">
        <v>14.055</v>
      </c>
      <c r="J151" s="604" t="inlineStr">
        <is>
          <t>NIS</t>
        </is>
      </c>
      <c r="K151">
        <v>105890212</v>
      </c>
      <c r="L151" s="2">
        <v>43620</v>
      </c>
      <c r="M151">
        <v>30</v>
      </c>
      <c r="N151">
        <v>1</v>
      </c>
      <c r="O151">
        <v>7</v>
      </c>
      <c r="P151">
        <v>1</v>
      </c>
      <c r="Q151" t="inlineStr">
        <is>
          <t>O</t>
        </is>
      </c>
    </row>
    <row r="152">
      <c r="A152" t="inlineStr">
        <is>
          <t>RURAL</t>
        </is>
      </c>
      <c r="B152" t="inlineStr">
        <is>
          <t>SR 1522</t>
        </is>
      </c>
      <c r="C152">
        <v>0.3</v>
      </c>
      <c r="D152" t="inlineStr">
        <is>
          <t>E</t>
        </is>
      </c>
      <c r="E152" t="inlineStr">
        <is>
          <t>SR 1521</t>
        </is>
      </c>
      <c r="F152" t="inlineStr">
        <is>
          <t>SR 1526</t>
        </is>
      </c>
      <c r="G152" t="inlineStr">
        <is>
          <t>SR 1522</t>
        </is>
      </c>
      <c r="H152">
        <v>3.404</v>
      </c>
      <c r="J152" s="604" t="inlineStr">
        <is>
          <t>NIS</t>
        </is>
      </c>
      <c r="K152">
        <v>105890878</v>
      </c>
      <c r="L152" s="2">
        <v>43622</v>
      </c>
      <c r="M152">
        <v>27</v>
      </c>
      <c r="N152">
        <v>1</v>
      </c>
      <c r="O152">
        <v>0</v>
      </c>
      <c r="P152">
        <v>1</v>
      </c>
      <c r="Q152" t="inlineStr">
        <is>
          <t>B</t>
        </is>
      </c>
    </row>
    <row r="153">
      <c r="A153" t="inlineStr">
        <is>
          <t>OXFORD</t>
        </is>
      </c>
      <c r="B153" t="inlineStr">
        <is>
          <t>SPRING</t>
        </is>
      </c>
      <c r="C153">
        <v>0.0</v>
      </c>
      <c r="D153" t="inlineStr">
        <is>
          <t>E</t>
        </is>
      </c>
      <c r="E153" t="inlineStr">
        <is>
          <t>LEWIS</t>
        </is>
      </c>
      <c r="F153" t="inlineStr">
        <is>
          <t>CHURCH</t>
        </is>
      </c>
      <c r="G153" t="inlineStr">
        <is>
          <t>SPRING</t>
        </is>
      </c>
      <c r="H153">
        <v>999.999</v>
      </c>
      <c r="J153" s="604" t="inlineStr">
        <is>
          <t>NIS</t>
        </is>
      </c>
      <c r="K153">
        <v>106104024</v>
      </c>
      <c r="L153" s="2">
        <v>43629</v>
      </c>
      <c r="M153">
        <v>19</v>
      </c>
      <c r="N153">
        <v>2</v>
      </c>
      <c r="O153">
        <v>0</v>
      </c>
      <c r="P153">
        <v>2</v>
      </c>
      <c r="Q153" t="inlineStr">
        <is>
          <t>O</t>
        </is>
      </c>
    </row>
    <row r="154">
      <c r="A154" t="inlineStr">
        <is>
          <t>CREEDMOOR</t>
        </is>
      </c>
      <c r="B154" t="inlineStr">
        <is>
          <t>MAIN</t>
        </is>
      </c>
      <c r="C154">
        <v>0.038</v>
      </c>
      <c r="D154" t="inlineStr">
        <is>
          <t>S</t>
        </is>
      </c>
      <c r="E154" t="inlineStr">
        <is>
          <t>ROGER</t>
        </is>
      </c>
      <c r="F154" t="inlineStr">
        <is>
          <t>DOGWOOD</t>
        </is>
      </c>
      <c r="G154" t="inlineStr">
        <is>
          <t>NC 50</t>
        </is>
      </c>
      <c r="H154">
        <v>2.701</v>
      </c>
      <c r="J154" s="604" t="inlineStr">
        <is>
          <t>NIS</t>
        </is>
      </c>
      <c r="K154">
        <v>105898070</v>
      </c>
      <c r="L154" s="2">
        <v>43633</v>
      </c>
      <c r="M154">
        <v>29</v>
      </c>
      <c r="N154">
        <v>1</v>
      </c>
      <c r="O154">
        <v>0</v>
      </c>
      <c r="P154">
        <v>1</v>
      </c>
      <c r="Q154" t="inlineStr">
        <is>
          <t>O</t>
        </is>
      </c>
    </row>
    <row r="155">
      <c r="A155" t="inlineStr">
        <is>
          <t>CREEDMOOR</t>
        </is>
      </c>
      <c r="B155" t="inlineStr">
        <is>
          <t>MAIN</t>
        </is>
      </c>
      <c r="C155">
        <v>0.032</v>
      </c>
      <c r="D155" t="inlineStr">
        <is>
          <t>W</t>
        </is>
      </c>
      <c r="E155" t="inlineStr">
        <is>
          <t>SANDERFORD</t>
        </is>
      </c>
      <c r="F155" t="inlineStr">
        <is>
          <t>*LCL W LYON STREET</t>
        </is>
      </c>
      <c r="G155" t="inlineStr">
        <is>
          <t>NC 50</t>
        </is>
      </c>
      <c r="H155">
        <v>2.934</v>
      </c>
      <c r="J155" s="604" t="inlineStr">
        <is>
          <t>NIS</t>
        </is>
      </c>
      <c r="K155">
        <v>106032449</v>
      </c>
      <c r="L155" s="2">
        <v>43635</v>
      </c>
      <c r="M155">
        <v>30</v>
      </c>
      <c r="N155">
        <v>1</v>
      </c>
      <c r="O155">
        <v>0</v>
      </c>
      <c r="P155">
        <v>1</v>
      </c>
      <c r="Q155" t="inlineStr">
        <is>
          <t>O</t>
        </is>
      </c>
    </row>
    <row r="156">
      <c r="A156" t="inlineStr">
        <is>
          <t>CREEDMOOR</t>
        </is>
      </c>
      <c r="B156" t="inlineStr">
        <is>
          <t>MAIN</t>
        </is>
      </c>
      <c r="C156">
        <v>0.0</v>
      </c>
      <c r="E156" t="inlineStr">
        <is>
          <t>*PP 414 S MAIN ST</t>
        </is>
      </c>
      <c r="F156" t="inlineStr">
        <is>
          <t>*LCL PERRY FARM RD</t>
        </is>
      </c>
      <c r="H156">
        <v>999.999</v>
      </c>
      <c r="J156" s="604" t="inlineStr">
        <is>
          <t>NIS</t>
        </is>
      </c>
      <c r="K156">
        <v>105908438</v>
      </c>
      <c r="L156" s="2">
        <v>43642</v>
      </c>
      <c r="M156">
        <v>22</v>
      </c>
      <c r="N156">
        <v>1</v>
      </c>
      <c r="O156">
        <v>0</v>
      </c>
      <c r="P156">
        <v>1</v>
      </c>
      <c r="Q156" t="inlineStr">
        <is>
          <t>C</t>
        </is>
      </c>
      <c r="R156">
        <v>36.111494</v>
      </c>
      <c r="S156">
        <v>-78.687768</v>
      </c>
      <c r="T156" t="inlineStr">
        <is>
          <t>ITRE_CMV</t>
        </is>
      </c>
      <c r="V156">
        <v>14.816118007701826</v>
      </c>
    </row>
    <row r="157">
      <c r="A157" t="inlineStr">
        <is>
          <t>RURAL</t>
        </is>
      </c>
      <c r="B157" t="inlineStr">
        <is>
          <t>SR 1522</t>
        </is>
      </c>
      <c r="C157">
        <v>0.0</v>
      </c>
      <c r="E157" t="inlineStr">
        <is>
          <t>US 158</t>
        </is>
      </c>
      <c r="F157" t="inlineStr">
        <is>
          <t>SR 1515</t>
        </is>
      </c>
      <c r="G157" t="inlineStr">
        <is>
          <t>SR 1522</t>
        </is>
      </c>
      <c r="H157">
        <v>0.882</v>
      </c>
      <c r="J157" s="604" t="inlineStr">
        <is>
          <t>NIS</t>
        </is>
      </c>
      <c r="K157">
        <v>105921384</v>
      </c>
      <c r="L157" s="2">
        <v>43655</v>
      </c>
      <c r="M157">
        <v>30</v>
      </c>
      <c r="N157">
        <v>1</v>
      </c>
      <c r="O157">
        <v>7</v>
      </c>
      <c r="P157">
        <v>1</v>
      </c>
      <c r="Q157" t="inlineStr">
        <is>
          <t>B</t>
        </is>
      </c>
    </row>
    <row r="158">
      <c r="A158" t="inlineStr">
        <is>
          <t>CREEDMOOR</t>
        </is>
      </c>
      <c r="B158" t="inlineStr">
        <is>
          <t>MAIN</t>
        </is>
      </c>
      <c r="C158">
        <v>0.019</v>
      </c>
      <c r="D158" t="inlineStr">
        <is>
          <t>S</t>
        </is>
      </c>
      <c r="E158" t="inlineStr">
        <is>
          <t>FLEMING</t>
        </is>
      </c>
      <c r="F158" t="inlineStr">
        <is>
          <t>MILL</t>
        </is>
      </c>
      <c r="G158" t="inlineStr">
        <is>
          <t>NC 50</t>
        </is>
      </c>
      <c r="H158">
        <v>3.107</v>
      </c>
      <c r="J158" s="604" t="inlineStr">
        <is>
          <t>NIS</t>
        </is>
      </c>
      <c r="K158">
        <v>105924215</v>
      </c>
      <c r="L158" s="2">
        <v>43660</v>
      </c>
      <c r="M158">
        <v>19</v>
      </c>
      <c r="N158">
        <v>1</v>
      </c>
      <c r="O158">
        <v>0</v>
      </c>
      <c r="P158">
        <v>4</v>
      </c>
      <c r="Q158" t="inlineStr">
        <is>
          <t>O</t>
        </is>
      </c>
    </row>
    <row r="159">
      <c r="A159" t="inlineStr">
        <is>
          <t>OXFORD</t>
        </is>
      </c>
      <c r="B159" t="inlineStr">
        <is>
          <t>MAIN</t>
        </is>
      </c>
      <c r="C159">
        <v>0.011</v>
      </c>
      <c r="D159" t="inlineStr">
        <is>
          <t>N</t>
        </is>
      </c>
      <c r="E159" t="inlineStr">
        <is>
          <t>MCCLANAHAN</t>
        </is>
      </c>
      <c r="F159" t="inlineStr">
        <is>
          <t>HILLSBORO</t>
        </is>
      </c>
      <c r="G159" t="inlineStr">
        <is>
          <t>MAIN</t>
        </is>
      </c>
      <c r="H159">
        <v>999.999</v>
      </c>
      <c r="J159" s="604" t="inlineStr">
        <is>
          <t>NIS</t>
        </is>
      </c>
      <c r="K159">
        <v>105928354</v>
      </c>
      <c r="L159" s="2">
        <v>43663</v>
      </c>
      <c r="M159">
        <v>20</v>
      </c>
      <c r="N159">
        <v>1</v>
      </c>
      <c r="O159">
        <v>0</v>
      </c>
      <c r="P159">
        <v>1</v>
      </c>
      <c r="Q159" t="inlineStr">
        <is>
          <t>O</t>
        </is>
      </c>
    </row>
    <row r="160">
      <c r="A160" t="inlineStr">
        <is>
          <t>RURAL</t>
        </is>
      </c>
      <c r="B160" t="inlineStr">
        <is>
          <t>US 158</t>
        </is>
      </c>
      <c r="C160">
        <v>0.0</v>
      </c>
      <c r="E160" t="inlineStr">
        <is>
          <t>SR 1522</t>
        </is>
      </c>
      <c r="F160" t="inlineStr">
        <is>
          <t>US 15</t>
        </is>
      </c>
      <c r="G160" t="inlineStr">
        <is>
          <t>US 158</t>
        </is>
      </c>
      <c r="H160">
        <v>14.055</v>
      </c>
      <c r="J160" s="604" t="inlineStr">
        <is>
          <t>NIS</t>
        </is>
      </c>
      <c r="K160">
        <v>105930374</v>
      </c>
      <c r="L160" s="2">
        <v>43665</v>
      </c>
      <c r="M160">
        <v>30</v>
      </c>
      <c r="N160">
        <v>1</v>
      </c>
      <c r="O160">
        <v>7</v>
      </c>
      <c r="P160">
        <v>1</v>
      </c>
      <c r="Q160" t="inlineStr">
        <is>
          <t>O</t>
        </is>
      </c>
    </row>
    <row r="161">
      <c r="A161" t="inlineStr">
        <is>
          <t>CREEDMOOR</t>
        </is>
      </c>
      <c r="B161" t="inlineStr">
        <is>
          <t>MAIN</t>
        </is>
      </c>
      <c r="C161">
        <v>0.004</v>
      </c>
      <c r="D161" t="inlineStr">
        <is>
          <t>S</t>
        </is>
      </c>
      <c r="E161" t="inlineStr">
        <is>
          <t>CHURCH</t>
        </is>
      </c>
      <c r="F161" t="inlineStr">
        <is>
          <t>DOGWOOD</t>
        </is>
      </c>
      <c r="G161" t="inlineStr">
        <is>
          <t>NC 50</t>
        </is>
      </c>
      <c r="H161">
        <v>2.864</v>
      </c>
      <c r="J161" s="604" t="inlineStr">
        <is>
          <t>NIS</t>
        </is>
      </c>
      <c r="K161">
        <v>105943302</v>
      </c>
      <c r="L161" s="2">
        <v>43676</v>
      </c>
      <c r="M161">
        <v>30</v>
      </c>
      <c r="N161">
        <v>1</v>
      </c>
      <c r="O161">
        <v>4</v>
      </c>
      <c r="P161">
        <v>1</v>
      </c>
      <c r="Q161" t="inlineStr">
        <is>
          <t>C</t>
        </is>
      </c>
    </row>
    <row r="162">
      <c r="A162" t="inlineStr">
        <is>
          <t>OXFORD</t>
        </is>
      </c>
      <c r="B162" t="inlineStr">
        <is>
          <t>PVA USPS PVA</t>
        </is>
      </c>
      <c r="C162">
        <v>0.006</v>
      </c>
      <c r="D162" t="inlineStr">
        <is>
          <t>N</t>
        </is>
      </c>
      <c r="E162" t="inlineStr">
        <is>
          <t>SPRING</t>
        </is>
      </c>
      <c r="F162" t="inlineStr">
        <is>
          <t>WALL</t>
        </is>
      </c>
      <c r="H162">
        <v>999.999</v>
      </c>
      <c r="J162" s="604" t="inlineStr">
        <is>
          <t>NIS</t>
        </is>
      </c>
      <c r="K162">
        <v>105975736</v>
      </c>
      <c r="L162" s="2">
        <v>43701</v>
      </c>
      <c r="M162">
        <v>31</v>
      </c>
      <c r="N162">
        <v>1</v>
      </c>
      <c r="O162">
        <v>0</v>
      </c>
      <c r="P162">
        <v>1</v>
      </c>
      <c r="Q162" t="inlineStr">
        <is>
          <t>O</t>
        </is>
      </c>
    </row>
    <row r="163">
      <c r="A163" t="inlineStr">
        <is>
          <t>OXFORD</t>
        </is>
      </c>
      <c r="B163" t="inlineStr">
        <is>
          <t>MAIN</t>
        </is>
      </c>
      <c r="C163">
        <v>0.019</v>
      </c>
      <c r="D163" t="inlineStr">
        <is>
          <t>S</t>
        </is>
      </c>
      <c r="E163" t="inlineStr">
        <is>
          <t>HIGH</t>
        </is>
      </c>
      <c r="F163" t="inlineStr">
        <is>
          <t>FRONT</t>
        </is>
      </c>
      <c r="G163" t="inlineStr">
        <is>
          <t>SR 1602</t>
        </is>
      </c>
      <c r="H163">
        <v>1.214</v>
      </c>
      <c r="J163" s="604" t="inlineStr">
        <is>
          <t>NIS</t>
        </is>
      </c>
      <c r="K163">
        <v>105988532</v>
      </c>
      <c r="L163" s="2">
        <v>43722</v>
      </c>
      <c r="M163">
        <v>30</v>
      </c>
      <c r="N163">
        <v>1</v>
      </c>
      <c r="O163">
        <v>0</v>
      </c>
      <c r="P163">
        <v>1</v>
      </c>
      <c r="Q163" t="inlineStr">
        <is>
          <t>O</t>
        </is>
      </c>
    </row>
    <row r="164">
      <c r="A164" t="inlineStr">
        <is>
          <t>OXFORD</t>
        </is>
      </c>
      <c r="B164" t="inlineStr">
        <is>
          <t>SPRING</t>
        </is>
      </c>
      <c r="C164">
        <v>0.0</v>
      </c>
      <c r="E164" t="inlineStr">
        <is>
          <t>GILLIAM</t>
        </is>
      </c>
      <c r="F164" t="inlineStr">
        <is>
          <t>BELL</t>
        </is>
      </c>
      <c r="G164" t="inlineStr">
        <is>
          <t>SPRING</t>
        </is>
      </c>
      <c r="H164">
        <v>0.4</v>
      </c>
      <c r="J164" s="604" t="inlineStr">
        <is>
          <t>NIS</t>
        </is>
      </c>
      <c r="K164">
        <v>105988533</v>
      </c>
      <c r="L164" s="2">
        <v>43722</v>
      </c>
      <c r="M164">
        <v>0</v>
      </c>
      <c r="N164">
        <v>1</v>
      </c>
      <c r="O164">
        <v>0</v>
      </c>
      <c r="P164">
        <v>1</v>
      </c>
    </row>
    <row r="165">
      <c r="A165" t="inlineStr">
        <is>
          <t>RURAL</t>
        </is>
      </c>
      <c r="B165" t="inlineStr">
        <is>
          <t>SR 1522</t>
        </is>
      </c>
      <c r="C165">
        <v>1.0</v>
      </c>
      <c r="D165" t="inlineStr">
        <is>
          <t>E</t>
        </is>
      </c>
      <c r="E165" t="inlineStr">
        <is>
          <t>US 158</t>
        </is>
      </c>
      <c r="F165" t="inlineStr">
        <is>
          <t>SR 1195</t>
        </is>
      </c>
      <c r="G165" t="inlineStr">
        <is>
          <t>SR 1522</t>
        </is>
      </c>
      <c r="H165">
        <v>1.882</v>
      </c>
      <c r="J165" s="604" t="inlineStr">
        <is>
          <t>NIS</t>
        </is>
      </c>
      <c r="K165">
        <v>105994366</v>
      </c>
      <c r="L165" s="2">
        <v>43725</v>
      </c>
      <c r="M165">
        <v>17</v>
      </c>
      <c r="N165">
        <v>1</v>
      </c>
      <c r="O165">
        <v>0</v>
      </c>
      <c r="P165">
        <v>5</v>
      </c>
      <c r="Q165" t="inlineStr">
        <is>
          <t>O</t>
        </is>
      </c>
    </row>
    <row r="166">
      <c r="A166" t="inlineStr">
        <is>
          <t>OXFORD</t>
        </is>
      </c>
      <c r="B166" t="inlineStr">
        <is>
          <t>SR 1161</t>
        </is>
      </c>
      <c r="C166">
        <v>0.0</v>
      </c>
      <c r="E166" t="inlineStr">
        <is>
          <t>SR 1602</t>
        </is>
      </c>
      <c r="F166" t="inlineStr">
        <is>
          <t>HIGHLAND</t>
        </is>
      </c>
      <c r="G166" t="inlineStr">
        <is>
          <t>SR 1161</t>
        </is>
      </c>
      <c r="H166">
        <v>999.999</v>
      </c>
      <c r="J166" s="604" t="inlineStr">
        <is>
          <t>NIS</t>
        </is>
      </c>
      <c r="K166">
        <v>106009333</v>
      </c>
      <c r="L166" s="2">
        <v>43732</v>
      </c>
      <c r="M166">
        <v>19</v>
      </c>
      <c r="N166">
        <v>1</v>
      </c>
      <c r="O166">
        <v>8</v>
      </c>
      <c r="P166">
        <v>4</v>
      </c>
      <c r="Q166" t="inlineStr">
        <is>
          <t>C</t>
        </is>
      </c>
    </row>
    <row r="167">
      <c r="A167" t="inlineStr">
        <is>
          <t>RURAL</t>
        </is>
      </c>
      <c r="B167" t="inlineStr">
        <is>
          <t>SR 1522</t>
        </is>
      </c>
      <c r="C167">
        <v>1.2</v>
      </c>
      <c r="D167" t="inlineStr">
        <is>
          <t>N</t>
        </is>
      </c>
      <c r="E167" t="inlineStr">
        <is>
          <t>SR 1521</t>
        </is>
      </c>
      <c r="F167" t="inlineStr">
        <is>
          <t>SR 1520</t>
        </is>
      </c>
      <c r="G167" t="inlineStr">
        <is>
          <t>SR 1522</t>
        </is>
      </c>
      <c r="H167">
        <v>4.304</v>
      </c>
      <c r="J167" s="604" t="inlineStr">
        <is>
          <t>NIS</t>
        </is>
      </c>
      <c r="K167">
        <v>106014443</v>
      </c>
      <c r="L167" s="2">
        <v>43741</v>
      </c>
      <c r="M167">
        <v>28</v>
      </c>
      <c r="N167">
        <v>1</v>
      </c>
      <c r="O167">
        <v>0</v>
      </c>
      <c r="P167">
        <v>1</v>
      </c>
      <c r="Q167" t="inlineStr">
        <is>
          <t>O</t>
        </is>
      </c>
    </row>
    <row r="168">
      <c r="A168" t="inlineStr">
        <is>
          <t>RURAL</t>
        </is>
      </c>
      <c r="B168" t="inlineStr">
        <is>
          <t>SR 1522</t>
        </is>
      </c>
      <c r="C168">
        <v>0.0</v>
      </c>
      <c r="E168" t="inlineStr">
        <is>
          <t>US 158</t>
        </is>
      </c>
      <c r="F168" t="inlineStr">
        <is>
          <t>SR 1515</t>
        </is>
      </c>
      <c r="G168" t="inlineStr">
        <is>
          <t>SR 1522</t>
        </is>
      </c>
      <c r="H168">
        <v>0.882</v>
      </c>
      <c r="J168" s="604" t="inlineStr">
        <is>
          <t>NIS</t>
        </is>
      </c>
      <c r="K168">
        <v>106039704</v>
      </c>
      <c r="L168" s="2">
        <v>43762</v>
      </c>
      <c r="M168">
        <v>25</v>
      </c>
      <c r="N168">
        <v>1</v>
      </c>
      <c r="O168">
        <v>7</v>
      </c>
      <c r="P168">
        <v>1</v>
      </c>
      <c r="Q168" t="inlineStr">
        <is>
          <t>O</t>
        </is>
      </c>
    </row>
    <row r="169">
      <c r="A169" t="inlineStr">
        <is>
          <t>RURAL</t>
        </is>
      </c>
      <c r="B169" t="inlineStr">
        <is>
          <t>US 158</t>
        </is>
      </c>
      <c r="C169">
        <v>0.004</v>
      </c>
      <c r="D169" t="inlineStr">
        <is>
          <t>E</t>
        </is>
      </c>
      <c r="E169" t="inlineStr">
        <is>
          <t>SR 1602</t>
        </is>
      </c>
      <c r="F169" t="inlineStr">
        <is>
          <t>I 85</t>
        </is>
      </c>
      <c r="G169" t="inlineStr">
        <is>
          <t>US 158</t>
        </is>
      </c>
      <c r="H169">
        <v>999.999</v>
      </c>
      <c r="J169" s="604" t="inlineStr">
        <is>
          <t>NIS</t>
        </is>
      </c>
      <c r="K169">
        <v>106048164</v>
      </c>
      <c r="L169" s="2">
        <v>43768</v>
      </c>
      <c r="M169">
        <v>21</v>
      </c>
      <c r="N169">
        <v>1</v>
      </c>
      <c r="O169">
        <v>0</v>
      </c>
      <c r="P169">
        <v>5</v>
      </c>
      <c r="Q169" t="inlineStr">
        <is>
          <t>O</t>
        </is>
      </c>
    </row>
    <row r="170">
      <c r="A170" t="inlineStr">
        <is>
          <t>CREEDMOOR</t>
        </is>
      </c>
      <c r="B170" t="inlineStr">
        <is>
          <t>MAIN</t>
        </is>
      </c>
      <c r="C170">
        <v>0.063</v>
      </c>
      <c r="D170" t="inlineStr">
        <is>
          <t>S</t>
        </is>
      </c>
      <c r="E170" t="inlineStr">
        <is>
          <t>MOSS</t>
        </is>
      </c>
      <c r="F170" t="inlineStr">
        <is>
          <t>MANGUM</t>
        </is>
      </c>
      <c r="G170" t="inlineStr">
        <is>
          <t>SR 1639</t>
        </is>
      </c>
      <c r="H170">
        <v>0.362</v>
      </c>
      <c r="J170" s="604" t="inlineStr">
        <is>
          <t>NIS</t>
        </is>
      </c>
      <c r="K170">
        <v>106064139</v>
      </c>
      <c r="L170" s="2">
        <v>43774</v>
      </c>
      <c r="M170">
        <v>17</v>
      </c>
      <c r="N170">
        <v>1</v>
      </c>
      <c r="O170">
        <v>0</v>
      </c>
      <c r="P170">
        <v>4</v>
      </c>
      <c r="Q170" t="inlineStr">
        <is>
          <t>O</t>
        </is>
      </c>
    </row>
    <row r="171">
      <c r="A171" t="inlineStr">
        <is>
          <t>OXFORD</t>
        </is>
      </c>
      <c r="B171" t="inlineStr">
        <is>
          <t>MARTIN LUTHER KING</t>
        </is>
      </c>
      <c r="C171">
        <v>0.0</v>
      </c>
      <c r="E171" t="inlineStr">
        <is>
          <t>SPRING</t>
        </is>
      </c>
      <c r="F171" t="inlineStr">
        <is>
          <t>MARTIN LUTHER KING</t>
        </is>
      </c>
      <c r="G171" t="inlineStr">
        <is>
          <t>NC 96</t>
        </is>
      </c>
      <c r="H171">
        <v>17.59</v>
      </c>
      <c r="J171" s="604" t="inlineStr">
        <is>
          <t>NIS</t>
        </is>
      </c>
      <c r="K171">
        <v>106061382</v>
      </c>
      <c r="L171" s="2">
        <v>43783</v>
      </c>
      <c r="M171">
        <v>28</v>
      </c>
      <c r="N171">
        <v>1</v>
      </c>
      <c r="O171">
        <v>0</v>
      </c>
      <c r="P171">
        <v>1</v>
      </c>
      <c r="Q171" t="inlineStr">
        <is>
          <t>O</t>
        </is>
      </c>
    </row>
    <row r="172">
      <c r="A172" t="inlineStr">
        <is>
          <t>OXFORD</t>
        </is>
      </c>
      <c r="B172" t="inlineStr">
        <is>
          <t>MARTIN LUTHER KING</t>
        </is>
      </c>
      <c r="C172">
        <v>0.0</v>
      </c>
      <c r="E172" t="inlineStr">
        <is>
          <t>SPRING</t>
        </is>
      </c>
      <c r="F172" t="inlineStr">
        <is>
          <t>SPRING</t>
        </is>
      </c>
      <c r="G172" t="inlineStr">
        <is>
          <t>NC 96</t>
        </is>
      </c>
      <c r="H172">
        <v>17.59</v>
      </c>
      <c r="J172" s="604" t="inlineStr">
        <is>
          <t>NIS</t>
        </is>
      </c>
      <c r="K172">
        <v>106097128</v>
      </c>
      <c r="L172" s="2">
        <v>43801</v>
      </c>
      <c r="M172">
        <v>21</v>
      </c>
      <c r="N172">
        <v>1</v>
      </c>
      <c r="O172">
        <v>0</v>
      </c>
      <c r="P172">
        <v>1</v>
      </c>
      <c r="Q172" t="inlineStr">
        <is>
          <t>O</t>
        </is>
      </c>
    </row>
    <row r="173">
      <c r="A173" t="inlineStr">
        <is>
          <t>CREEDMOOR</t>
        </is>
      </c>
      <c r="B173" t="inlineStr">
        <is>
          <t>WILTON</t>
        </is>
      </c>
      <c r="C173">
        <v>0.0</v>
      </c>
      <c r="E173" t="inlineStr">
        <is>
          <t>MAIN</t>
        </is>
      </c>
      <c r="F173" t="inlineStr">
        <is>
          <t>DOUGLAS</t>
        </is>
      </c>
      <c r="G173" t="inlineStr">
        <is>
          <t>NC 50</t>
        </is>
      </c>
      <c r="H173">
        <v>3.285</v>
      </c>
      <c r="J173" s="604" t="inlineStr">
        <is>
          <t>NIS</t>
        </is>
      </c>
      <c r="K173">
        <v>106108451</v>
      </c>
      <c r="L173" s="2">
        <v>43823</v>
      </c>
      <c r="M173">
        <v>21</v>
      </c>
      <c r="N173">
        <v>1</v>
      </c>
      <c r="O173">
        <v>0</v>
      </c>
      <c r="P173">
        <v>1</v>
      </c>
      <c r="Q173" t="inlineStr">
        <is>
          <t>C</t>
        </is>
      </c>
    </row>
    <row r="174">
      <c r="A174" t="inlineStr">
        <is>
          <t>CREEDMOOR</t>
        </is>
      </c>
      <c r="B174" t="inlineStr">
        <is>
          <t>MAIN</t>
        </is>
      </c>
      <c r="C174">
        <v>0.0</v>
      </c>
      <c r="E174" t="inlineStr">
        <is>
          <t>CHURCH</t>
        </is>
      </c>
      <c r="F174" t="inlineStr">
        <is>
          <t>ROGER</t>
        </is>
      </c>
      <c r="G174" t="inlineStr">
        <is>
          <t>NC 50</t>
        </is>
      </c>
      <c r="H174">
        <v>2.868</v>
      </c>
      <c r="J174" s="604" t="inlineStr">
        <is>
          <t>NIS</t>
        </is>
      </c>
      <c r="K174">
        <v>106125842</v>
      </c>
      <c r="L174" s="2">
        <v>43845</v>
      </c>
      <c r="M174">
        <v>30</v>
      </c>
      <c r="N174">
        <v>1</v>
      </c>
      <c r="O174">
        <v>7</v>
      </c>
      <c r="P174">
        <v>1</v>
      </c>
      <c r="Q174" t="inlineStr">
        <is>
          <t>C</t>
        </is>
      </c>
    </row>
    <row r="175">
      <c r="A175" t="inlineStr">
        <is>
          <t>OXFORD</t>
        </is>
      </c>
      <c r="B175" t="inlineStr">
        <is>
          <t>ORANGE</t>
        </is>
      </c>
      <c r="C175">
        <v>0.0</v>
      </c>
      <c r="E175" t="inlineStr">
        <is>
          <t>SPRING</t>
        </is>
      </c>
      <c r="F175" t="inlineStr">
        <is>
          <t>SPRING</t>
        </is>
      </c>
      <c r="G175" t="inlineStr">
        <is>
          <t>SPRING</t>
        </is>
      </c>
      <c r="H175">
        <v>999.999</v>
      </c>
      <c r="J175" s="604" t="inlineStr">
        <is>
          <t>NIS</t>
        </is>
      </c>
      <c r="K175">
        <v>106147279</v>
      </c>
      <c r="L175" s="2">
        <v>43867</v>
      </c>
      <c r="M175">
        <v>30</v>
      </c>
      <c r="N175">
        <v>2</v>
      </c>
      <c r="O175">
        <v>0</v>
      </c>
      <c r="P175">
        <v>1</v>
      </c>
      <c r="Q175" t="inlineStr">
        <is>
          <t>O</t>
        </is>
      </c>
    </row>
    <row r="176">
      <c r="A176" t="inlineStr">
        <is>
          <t>CREEDMOOR</t>
        </is>
      </c>
      <c r="B176" t="inlineStr">
        <is>
          <t>MAIN</t>
        </is>
      </c>
      <c r="C176">
        <v>0.0</v>
      </c>
      <c r="E176" t="inlineStr">
        <is>
          <t>MILL</t>
        </is>
      </c>
      <c r="F176" t="inlineStr">
        <is>
          <t>FLEMING</t>
        </is>
      </c>
      <c r="G176" t="inlineStr">
        <is>
          <t>NC 50</t>
        </is>
      </c>
      <c r="H176">
        <v>3.016</v>
      </c>
      <c r="J176" s="604" t="inlineStr">
        <is>
          <t>NIS</t>
        </is>
      </c>
      <c r="K176">
        <v>106157107</v>
      </c>
      <c r="L176" s="2">
        <v>43875</v>
      </c>
      <c r="M176">
        <v>30</v>
      </c>
      <c r="N176">
        <v>1</v>
      </c>
      <c r="O176">
        <v>8</v>
      </c>
      <c r="P176">
        <v>1</v>
      </c>
      <c r="Q176" t="inlineStr">
        <is>
          <t>O</t>
        </is>
      </c>
    </row>
    <row r="177">
      <c r="A177" t="inlineStr">
        <is>
          <t>CREEDMOOR</t>
        </is>
      </c>
      <c r="B177" t="inlineStr">
        <is>
          <t>NC 56</t>
        </is>
      </c>
      <c r="C177">
        <v>0.0</v>
      </c>
      <c r="E177" t="inlineStr">
        <is>
          <t>MAIN</t>
        </is>
      </c>
      <c r="F177" t="inlineStr">
        <is>
          <t>US 15</t>
        </is>
      </c>
      <c r="G177" t="inlineStr">
        <is>
          <t>NC 50</t>
        </is>
      </c>
      <c r="H177">
        <v>3.284</v>
      </c>
      <c r="J177" s="604" t="inlineStr">
        <is>
          <t>NIS</t>
        </is>
      </c>
      <c r="K177">
        <v>106186679</v>
      </c>
      <c r="L177" s="2">
        <v>43907</v>
      </c>
      <c r="M177">
        <v>30</v>
      </c>
      <c r="N177">
        <v>1</v>
      </c>
      <c r="O177">
        <v>7</v>
      </c>
      <c r="P177">
        <v>1</v>
      </c>
      <c r="Q177" t="inlineStr">
        <is>
          <t>O</t>
        </is>
      </c>
    </row>
    <row r="178">
      <c r="A178" t="inlineStr">
        <is>
          <t>RURAL</t>
        </is>
      </c>
      <c r="B178" t="inlineStr">
        <is>
          <t>SR 1522</t>
        </is>
      </c>
      <c r="C178">
        <v>0.3</v>
      </c>
      <c r="D178" t="inlineStr">
        <is>
          <t>W</t>
        </is>
      </c>
      <c r="E178" t="inlineStr">
        <is>
          <t>SR 1533</t>
        </is>
      </c>
      <c r="F178" t="inlineStr">
        <is>
          <t>SR 1521</t>
        </is>
      </c>
      <c r="G178" t="inlineStr">
        <is>
          <t>SR 1522</t>
        </is>
      </c>
      <c r="H178">
        <v>3.806</v>
      </c>
      <c r="J178" s="604" t="inlineStr">
        <is>
          <t>NIS</t>
        </is>
      </c>
      <c r="K178">
        <v>106189866</v>
      </c>
      <c r="L178" s="2">
        <v>43911</v>
      </c>
      <c r="M178">
        <v>19</v>
      </c>
      <c r="N178">
        <v>1</v>
      </c>
      <c r="O178">
        <v>0</v>
      </c>
      <c r="P178">
        <v>1</v>
      </c>
      <c r="Q178" t="inlineStr">
        <is>
          <t>B</t>
        </is>
      </c>
    </row>
    <row r="179">
      <c r="A179" t="inlineStr">
        <is>
          <t>RURAL</t>
        </is>
      </c>
      <c r="B179" t="inlineStr">
        <is>
          <t>US 158</t>
        </is>
      </c>
      <c r="C179">
        <v>0.021</v>
      </c>
      <c r="D179" t="inlineStr">
        <is>
          <t>W</t>
        </is>
      </c>
      <c r="E179" t="inlineStr">
        <is>
          <t>SR 1522</t>
        </is>
      </c>
      <c r="F179" t="inlineStr">
        <is>
          <t>US 15</t>
        </is>
      </c>
      <c r="G179" t="inlineStr">
        <is>
          <t>US 158</t>
        </is>
      </c>
      <c r="H179">
        <v>14.034</v>
      </c>
      <c r="J179" s="604" t="inlineStr">
        <is>
          <t>NIS</t>
        </is>
      </c>
      <c r="K179">
        <v>106194763</v>
      </c>
      <c r="L179" s="2">
        <v>43917</v>
      </c>
      <c r="M179">
        <v>5</v>
      </c>
      <c r="N179">
        <v>1</v>
      </c>
      <c r="O179">
        <v>7</v>
      </c>
      <c r="P179">
        <v>5</v>
      </c>
      <c r="Q179" t="inlineStr">
        <is>
          <t>O</t>
        </is>
      </c>
    </row>
    <row r="180">
      <c r="A180" t="inlineStr">
        <is>
          <t>CREEDMOOR</t>
        </is>
      </c>
      <c r="B180" t="inlineStr">
        <is>
          <t>MAIN</t>
        </is>
      </c>
      <c r="C180">
        <v>0.021</v>
      </c>
      <c r="D180" t="inlineStr">
        <is>
          <t>N</t>
        </is>
      </c>
      <c r="E180" t="inlineStr">
        <is>
          <t>CHURCH</t>
        </is>
      </c>
      <c r="F180" t="inlineStr">
        <is>
          <t>ROGER</t>
        </is>
      </c>
      <c r="G180" t="inlineStr">
        <is>
          <t>NC 50</t>
        </is>
      </c>
      <c r="H180">
        <v>2.889</v>
      </c>
      <c r="J180" s="604" t="inlineStr">
        <is>
          <t>NIS</t>
        </is>
      </c>
      <c r="K180">
        <v>106205408</v>
      </c>
      <c r="L180" s="2">
        <v>43930</v>
      </c>
      <c r="M180">
        <v>21</v>
      </c>
      <c r="N180">
        <v>2</v>
      </c>
      <c r="O180">
        <v>0</v>
      </c>
      <c r="P180">
        <v>1</v>
      </c>
      <c r="Q180" t="inlineStr">
        <is>
          <t>O</t>
        </is>
      </c>
    </row>
    <row r="181">
      <c r="A181" t="inlineStr">
        <is>
          <t>CREEDMOOR</t>
        </is>
      </c>
      <c r="B181" t="inlineStr">
        <is>
          <t>CHURCH</t>
        </is>
      </c>
      <c r="C181">
        <v>0.0</v>
      </c>
      <c r="E181" t="inlineStr">
        <is>
          <t>MAIN</t>
        </is>
      </c>
      <c r="F181" t="inlineStr">
        <is>
          <t>MAIN</t>
        </is>
      </c>
      <c r="G181" t="inlineStr">
        <is>
          <t>SR 1700</t>
        </is>
      </c>
      <c r="H181">
        <v>6.985</v>
      </c>
      <c r="J181" s="604" t="inlineStr">
        <is>
          <t>NIS</t>
        </is>
      </c>
      <c r="K181">
        <v>106205409</v>
      </c>
      <c r="L181" s="2">
        <v>43937</v>
      </c>
      <c r="M181">
        <v>24</v>
      </c>
      <c r="N181">
        <v>1</v>
      </c>
      <c r="O181">
        <v>0</v>
      </c>
      <c r="P181">
        <v>1</v>
      </c>
      <c r="Q181" t="inlineStr">
        <is>
          <t>O</t>
        </is>
      </c>
    </row>
    <row r="182">
      <c r="A182" t="inlineStr">
        <is>
          <t>CREEDMOOR</t>
        </is>
      </c>
      <c r="B182" t="inlineStr">
        <is>
          <t>SANDERFORD</t>
        </is>
      </c>
      <c r="C182">
        <v>0.005</v>
      </c>
      <c r="D182" t="inlineStr">
        <is>
          <t>E</t>
        </is>
      </c>
      <c r="E182" t="inlineStr">
        <is>
          <t>MAIN</t>
        </is>
      </c>
      <c r="F182" t="inlineStr">
        <is>
          <t>MAIN</t>
        </is>
      </c>
      <c r="H182">
        <v>999.999</v>
      </c>
      <c r="J182" s="604" t="inlineStr">
        <is>
          <t>NIS</t>
        </is>
      </c>
      <c r="K182">
        <v>106206844</v>
      </c>
      <c r="L182" s="2">
        <v>43937</v>
      </c>
      <c r="M182">
        <v>21</v>
      </c>
      <c r="N182">
        <v>1</v>
      </c>
      <c r="O182">
        <v>0</v>
      </c>
      <c r="P182">
        <v>1</v>
      </c>
      <c r="Q182" t="inlineStr">
        <is>
          <t>O</t>
        </is>
      </c>
    </row>
    <row r="183">
      <c r="A183" t="inlineStr">
        <is>
          <t>OXFORD</t>
        </is>
      </c>
      <c r="B183" t="inlineStr">
        <is>
          <t>BELL</t>
        </is>
      </c>
      <c r="C183">
        <v>0.0</v>
      </c>
      <c r="E183" t="inlineStr">
        <is>
          <t>SPRING</t>
        </is>
      </c>
      <c r="F183" t="inlineStr">
        <is>
          <t>HIGH</t>
        </is>
      </c>
      <c r="G183" t="inlineStr">
        <is>
          <t>SPRING</t>
        </is>
      </c>
      <c r="H183">
        <v>0.47</v>
      </c>
      <c r="J183" s="604" t="inlineStr">
        <is>
          <t>NIS</t>
        </is>
      </c>
      <c r="K183">
        <v>106209839</v>
      </c>
      <c r="L183" s="2">
        <v>43942</v>
      </c>
      <c r="M183">
        <v>21</v>
      </c>
      <c r="N183">
        <v>1</v>
      </c>
      <c r="O183">
        <v>0</v>
      </c>
      <c r="P183">
        <v>1</v>
      </c>
      <c r="Q183" t="inlineStr">
        <is>
          <t>C</t>
        </is>
      </c>
    </row>
    <row r="184">
      <c r="A184" t="inlineStr">
        <is>
          <t>RURAL</t>
        </is>
      </c>
      <c r="B184" t="inlineStr">
        <is>
          <t>SR 1522</t>
        </is>
      </c>
      <c r="C184">
        <v>0.3</v>
      </c>
      <c r="D184" t="inlineStr">
        <is>
          <t>NE</t>
        </is>
      </c>
      <c r="E184" t="inlineStr">
        <is>
          <t>SR 1521</t>
        </is>
      </c>
      <c r="F184" t="inlineStr">
        <is>
          <t>SR 1533</t>
        </is>
      </c>
      <c r="G184" t="inlineStr">
        <is>
          <t>SR 1522</t>
        </is>
      </c>
      <c r="H184">
        <v>3.404</v>
      </c>
      <c r="J184" s="604" t="inlineStr">
        <is>
          <t>NIS</t>
        </is>
      </c>
      <c r="K184">
        <v>106224797</v>
      </c>
      <c r="L184" s="2">
        <v>43964</v>
      </c>
      <c r="M184">
        <v>17</v>
      </c>
      <c r="N184">
        <v>1</v>
      </c>
      <c r="O184">
        <v>0</v>
      </c>
      <c r="P184">
        <v>1</v>
      </c>
      <c r="Q184" t="inlineStr">
        <is>
          <t>O</t>
        </is>
      </c>
    </row>
    <row r="185">
      <c r="A185" t="inlineStr">
        <is>
          <t>OXFORD</t>
        </is>
      </c>
      <c r="B185" t="inlineStr">
        <is>
          <t>MARTIN LUTHER KING</t>
        </is>
      </c>
      <c r="C185">
        <v>0.0</v>
      </c>
      <c r="E185" t="inlineStr">
        <is>
          <t>SPRING</t>
        </is>
      </c>
      <c r="F185" t="inlineStr">
        <is>
          <t>HILLSBORO</t>
        </is>
      </c>
      <c r="G185" t="inlineStr">
        <is>
          <t>NC 96</t>
        </is>
      </c>
      <c r="H185">
        <v>17.59</v>
      </c>
      <c r="J185" s="604" t="inlineStr">
        <is>
          <t>NIS</t>
        </is>
      </c>
      <c r="K185">
        <v>106238022</v>
      </c>
      <c r="L185" s="2">
        <v>43980</v>
      </c>
      <c r="M185">
        <v>30</v>
      </c>
      <c r="N185">
        <v>1</v>
      </c>
      <c r="O185">
        <v>7</v>
      </c>
      <c r="P185">
        <v>1</v>
      </c>
      <c r="Q185" t="inlineStr">
        <is>
          <t>C</t>
        </is>
      </c>
    </row>
    <row r="186">
      <c r="A186" t="inlineStr">
        <is>
          <t>CREEDMOOR</t>
        </is>
      </c>
      <c r="B186" t="inlineStr">
        <is>
          <t>MAIN</t>
        </is>
      </c>
      <c r="C186">
        <v>0.095</v>
      </c>
      <c r="D186" t="inlineStr">
        <is>
          <t>N</t>
        </is>
      </c>
      <c r="E186" t="inlineStr">
        <is>
          <t>WILTON</t>
        </is>
      </c>
      <c r="F186" t="inlineStr">
        <is>
          <t>MOSS</t>
        </is>
      </c>
      <c r="G186" t="inlineStr">
        <is>
          <t>SR 1639</t>
        </is>
      </c>
      <c r="H186">
        <v>0.095</v>
      </c>
      <c r="J186" s="604" t="inlineStr">
        <is>
          <t>NIS</t>
        </is>
      </c>
      <c r="K186">
        <v>106258582</v>
      </c>
      <c r="L186" s="2">
        <v>44001</v>
      </c>
      <c r="M186">
        <v>21</v>
      </c>
      <c r="N186">
        <v>1</v>
      </c>
      <c r="O186">
        <v>0</v>
      </c>
      <c r="P186">
        <v>1</v>
      </c>
      <c r="Q186" t="inlineStr">
        <is>
          <t>O</t>
        </is>
      </c>
    </row>
    <row r="187">
      <c r="A187" t="inlineStr">
        <is>
          <t>CREEDMOOR</t>
        </is>
      </c>
      <c r="B187" t="inlineStr">
        <is>
          <t>MAIN</t>
        </is>
      </c>
      <c r="C187">
        <v>0.009</v>
      </c>
      <c r="D187" t="inlineStr">
        <is>
          <t>N</t>
        </is>
      </c>
      <c r="E187" t="inlineStr">
        <is>
          <t>SANDERFORD</t>
        </is>
      </c>
      <c r="F187" t="inlineStr">
        <is>
          <t>LION</t>
        </is>
      </c>
      <c r="G187" t="inlineStr">
        <is>
          <t>NC 50</t>
        </is>
      </c>
      <c r="H187">
        <v>2.975</v>
      </c>
      <c r="J187" s="604" t="inlineStr">
        <is>
          <t>NIS</t>
        </is>
      </c>
      <c r="K187">
        <v>106258584</v>
      </c>
      <c r="L187" s="2">
        <v>44004</v>
      </c>
      <c r="M187">
        <v>28</v>
      </c>
      <c r="N187">
        <v>1</v>
      </c>
      <c r="O187">
        <v>0</v>
      </c>
      <c r="P187">
        <v>1</v>
      </c>
      <c r="Q187" t="inlineStr">
        <is>
          <t>O</t>
        </is>
      </c>
    </row>
    <row r="188">
      <c r="A188" t="inlineStr">
        <is>
          <t>STOVALL</t>
        </is>
      </c>
      <c r="B188" t="inlineStr">
        <is>
          <t>MAIN</t>
        </is>
      </c>
      <c r="C188">
        <v>1.0</v>
      </c>
      <c r="D188" t="inlineStr">
        <is>
          <t>E</t>
        </is>
      </c>
      <c r="E188" t="inlineStr">
        <is>
          <t>US 15</t>
        </is>
      </c>
      <c r="F188" t="inlineStr">
        <is>
          <t>SR 1415</t>
        </is>
      </c>
      <c r="G188" t="inlineStr">
        <is>
          <t>SR 1639</t>
        </is>
      </c>
      <c r="H188">
        <v>0.535</v>
      </c>
      <c r="J188" s="604" t="inlineStr">
        <is>
          <t>NIS</t>
        </is>
      </c>
      <c r="K188">
        <v>106269194</v>
      </c>
      <c r="L188" s="2">
        <v>44015</v>
      </c>
      <c r="M188">
        <v>21</v>
      </c>
      <c r="N188">
        <v>1</v>
      </c>
      <c r="O188">
        <v>5</v>
      </c>
      <c r="P188">
        <v>1</v>
      </c>
      <c r="Q188" t="inlineStr">
        <is>
          <t>O</t>
        </is>
      </c>
    </row>
    <row r="189">
      <c r="A189" t="inlineStr">
        <is>
          <t>RURAL</t>
        </is>
      </c>
      <c r="B189" t="inlineStr">
        <is>
          <t>SR 1522</t>
        </is>
      </c>
      <c r="C189">
        <v>0.0</v>
      </c>
      <c r="E189" t="inlineStr">
        <is>
          <t>US 158</t>
        </is>
      </c>
      <c r="F189" t="inlineStr">
        <is>
          <t>US 15</t>
        </is>
      </c>
      <c r="G189" t="inlineStr">
        <is>
          <t>SR 1522</t>
        </is>
      </c>
      <c r="H189">
        <v>0.882</v>
      </c>
      <c r="J189" s="604" t="inlineStr">
        <is>
          <t>NIS</t>
        </is>
      </c>
      <c r="K189">
        <v>106301368</v>
      </c>
      <c r="L189" s="2">
        <v>44047</v>
      </c>
      <c r="M189">
        <v>30</v>
      </c>
      <c r="N189">
        <v>1</v>
      </c>
      <c r="O189">
        <v>7</v>
      </c>
      <c r="P189">
        <v>1</v>
      </c>
      <c r="Q189" t="inlineStr">
        <is>
          <t>C</t>
        </is>
      </c>
    </row>
    <row r="190">
      <c r="A190" t="inlineStr">
        <is>
          <t>OXFORD</t>
        </is>
      </c>
      <c r="B190" t="inlineStr">
        <is>
          <t>MAIN</t>
        </is>
      </c>
      <c r="C190">
        <v>0.0</v>
      </c>
      <c r="D190" t="inlineStr">
        <is>
          <t>E</t>
        </is>
      </c>
      <c r="E190" t="inlineStr">
        <is>
          <t>FRONT</t>
        </is>
      </c>
      <c r="F190" t="inlineStr">
        <is>
          <t>MAIN</t>
        </is>
      </c>
      <c r="G190" t="inlineStr">
        <is>
          <t>SR 1602</t>
        </is>
      </c>
      <c r="H190">
        <v>1.149</v>
      </c>
      <c r="J190" s="604" t="inlineStr">
        <is>
          <t>NIS</t>
        </is>
      </c>
      <c r="K190">
        <v>106307253</v>
      </c>
      <c r="L190" s="2">
        <v>44053</v>
      </c>
      <c r="M190">
        <v>1</v>
      </c>
      <c r="N190">
        <v>1</v>
      </c>
      <c r="O190">
        <v>0</v>
      </c>
      <c r="P190">
        <v>1</v>
      </c>
      <c r="Q190" t="inlineStr">
        <is>
          <t>O</t>
        </is>
      </c>
    </row>
    <row r="191">
      <c r="A191" t="inlineStr">
        <is>
          <t>CREEDMOOR</t>
        </is>
      </c>
      <c r="B191" t="inlineStr">
        <is>
          <t>MAIN</t>
        </is>
      </c>
      <c r="C191">
        <v>0.0</v>
      </c>
      <c r="E191" t="inlineStr">
        <is>
          <t>ROGER</t>
        </is>
      </c>
      <c r="F191" t="inlineStr">
        <is>
          <t>CHURCH</t>
        </is>
      </c>
      <c r="G191" t="inlineStr">
        <is>
          <t>NC 50</t>
        </is>
      </c>
      <c r="H191">
        <v>2.739</v>
      </c>
      <c r="J191" s="604" t="inlineStr">
        <is>
          <t>NIS</t>
        </is>
      </c>
      <c r="K191">
        <v>106312212</v>
      </c>
      <c r="L191" s="2">
        <v>44056</v>
      </c>
      <c r="M191">
        <v>25</v>
      </c>
      <c r="N191">
        <v>1</v>
      </c>
      <c r="O191">
        <v>0</v>
      </c>
      <c r="P191">
        <v>1</v>
      </c>
      <c r="Q191" t="inlineStr">
        <is>
          <t>O</t>
        </is>
      </c>
    </row>
    <row r="192">
      <c r="A192" t="inlineStr">
        <is>
          <t>RURAL</t>
        </is>
      </c>
      <c r="B192" t="inlineStr">
        <is>
          <t>SR 1522</t>
        </is>
      </c>
      <c r="C192">
        <v>0.8</v>
      </c>
      <c r="D192" t="inlineStr">
        <is>
          <t>E</t>
        </is>
      </c>
      <c r="E192" t="inlineStr">
        <is>
          <t>SR 1515</t>
        </is>
      </c>
      <c r="F192" t="inlineStr">
        <is>
          <t>SR 1523</t>
        </is>
      </c>
      <c r="G192" t="inlineStr">
        <is>
          <t>SR 1522</t>
        </is>
      </c>
      <c r="H192">
        <v>2.008</v>
      </c>
      <c r="J192" s="604" t="inlineStr">
        <is>
          <t>NIS</t>
        </is>
      </c>
      <c r="K192">
        <v>106313586</v>
      </c>
      <c r="L192" s="2">
        <v>44058</v>
      </c>
      <c r="M192">
        <v>19</v>
      </c>
      <c r="N192">
        <v>2</v>
      </c>
      <c r="O192">
        <v>0</v>
      </c>
      <c r="P192">
        <v>5</v>
      </c>
      <c r="Q192" t="inlineStr">
        <is>
          <t>B</t>
        </is>
      </c>
    </row>
    <row r="193">
      <c r="A193" t="inlineStr">
        <is>
          <t>RURAL</t>
        </is>
      </c>
      <c r="B193" t="inlineStr">
        <is>
          <t>SR 1195</t>
        </is>
      </c>
      <c r="C193">
        <v>0.0</v>
      </c>
      <c r="E193" t="inlineStr">
        <is>
          <t>SR 1522</t>
        </is>
      </c>
      <c r="F193" t="inlineStr">
        <is>
          <t>US 15</t>
        </is>
      </c>
      <c r="G193" t="inlineStr">
        <is>
          <t>SR 1195</t>
        </is>
      </c>
      <c r="H193">
        <v>999.999</v>
      </c>
      <c r="J193" s="604" t="inlineStr">
        <is>
          <t>NIS</t>
        </is>
      </c>
      <c r="K193">
        <v>106311206</v>
      </c>
      <c r="L193" s="2">
        <v>44061</v>
      </c>
      <c r="M193">
        <v>30</v>
      </c>
      <c r="N193">
        <v>1</v>
      </c>
      <c r="O193">
        <v>7</v>
      </c>
      <c r="P193">
        <v>1</v>
      </c>
      <c r="Q193" t="inlineStr">
        <is>
          <t>O</t>
        </is>
      </c>
    </row>
    <row r="194">
      <c r="A194" t="inlineStr">
        <is>
          <t>RURAL</t>
        </is>
      </c>
      <c r="B194" t="inlineStr">
        <is>
          <t>SR 1195</t>
        </is>
      </c>
      <c r="C194">
        <v>0.0</v>
      </c>
      <c r="E194" t="inlineStr">
        <is>
          <t>SR 1522</t>
        </is>
      </c>
      <c r="F194" t="inlineStr">
        <is>
          <t>US 15</t>
        </is>
      </c>
      <c r="G194" t="inlineStr">
        <is>
          <t>SR 1195</t>
        </is>
      </c>
      <c r="H194">
        <v>999.999</v>
      </c>
      <c r="J194" s="604" t="inlineStr">
        <is>
          <t>NIS</t>
        </is>
      </c>
      <c r="K194">
        <v>106320590</v>
      </c>
      <c r="L194" s="2">
        <v>44068</v>
      </c>
      <c r="M194">
        <v>23</v>
      </c>
      <c r="N194">
        <v>1</v>
      </c>
      <c r="O194">
        <v>7</v>
      </c>
      <c r="P194">
        <v>1</v>
      </c>
      <c r="Q194" t="inlineStr">
        <is>
          <t>O</t>
        </is>
      </c>
    </row>
    <row r="195">
      <c r="A195" t="inlineStr">
        <is>
          <t>CREEDMOOR</t>
        </is>
      </c>
      <c r="B195" t="inlineStr">
        <is>
          <t>MAIN</t>
        </is>
      </c>
      <c r="C195">
        <v>0.018</v>
      </c>
      <c r="D195" t="inlineStr">
        <is>
          <t>N</t>
        </is>
      </c>
      <c r="E195" t="inlineStr">
        <is>
          <t>MILL</t>
        </is>
      </c>
      <c r="F195" t="inlineStr">
        <is>
          <t>FLEMING</t>
        </is>
      </c>
      <c r="G195" t="inlineStr">
        <is>
          <t>NC 50</t>
        </is>
      </c>
      <c r="H195">
        <v>3.034</v>
      </c>
      <c r="J195" s="604" t="inlineStr">
        <is>
          <t>NIS</t>
        </is>
      </c>
      <c r="K195">
        <v>106398136</v>
      </c>
      <c r="L195" s="2">
        <v>44069</v>
      </c>
      <c r="M195">
        <v>0</v>
      </c>
      <c r="N195">
        <v>1</v>
      </c>
      <c r="O195">
        <v>0</v>
      </c>
      <c r="P195">
        <v>1</v>
      </c>
      <c r="Q195" t="inlineStr">
        <is>
          <t>O</t>
        </is>
      </c>
    </row>
    <row r="196">
      <c r="A196" t="inlineStr">
        <is>
          <t>CREEDMOOR</t>
        </is>
      </c>
      <c r="B196" t="inlineStr">
        <is>
          <t>MAIN</t>
        </is>
      </c>
      <c r="C196">
        <v>0.024</v>
      </c>
      <c r="D196" t="inlineStr">
        <is>
          <t>N</t>
        </is>
      </c>
      <c r="E196" t="inlineStr">
        <is>
          <t>MILL</t>
        </is>
      </c>
      <c r="F196" t="inlineStr">
        <is>
          <t>FLEMING</t>
        </is>
      </c>
      <c r="G196" t="inlineStr">
        <is>
          <t>NC 50</t>
        </is>
      </c>
      <c r="H196">
        <v>3.04</v>
      </c>
      <c r="J196" s="604" t="inlineStr">
        <is>
          <t>NIS</t>
        </is>
      </c>
      <c r="K196">
        <v>106398133</v>
      </c>
      <c r="L196" s="2">
        <v>44071</v>
      </c>
      <c r="M196">
        <v>20</v>
      </c>
      <c r="N196">
        <v>1</v>
      </c>
      <c r="O196">
        <v>0</v>
      </c>
      <c r="P196">
        <v>4</v>
      </c>
      <c r="Q196" t="inlineStr">
        <is>
          <t>O</t>
        </is>
      </c>
    </row>
    <row r="197">
      <c r="A197" t="inlineStr">
        <is>
          <t>OXFORD</t>
        </is>
      </c>
      <c r="B197" t="inlineStr">
        <is>
          <t>WILLIAMSBORO</t>
        </is>
      </c>
      <c r="C197">
        <v>0.0</v>
      </c>
      <c r="E197" t="inlineStr">
        <is>
          <t>MAIN</t>
        </is>
      </c>
      <c r="F197" t="inlineStr">
        <is>
          <t>COLLEGE</t>
        </is>
      </c>
      <c r="G197" t="inlineStr">
        <is>
          <t>US 158BUS</t>
        </is>
      </c>
      <c r="H197">
        <v>2.055</v>
      </c>
      <c r="J197" s="604" t="inlineStr">
        <is>
          <t>NIS</t>
        </is>
      </c>
      <c r="K197">
        <v>106342283</v>
      </c>
      <c r="L197" s="2">
        <v>44076</v>
      </c>
      <c r="M197">
        <v>21</v>
      </c>
      <c r="N197">
        <v>1</v>
      </c>
      <c r="O197">
        <v>0</v>
      </c>
      <c r="P197">
        <v>1</v>
      </c>
      <c r="Q197" t="inlineStr">
        <is>
          <t>O</t>
        </is>
      </c>
    </row>
    <row r="198">
      <c r="A198" t="inlineStr">
        <is>
          <t>CREEDMOOR</t>
        </is>
      </c>
      <c r="B198" t="inlineStr">
        <is>
          <t>WILTON</t>
        </is>
      </c>
      <c r="C198">
        <v>0.014</v>
      </c>
      <c r="D198" t="inlineStr">
        <is>
          <t>W</t>
        </is>
      </c>
      <c r="E198" t="inlineStr">
        <is>
          <t>MAIN</t>
        </is>
      </c>
      <c r="F198" t="inlineStr">
        <is>
          <t>DURHAM</t>
        </is>
      </c>
      <c r="G198" t="inlineStr">
        <is>
          <t>NC 50</t>
        </is>
      </c>
      <c r="H198">
        <v>3.299</v>
      </c>
      <c r="J198" s="604" t="inlineStr">
        <is>
          <t>NIS</t>
        </is>
      </c>
      <c r="K198">
        <v>106335625</v>
      </c>
      <c r="L198" s="2">
        <v>44078</v>
      </c>
      <c r="M198">
        <v>21</v>
      </c>
      <c r="N198">
        <v>1</v>
      </c>
      <c r="O198">
        <v>0</v>
      </c>
      <c r="P198">
        <v>1</v>
      </c>
      <c r="Q198" t="inlineStr">
        <is>
          <t>O</t>
        </is>
      </c>
    </row>
    <row r="199">
      <c r="A199" t="inlineStr">
        <is>
          <t>OXFORD</t>
        </is>
      </c>
      <c r="B199" t="inlineStr">
        <is>
          <t>MAIN</t>
        </is>
      </c>
      <c r="C199">
        <v>0.019</v>
      </c>
      <c r="D199" t="inlineStr">
        <is>
          <t>N</t>
        </is>
      </c>
      <c r="E199" t="inlineStr">
        <is>
          <t>SYCAMORE</t>
        </is>
      </c>
      <c r="F199" t="inlineStr">
        <is>
          <t>MAIN</t>
        </is>
      </c>
      <c r="G199" t="inlineStr">
        <is>
          <t>SR 1602</t>
        </is>
      </c>
      <c r="H199">
        <v>1.275</v>
      </c>
      <c r="J199" s="604" t="inlineStr">
        <is>
          <t>NIS</t>
        </is>
      </c>
      <c r="K199">
        <v>106352948</v>
      </c>
      <c r="L199" s="2">
        <v>44096</v>
      </c>
      <c r="M199">
        <v>20</v>
      </c>
      <c r="N199">
        <v>1</v>
      </c>
      <c r="O199">
        <v>0</v>
      </c>
      <c r="P199">
        <v>1</v>
      </c>
      <c r="Q199" t="inlineStr">
        <is>
          <t>O</t>
        </is>
      </c>
    </row>
    <row r="200">
      <c r="A200" t="inlineStr">
        <is>
          <t>OXFORD</t>
        </is>
      </c>
      <c r="B200" t="inlineStr">
        <is>
          <t>MAIN</t>
        </is>
      </c>
      <c r="C200">
        <v>0.006</v>
      </c>
      <c r="D200" t="inlineStr">
        <is>
          <t>S</t>
        </is>
      </c>
      <c r="E200" t="inlineStr">
        <is>
          <t>COURT</t>
        </is>
      </c>
      <c r="F200" t="inlineStr">
        <is>
          <t>COURT</t>
        </is>
      </c>
      <c r="G200" t="inlineStr">
        <is>
          <t>SR 1602</t>
        </is>
      </c>
      <c r="H200">
        <v>1.471</v>
      </c>
      <c r="J200" s="604" t="inlineStr">
        <is>
          <t>NIS</t>
        </is>
      </c>
      <c r="K200">
        <v>106346459</v>
      </c>
      <c r="L200" s="2">
        <v>44097</v>
      </c>
      <c r="M200">
        <v>30</v>
      </c>
      <c r="N200">
        <v>1</v>
      </c>
      <c r="O200">
        <v>0</v>
      </c>
      <c r="P200">
        <v>1</v>
      </c>
    </row>
    <row r="201">
      <c r="A201" t="inlineStr">
        <is>
          <t>RURAL</t>
        </is>
      </c>
      <c r="B201" t="inlineStr">
        <is>
          <t>SR 1195</t>
        </is>
      </c>
      <c r="C201">
        <v>0.0</v>
      </c>
      <c r="E201" t="inlineStr">
        <is>
          <t>SR 1522</t>
        </is>
      </c>
      <c r="F201" t="inlineStr">
        <is>
          <t>US 15</t>
        </is>
      </c>
      <c r="G201" t="inlineStr">
        <is>
          <t>SR 1195</t>
        </is>
      </c>
      <c r="H201">
        <v>999.999</v>
      </c>
      <c r="J201" s="604" t="inlineStr">
        <is>
          <t>NIS</t>
        </is>
      </c>
      <c r="K201">
        <v>106369050</v>
      </c>
      <c r="L201" s="2">
        <v>44118</v>
      </c>
      <c r="M201">
        <v>30</v>
      </c>
      <c r="N201">
        <v>1</v>
      </c>
      <c r="O201">
        <v>7</v>
      </c>
      <c r="P201">
        <v>1</v>
      </c>
      <c r="Q201" t="inlineStr">
        <is>
          <t>O</t>
        </is>
      </c>
    </row>
    <row r="202">
      <c r="A202" t="inlineStr">
        <is>
          <t>CREEDMOOR</t>
        </is>
      </c>
      <c r="B202" t="inlineStr">
        <is>
          <t>PVA CITY TAVERN PVA</t>
        </is>
      </c>
      <c r="C202">
        <v>0.028</v>
      </c>
      <c r="D202" t="inlineStr">
        <is>
          <t>E</t>
        </is>
      </c>
      <c r="E202" t="inlineStr">
        <is>
          <t>MAIN</t>
        </is>
      </c>
      <c r="F202" t="inlineStr">
        <is>
          <t>MILL</t>
        </is>
      </c>
      <c r="H202">
        <v>999.999</v>
      </c>
      <c r="J202" s="604" t="inlineStr">
        <is>
          <t>NIS</t>
        </is>
      </c>
      <c r="K202">
        <v>106415098</v>
      </c>
      <c r="L202" s="2">
        <v>44158</v>
      </c>
      <c r="M202">
        <v>21</v>
      </c>
      <c r="N202">
        <v>1</v>
      </c>
      <c r="O202">
        <v>0</v>
      </c>
      <c r="P202">
        <v>1</v>
      </c>
      <c r="Q202" t="inlineStr">
        <is>
          <t>O</t>
        </is>
      </c>
    </row>
    <row r="203">
      <c r="A203" t="inlineStr">
        <is>
          <t>CREEDMOOR</t>
        </is>
      </c>
      <c r="B203" t="inlineStr">
        <is>
          <t>MAIN</t>
        </is>
      </c>
      <c r="C203">
        <v>0.0</v>
      </c>
      <c r="E203" t="inlineStr">
        <is>
          <t>*LCL 205 N MAIN ST</t>
        </is>
      </c>
      <c r="F203" t="inlineStr">
        <is>
          <t>SANDERFORD</t>
        </is>
      </c>
      <c r="H203">
        <v>999.999</v>
      </c>
      <c r="J203" s="604" t="inlineStr">
        <is>
          <t>NIS</t>
        </is>
      </c>
      <c r="K203">
        <v>106415662</v>
      </c>
      <c r="L203" s="2">
        <v>44159</v>
      </c>
      <c r="M203">
        <v>28</v>
      </c>
      <c r="N203">
        <v>1</v>
      </c>
      <c r="O203">
        <v>0</v>
      </c>
      <c r="P203">
        <v>1</v>
      </c>
      <c r="Q203" t="inlineStr">
        <is>
          <t>O</t>
        </is>
      </c>
    </row>
    <row r="204">
      <c r="A204" t="inlineStr">
        <is>
          <t>RURAL</t>
        </is>
      </c>
      <c r="B204" t="inlineStr">
        <is>
          <t>SR 1522</t>
        </is>
      </c>
      <c r="C204">
        <v>0.3</v>
      </c>
      <c r="D204" t="inlineStr">
        <is>
          <t>S</t>
        </is>
      </c>
      <c r="E204" t="inlineStr">
        <is>
          <t>US 158</t>
        </is>
      </c>
      <c r="F204" t="inlineStr">
        <is>
          <t>US 158BUS</t>
        </is>
      </c>
      <c r="G204" t="inlineStr">
        <is>
          <t>SR 1522</t>
        </is>
      </c>
      <c r="H204">
        <v>0.582</v>
      </c>
      <c r="J204" s="604" t="inlineStr">
        <is>
          <t>NIS</t>
        </is>
      </c>
      <c r="K204">
        <v>106418480</v>
      </c>
      <c r="L204" s="2">
        <v>44161</v>
      </c>
      <c r="M204">
        <v>17</v>
      </c>
      <c r="N204">
        <v>2</v>
      </c>
      <c r="O204">
        <v>0</v>
      </c>
      <c r="P204">
        <v>5</v>
      </c>
      <c r="Q204" t="inlineStr">
        <is>
          <t>O</t>
        </is>
      </c>
    </row>
    <row r="205">
      <c r="A205" t="inlineStr">
        <is>
          <t>CREEDMOOR</t>
        </is>
      </c>
      <c r="B205" t="inlineStr">
        <is>
          <t>MAIN</t>
        </is>
      </c>
      <c r="C205">
        <v>0.0</v>
      </c>
      <c r="E205" t="inlineStr">
        <is>
          <t>US 15</t>
        </is>
      </c>
      <c r="F205" t="inlineStr">
        <is>
          <t>OAK</t>
        </is>
      </c>
      <c r="G205" t="inlineStr">
        <is>
          <t>SR 1639</t>
        </is>
      </c>
      <c r="H205">
        <v>0.535</v>
      </c>
      <c r="J205" s="604" t="inlineStr">
        <is>
          <t>NIS</t>
        </is>
      </c>
      <c r="K205">
        <v>106427602</v>
      </c>
      <c r="L205" s="2">
        <v>44169</v>
      </c>
      <c r="M205">
        <v>21</v>
      </c>
      <c r="N205">
        <v>1</v>
      </c>
      <c r="O205">
        <v>8</v>
      </c>
      <c r="P205">
        <v>1</v>
      </c>
      <c r="Q205" t="inlineStr">
        <is>
          <t>O</t>
        </is>
      </c>
    </row>
    <row r="206">
      <c r="A206" t="inlineStr">
        <is>
          <t>RURAL</t>
        </is>
      </c>
      <c r="B206" t="inlineStr">
        <is>
          <t>US 158</t>
        </is>
      </c>
      <c r="C206">
        <v>0.0</v>
      </c>
      <c r="E206" t="inlineStr">
        <is>
          <t>SR 1522</t>
        </is>
      </c>
      <c r="F206" t="inlineStr">
        <is>
          <t>US 15</t>
        </is>
      </c>
      <c r="G206" t="inlineStr">
        <is>
          <t>US 158</t>
        </is>
      </c>
      <c r="H206">
        <v>14.055</v>
      </c>
      <c r="J206" s="604" t="inlineStr">
        <is>
          <t>NIS</t>
        </is>
      </c>
      <c r="K206">
        <v>106435224</v>
      </c>
      <c r="L206" s="2">
        <v>44176</v>
      </c>
      <c r="M206">
        <v>19</v>
      </c>
      <c r="N206">
        <v>1</v>
      </c>
      <c r="O206">
        <v>7</v>
      </c>
      <c r="P206">
        <v>1</v>
      </c>
      <c r="Q206" t="inlineStr">
        <is>
          <t>O</t>
        </is>
      </c>
    </row>
    <row r="207">
      <c r="A207" t="inlineStr">
        <is>
          <t>OXFORD</t>
        </is>
      </c>
      <c r="B207" t="inlineStr">
        <is>
          <t>WILLIAMSBORO</t>
        </is>
      </c>
      <c r="C207">
        <v>0.004</v>
      </c>
      <c r="D207" t="inlineStr">
        <is>
          <t>W</t>
        </is>
      </c>
      <c r="E207" t="inlineStr">
        <is>
          <t>MAIN</t>
        </is>
      </c>
      <c r="F207" t="inlineStr">
        <is>
          <t>WILLIAMSBORO</t>
        </is>
      </c>
      <c r="G207" t="inlineStr">
        <is>
          <t>US 158BUS</t>
        </is>
      </c>
      <c r="H207">
        <v>2.051</v>
      </c>
      <c r="J207" s="604" t="inlineStr">
        <is>
          <t>NIS</t>
        </is>
      </c>
      <c r="K207">
        <v>106463140</v>
      </c>
      <c r="L207" s="2">
        <v>44201</v>
      </c>
      <c r="M207">
        <v>31</v>
      </c>
      <c r="N207">
        <v>1</v>
      </c>
      <c r="O207">
        <v>0</v>
      </c>
      <c r="P207">
        <v>1</v>
      </c>
      <c r="Q207" t="inlineStr">
        <is>
          <t>O</t>
        </is>
      </c>
    </row>
    <row r="208">
      <c r="A208" t="inlineStr">
        <is>
          <t>OXFORD</t>
        </is>
      </c>
      <c r="B208" t="inlineStr">
        <is>
          <t>MARTIN LUTHER KING</t>
        </is>
      </c>
      <c r="C208">
        <v>0.0</v>
      </c>
      <c r="E208" t="inlineStr">
        <is>
          <t>SPRING</t>
        </is>
      </c>
      <c r="F208" t="inlineStr">
        <is>
          <t>SPRING</t>
        </is>
      </c>
      <c r="G208" t="inlineStr">
        <is>
          <t>NC 96</t>
        </is>
      </c>
      <c r="H208">
        <v>17.59</v>
      </c>
      <c r="J208" s="604" t="inlineStr">
        <is>
          <t>NIS</t>
        </is>
      </c>
      <c r="K208">
        <v>106464535</v>
      </c>
      <c r="L208" s="2">
        <v>44203</v>
      </c>
      <c r="M208">
        <v>30</v>
      </c>
      <c r="N208">
        <v>1</v>
      </c>
      <c r="O208">
        <v>0</v>
      </c>
      <c r="P208">
        <v>1</v>
      </c>
      <c r="Q208" t="inlineStr">
        <is>
          <t>B</t>
        </is>
      </c>
    </row>
    <row r="209">
      <c r="A209" t="inlineStr">
        <is>
          <t>OXFORD</t>
        </is>
      </c>
      <c r="B209" t="inlineStr">
        <is>
          <t>LEWIS</t>
        </is>
      </c>
      <c r="C209">
        <v>0.0</v>
      </c>
      <c r="E209" t="inlineStr">
        <is>
          <t>SPRING</t>
        </is>
      </c>
      <c r="F209" t="inlineStr">
        <is>
          <t>HILLSBORO</t>
        </is>
      </c>
      <c r="G209" t="inlineStr">
        <is>
          <t>US 15</t>
        </is>
      </c>
      <c r="H209">
        <v>20.498</v>
      </c>
      <c r="J209" s="604" t="inlineStr">
        <is>
          <t>NIS</t>
        </is>
      </c>
      <c r="K209">
        <v>106464531</v>
      </c>
      <c r="L209" s="2">
        <v>44206</v>
      </c>
      <c r="M209">
        <v>30</v>
      </c>
      <c r="N209">
        <v>1</v>
      </c>
      <c r="O209">
        <v>0</v>
      </c>
      <c r="P209">
        <v>1</v>
      </c>
      <c r="Q209" t="inlineStr">
        <is>
          <t>C</t>
        </is>
      </c>
    </row>
    <row r="210">
      <c r="A210" t="inlineStr">
        <is>
          <t>OXFORD</t>
        </is>
      </c>
      <c r="B210" t="inlineStr">
        <is>
          <t>US 158</t>
        </is>
      </c>
      <c r="C210">
        <v>0.0</v>
      </c>
      <c r="E210" t="inlineStr">
        <is>
          <t>SR 1522</t>
        </is>
      </c>
      <c r="F210" t="inlineStr">
        <is>
          <t>US 15</t>
        </is>
      </c>
      <c r="G210" t="inlineStr">
        <is>
          <t>US 158</t>
        </is>
      </c>
      <c r="H210">
        <v>14.055</v>
      </c>
      <c r="J210" s="604" t="inlineStr">
        <is>
          <t>NIS</t>
        </is>
      </c>
      <c r="K210">
        <v>106471444</v>
      </c>
      <c r="L210" s="2">
        <v>44219</v>
      </c>
      <c r="M210">
        <v>30</v>
      </c>
      <c r="N210">
        <v>1</v>
      </c>
      <c r="O210">
        <v>7</v>
      </c>
      <c r="P210">
        <v>5</v>
      </c>
      <c r="Q210" t="inlineStr">
        <is>
          <t>O</t>
        </is>
      </c>
    </row>
    <row r="211">
      <c r="A211" t="inlineStr">
        <is>
          <t>RURAL</t>
        </is>
      </c>
      <c r="B211" t="inlineStr">
        <is>
          <t>US 158</t>
        </is>
      </c>
      <c r="C211">
        <v>0.0</v>
      </c>
      <c r="E211" t="inlineStr">
        <is>
          <t>SR 1522</t>
        </is>
      </c>
      <c r="F211" t="inlineStr">
        <is>
          <t>US 15</t>
        </is>
      </c>
      <c r="G211" t="inlineStr">
        <is>
          <t>US 158</t>
        </is>
      </c>
      <c r="H211">
        <v>14.055</v>
      </c>
      <c r="J211" s="604" t="inlineStr">
        <is>
          <t>NIS</t>
        </is>
      </c>
      <c r="K211">
        <v>106482608</v>
      </c>
      <c r="L211" s="2">
        <v>44230</v>
      </c>
      <c r="M211">
        <v>30</v>
      </c>
      <c r="N211">
        <v>1</v>
      </c>
      <c r="O211">
        <v>7</v>
      </c>
      <c r="P211">
        <v>1</v>
      </c>
      <c r="Q211" t="inlineStr">
        <is>
          <t>O</t>
        </is>
      </c>
    </row>
    <row r="212">
      <c r="A212" t="inlineStr">
        <is>
          <t>OXFORD</t>
        </is>
      </c>
      <c r="B212" t="inlineStr">
        <is>
          <t>OXFORD</t>
        </is>
      </c>
      <c r="C212">
        <v>0.0</v>
      </c>
      <c r="E212" t="inlineStr">
        <is>
          <t>SALEM</t>
        </is>
      </c>
      <c r="F212" t="inlineStr">
        <is>
          <t>COLLEGE</t>
        </is>
      </c>
      <c r="G212" t="inlineStr">
        <is>
          <t>US 158</t>
        </is>
      </c>
      <c r="H212">
        <v>14.055</v>
      </c>
      <c r="J212" s="604" t="inlineStr">
        <is>
          <t>NIS</t>
        </is>
      </c>
      <c r="K212">
        <v>106500195</v>
      </c>
      <c r="L212" s="2">
        <v>44254</v>
      </c>
      <c r="M212">
        <v>1</v>
      </c>
      <c r="N212">
        <v>2</v>
      </c>
      <c r="O212">
        <v>0</v>
      </c>
      <c r="P212">
        <v>5</v>
      </c>
      <c r="Q212" t="inlineStr">
        <is>
          <t>O</t>
        </is>
      </c>
    </row>
    <row r="213">
      <c r="A213" t="inlineStr">
        <is>
          <t>RURAL</t>
        </is>
      </c>
      <c r="B213" t="inlineStr">
        <is>
          <t>US 158</t>
        </is>
      </c>
      <c r="C213">
        <v>0.0</v>
      </c>
      <c r="E213" t="inlineStr">
        <is>
          <t>SR 1522</t>
        </is>
      </c>
      <c r="F213" t="inlineStr">
        <is>
          <t>US 15</t>
        </is>
      </c>
      <c r="G213" t="inlineStr">
        <is>
          <t>US 158</t>
        </is>
      </c>
      <c r="H213">
        <v>14.055</v>
      </c>
      <c r="J213" s="604" t="inlineStr">
        <is>
          <t>NIS</t>
        </is>
      </c>
      <c r="K213">
        <v>106508286</v>
      </c>
      <c r="L213" s="2">
        <v>44260</v>
      </c>
      <c r="M213">
        <v>30</v>
      </c>
      <c r="N213">
        <v>1</v>
      </c>
      <c r="O213">
        <v>7</v>
      </c>
      <c r="P213">
        <v>5</v>
      </c>
      <c r="Q213" t="inlineStr">
        <is>
          <t>B</t>
        </is>
      </c>
    </row>
    <row r="214">
      <c r="A214" t="inlineStr">
        <is>
          <t>OXFORD</t>
        </is>
      </c>
      <c r="B214" t="inlineStr">
        <is>
          <t>WILLIAMSBORO</t>
        </is>
      </c>
      <c r="C214">
        <v>0.0</v>
      </c>
      <c r="E214" t="inlineStr">
        <is>
          <t>SPRING</t>
        </is>
      </c>
      <c r="F214" t="inlineStr">
        <is>
          <t>DOGWOOD</t>
        </is>
      </c>
      <c r="G214" t="inlineStr">
        <is>
          <t>US 158BUS</t>
        </is>
      </c>
      <c r="H214">
        <v>2.685</v>
      </c>
      <c r="J214" s="604" t="inlineStr">
        <is>
          <t>NIS</t>
        </is>
      </c>
      <c r="K214">
        <v>106510965</v>
      </c>
      <c r="L214" s="2">
        <v>44265</v>
      </c>
      <c r="M214">
        <v>23</v>
      </c>
      <c r="N214">
        <v>1</v>
      </c>
      <c r="O214">
        <v>0</v>
      </c>
      <c r="P214">
        <v>1</v>
      </c>
      <c r="Q214" t="inlineStr">
        <is>
          <t>C</t>
        </is>
      </c>
    </row>
    <row r="215">
      <c r="A215" t="inlineStr">
        <is>
          <t>RURAL</t>
        </is>
      </c>
      <c r="B215" t="inlineStr">
        <is>
          <t>SR 1522</t>
        </is>
      </c>
      <c r="C215">
        <v>0.1</v>
      </c>
      <c r="D215" t="inlineStr">
        <is>
          <t>W</t>
        </is>
      </c>
      <c r="E215" t="inlineStr">
        <is>
          <t>SR 1521</t>
        </is>
      </c>
      <c r="F215" t="inlineStr">
        <is>
          <t>SR 1533</t>
        </is>
      </c>
      <c r="G215" t="inlineStr">
        <is>
          <t>SR 1522</t>
        </is>
      </c>
      <c r="H215">
        <v>3.004</v>
      </c>
      <c r="J215" s="604" t="inlineStr">
        <is>
          <t>NIS</t>
        </is>
      </c>
      <c r="K215">
        <v>106533831</v>
      </c>
      <c r="L215" s="2">
        <v>44283</v>
      </c>
      <c r="M215">
        <v>19</v>
      </c>
      <c r="N215">
        <v>1</v>
      </c>
      <c r="O215">
        <v>0</v>
      </c>
      <c r="P215">
        <v>5</v>
      </c>
      <c r="Q215" t="inlineStr">
        <is>
          <t>O</t>
        </is>
      </c>
    </row>
    <row r="216">
      <c r="A216" t="inlineStr">
        <is>
          <t>RURAL</t>
        </is>
      </c>
      <c r="B216" t="inlineStr">
        <is>
          <t>SR 1522</t>
        </is>
      </c>
      <c r="C216">
        <v>0.004</v>
      </c>
      <c r="D216" t="inlineStr">
        <is>
          <t>N</t>
        </is>
      </c>
      <c r="E216" t="inlineStr">
        <is>
          <t>US 158</t>
        </is>
      </c>
      <c r="F216" t="inlineStr">
        <is>
          <t>SR 1515</t>
        </is>
      </c>
      <c r="G216" t="inlineStr">
        <is>
          <t>SR 1522</t>
        </is>
      </c>
      <c r="H216">
        <v>0.886</v>
      </c>
      <c r="J216" s="604" t="inlineStr">
        <is>
          <t>NIS</t>
        </is>
      </c>
      <c r="K216">
        <v>106540370</v>
      </c>
      <c r="L216" s="2">
        <v>44295</v>
      </c>
      <c r="M216">
        <v>21</v>
      </c>
      <c r="N216">
        <v>1</v>
      </c>
      <c r="O216">
        <v>0</v>
      </c>
      <c r="P216">
        <v>1</v>
      </c>
      <c r="Q216" t="inlineStr">
        <is>
          <t>O</t>
        </is>
      </c>
    </row>
    <row r="217">
      <c r="A217" t="inlineStr">
        <is>
          <t>OXFORD</t>
        </is>
      </c>
      <c r="B217" t="inlineStr">
        <is>
          <t>ORANGE</t>
        </is>
      </c>
      <c r="C217">
        <v>0.0</v>
      </c>
      <c r="E217" t="inlineStr">
        <is>
          <t>SPRING</t>
        </is>
      </c>
      <c r="F217" t="inlineStr">
        <is>
          <t>HILLSBORO</t>
        </is>
      </c>
      <c r="G217" t="inlineStr">
        <is>
          <t>SPRING</t>
        </is>
      </c>
      <c r="H217">
        <v>999.999</v>
      </c>
      <c r="J217" s="604" t="inlineStr">
        <is>
          <t>NIS</t>
        </is>
      </c>
      <c r="K217">
        <v>106579086</v>
      </c>
      <c r="L217" s="2">
        <v>44318</v>
      </c>
      <c r="M217">
        <v>30</v>
      </c>
      <c r="N217">
        <v>1</v>
      </c>
      <c r="O217">
        <v>0</v>
      </c>
      <c r="P217">
        <v>1</v>
      </c>
      <c r="Q217" t="inlineStr">
        <is>
          <t>O</t>
        </is>
      </c>
    </row>
    <row r="218">
      <c r="A218" t="inlineStr">
        <is>
          <t>OXFORD</t>
        </is>
      </c>
      <c r="B218" t="inlineStr">
        <is>
          <t>WALL</t>
        </is>
      </c>
      <c r="C218">
        <v>0.0</v>
      </c>
      <c r="E218" t="inlineStr">
        <is>
          <t>SPRING</t>
        </is>
      </c>
      <c r="F218" t="inlineStr">
        <is>
          <t>HILLSBORO</t>
        </is>
      </c>
      <c r="G218" t="inlineStr">
        <is>
          <t>SPRING</t>
        </is>
      </c>
      <c r="H218">
        <v>0.22</v>
      </c>
      <c r="J218" s="604" t="inlineStr">
        <is>
          <t>NIS</t>
        </is>
      </c>
      <c r="K218">
        <v>106577549</v>
      </c>
      <c r="L218" s="2">
        <v>44327</v>
      </c>
      <c r="M218">
        <v>30</v>
      </c>
      <c r="N218">
        <v>1</v>
      </c>
      <c r="O218">
        <v>0</v>
      </c>
      <c r="P218">
        <v>1</v>
      </c>
      <c r="Q218" t="inlineStr">
        <is>
          <t>O</t>
        </is>
      </c>
      <c r="R218">
        <v>36.309759</v>
      </c>
      <c r="S218">
        <v>-78.588781</v>
      </c>
      <c r="T218" t="inlineStr">
        <is>
          <t>ITRE_CMV</t>
        </is>
      </c>
      <c r="V218">
        <v>0.08299121832006201</v>
      </c>
    </row>
    <row r="219">
      <c r="A219" t="inlineStr">
        <is>
          <t>RURAL</t>
        </is>
      </c>
      <c r="B219" t="inlineStr">
        <is>
          <t>US 158</t>
        </is>
      </c>
      <c r="C219">
        <v>0.0</v>
      </c>
      <c r="E219" t="inlineStr">
        <is>
          <t>SR 1602</t>
        </is>
      </c>
      <c r="F219" t="inlineStr">
        <is>
          <t>MALULI</t>
        </is>
      </c>
      <c r="G219" t="inlineStr">
        <is>
          <t>US 158</t>
        </is>
      </c>
      <c r="H219">
        <v>999.999</v>
      </c>
      <c r="J219" s="604" t="inlineStr">
        <is>
          <t>NIS</t>
        </is>
      </c>
      <c r="K219">
        <v>106619014</v>
      </c>
      <c r="L219" s="2">
        <v>44363</v>
      </c>
      <c r="M219">
        <v>30</v>
      </c>
      <c r="N219">
        <v>1</v>
      </c>
      <c r="O219">
        <v>7</v>
      </c>
      <c r="P219">
        <v>4</v>
      </c>
      <c r="Q219" t="inlineStr">
        <is>
          <t>O</t>
        </is>
      </c>
    </row>
    <row r="220">
      <c r="A220" t="inlineStr">
        <is>
          <t>RURAL</t>
        </is>
      </c>
      <c r="B220" t="inlineStr">
        <is>
          <t>SR 1522</t>
        </is>
      </c>
      <c r="C220">
        <v>0.2</v>
      </c>
      <c r="D220" t="inlineStr">
        <is>
          <t>N</t>
        </is>
      </c>
      <c r="E220" t="inlineStr">
        <is>
          <t>US 158</t>
        </is>
      </c>
      <c r="F220" t="inlineStr">
        <is>
          <t>SR 1515</t>
        </is>
      </c>
      <c r="G220" t="inlineStr">
        <is>
          <t>SR 1522</t>
        </is>
      </c>
      <c r="H220">
        <v>1.082</v>
      </c>
      <c r="J220" s="604" t="inlineStr">
        <is>
          <t>NIS</t>
        </is>
      </c>
      <c r="K220">
        <v>106636747</v>
      </c>
      <c r="L220" s="2">
        <v>44392</v>
      </c>
      <c r="M220">
        <v>28</v>
      </c>
      <c r="N220">
        <v>1</v>
      </c>
      <c r="O220">
        <v>0</v>
      </c>
      <c r="P220">
        <v>1</v>
      </c>
      <c r="Q220" t="inlineStr">
        <is>
          <t>O</t>
        </is>
      </c>
    </row>
    <row r="221">
      <c r="A221" t="inlineStr">
        <is>
          <t>OXFORD</t>
        </is>
      </c>
      <c r="B221" t="inlineStr">
        <is>
          <t>RALEIGH</t>
        </is>
      </c>
      <c r="C221">
        <v>0.0</v>
      </c>
      <c r="D221" t="inlineStr">
        <is>
          <t>S</t>
        </is>
      </c>
      <c r="E221" t="inlineStr">
        <is>
          <t>SPRING</t>
        </is>
      </c>
      <c r="F221" t="inlineStr">
        <is>
          <t>OXFORD</t>
        </is>
      </c>
      <c r="G221" t="inlineStr">
        <is>
          <t>RALEIGH</t>
        </is>
      </c>
      <c r="H221">
        <v>999.999</v>
      </c>
      <c r="J221" s="604" t="inlineStr">
        <is>
          <t>NIS</t>
        </is>
      </c>
      <c r="K221">
        <v>106680830</v>
      </c>
      <c r="L221" s="2">
        <v>44435</v>
      </c>
      <c r="M221">
        <v>3</v>
      </c>
      <c r="N221">
        <v>1</v>
      </c>
      <c r="O221">
        <v>0</v>
      </c>
      <c r="P221">
        <v>1</v>
      </c>
      <c r="Q221" t="inlineStr">
        <is>
          <t>O</t>
        </is>
      </c>
    </row>
    <row r="222">
      <c r="A222" t="inlineStr">
        <is>
          <t>OXFORD</t>
        </is>
      </c>
      <c r="B222" t="inlineStr">
        <is>
          <t>PVA SUNTRUST PVA</t>
        </is>
      </c>
      <c r="C222">
        <v>0.004</v>
      </c>
      <c r="D222" t="inlineStr">
        <is>
          <t>E</t>
        </is>
      </c>
      <c r="E222" t="inlineStr">
        <is>
          <t>MAIN</t>
        </is>
      </c>
      <c r="F222" t="inlineStr">
        <is>
          <t>MAIN</t>
        </is>
      </c>
      <c r="H222">
        <v>999.999</v>
      </c>
      <c r="J222" s="604" t="inlineStr">
        <is>
          <t>NIS</t>
        </is>
      </c>
      <c r="K222">
        <v>106711659</v>
      </c>
      <c r="L222" s="2">
        <v>44450</v>
      </c>
      <c r="M222">
        <v>31</v>
      </c>
      <c r="N222">
        <v>1</v>
      </c>
      <c r="O222">
        <v>0</v>
      </c>
      <c r="P222">
        <v>1</v>
      </c>
      <c r="Q222" t="inlineStr">
        <is>
          <t>O</t>
        </is>
      </c>
    </row>
    <row r="223">
      <c r="A223" t="inlineStr">
        <is>
          <t>RURAL</t>
        </is>
      </c>
      <c r="B223" t="inlineStr">
        <is>
          <t>SR 1522</t>
        </is>
      </c>
      <c r="C223">
        <v>0.0</v>
      </c>
      <c r="E223" t="inlineStr">
        <is>
          <t>PVA OXFORD PREP SCHOOL</t>
        </is>
      </c>
      <c r="F223" t="inlineStr">
        <is>
          <t>SR 1523</t>
        </is>
      </c>
      <c r="H223">
        <v>999.999</v>
      </c>
      <c r="J223" s="604" t="inlineStr">
        <is>
          <t>NIS</t>
        </is>
      </c>
      <c r="K223">
        <v>106696985</v>
      </c>
      <c r="L223" s="2">
        <v>44454</v>
      </c>
      <c r="M223">
        <v>24</v>
      </c>
      <c r="N223">
        <v>1</v>
      </c>
      <c r="O223">
        <v>4</v>
      </c>
      <c r="P223">
        <v>1</v>
      </c>
      <c r="Q223" t="inlineStr">
        <is>
          <t>O</t>
        </is>
      </c>
    </row>
    <row r="224">
      <c r="A224" t="inlineStr">
        <is>
          <t>OXFORD</t>
        </is>
      </c>
      <c r="B224" t="inlineStr">
        <is>
          <t>PVA BANK ST</t>
        </is>
      </c>
      <c r="C224">
        <v>0.0</v>
      </c>
      <c r="E224" t="inlineStr">
        <is>
          <t>PVA MAIN ST</t>
        </is>
      </c>
      <c r="F224" t="inlineStr">
        <is>
          <t>PVA WALL ST</t>
        </is>
      </c>
      <c r="G224" t="inlineStr">
        <is>
          <t>MAIN</t>
        </is>
      </c>
      <c r="H224">
        <v>999.999</v>
      </c>
      <c r="J224" s="604" t="inlineStr">
        <is>
          <t>NIS</t>
        </is>
      </c>
      <c r="K224">
        <v>106818280</v>
      </c>
      <c r="L224" s="2">
        <v>44456</v>
      </c>
      <c r="M224">
        <v>30</v>
      </c>
      <c r="N224">
        <v>1</v>
      </c>
      <c r="O224">
        <v>0</v>
      </c>
      <c r="P224">
        <v>1</v>
      </c>
    </row>
    <row r="225">
      <c r="A225" t="inlineStr">
        <is>
          <t>RURAL</t>
        </is>
      </c>
      <c r="B225" t="inlineStr">
        <is>
          <t>SR 1522</t>
        </is>
      </c>
      <c r="C225">
        <v>0.01</v>
      </c>
      <c r="D225" t="inlineStr">
        <is>
          <t>N</t>
        </is>
      </c>
      <c r="E225" t="inlineStr">
        <is>
          <t>SR 1528</t>
        </is>
      </c>
      <c r="F225" t="inlineStr">
        <is>
          <t>US 158</t>
        </is>
      </c>
      <c r="G225" t="inlineStr">
        <is>
          <t>SR 1522</t>
        </is>
      </c>
      <c r="H225">
        <v>0.533</v>
      </c>
      <c r="J225" s="604" t="inlineStr">
        <is>
          <t>NIS</t>
        </is>
      </c>
      <c r="K225">
        <v>106727073</v>
      </c>
      <c r="L225" s="2">
        <v>44482</v>
      </c>
      <c r="M225">
        <v>17</v>
      </c>
      <c r="N225">
        <v>1</v>
      </c>
      <c r="O225">
        <v>0</v>
      </c>
      <c r="P225">
        <v>5</v>
      </c>
      <c r="Q225" t="inlineStr">
        <is>
          <t>O</t>
        </is>
      </c>
    </row>
    <row r="226">
      <c r="A226" t="inlineStr">
        <is>
          <t>RURAL</t>
        </is>
      </c>
      <c r="B226" t="inlineStr">
        <is>
          <t>SR 1521</t>
        </is>
      </c>
      <c r="C226">
        <v>0.0</v>
      </c>
      <c r="E226" t="inlineStr">
        <is>
          <t>SR 1522</t>
        </is>
      </c>
      <c r="F226" t="inlineStr">
        <is>
          <t>SR 1524</t>
        </is>
      </c>
      <c r="G226" t="inlineStr">
        <is>
          <t>SR 1521</t>
        </is>
      </c>
      <c r="H226">
        <v>3.289</v>
      </c>
      <c r="J226" s="604" t="inlineStr">
        <is>
          <t>NIS</t>
        </is>
      </c>
      <c r="K226">
        <v>106752512</v>
      </c>
      <c r="L226" s="2">
        <v>44498</v>
      </c>
      <c r="M226">
        <v>28</v>
      </c>
      <c r="N226">
        <v>2</v>
      </c>
      <c r="O226">
        <v>8</v>
      </c>
      <c r="P226">
        <v>3</v>
      </c>
      <c r="Q226" t="inlineStr">
        <is>
          <t>O</t>
        </is>
      </c>
    </row>
    <row r="227">
      <c r="A227" t="inlineStr">
        <is>
          <t>OXFORD</t>
        </is>
      </c>
      <c r="B227" t="inlineStr">
        <is>
          <t>FRONT</t>
        </is>
      </c>
      <c r="C227">
        <v>0.01</v>
      </c>
      <c r="D227" t="inlineStr">
        <is>
          <t>E</t>
        </is>
      </c>
      <c r="E227" t="inlineStr">
        <is>
          <t>MAIN</t>
        </is>
      </c>
      <c r="F227" t="inlineStr">
        <is>
          <t>COGGESHALL</t>
        </is>
      </c>
      <c r="G227" t="inlineStr">
        <is>
          <t>SR 1602</t>
        </is>
      </c>
      <c r="H227">
        <v>1.139</v>
      </c>
      <c r="J227" s="604" t="inlineStr">
        <is>
          <t>NIS</t>
        </is>
      </c>
      <c r="K227">
        <v>106785794</v>
      </c>
      <c r="L227" s="2">
        <v>44501</v>
      </c>
      <c r="M227">
        <v>1</v>
      </c>
      <c r="N227">
        <v>1</v>
      </c>
      <c r="O227">
        <v>0</v>
      </c>
      <c r="P227">
        <v>1</v>
      </c>
      <c r="Q227" t="inlineStr">
        <is>
          <t>O</t>
        </is>
      </c>
    </row>
    <row r="228">
      <c r="A228" t="inlineStr">
        <is>
          <t>OXFORD</t>
        </is>
      </c>
      <c r="B228" t="inlineStr">
        <is>
          <t>WILLIAMSBORO</t>
        </is>
      </c>
      <c r="C228">
        <v>0.0</v>
      </c>
      <c r="E228" t="inlineStr">
        <is>
          <t>MAIN</t>
        </is>
      </c>
      <c r="F228" t="inlineStr">
        <is>
          <t>MAIN</t>
        </is>
      </c>
      <c r="G228" t="inlineStr">
        <is>
          <t>US 158BUS</t>
        </is>
      </c>
      <c r="H228">
        <v>2.055</v>
      </c>
      <c r="J228" s="604" t="inlineStr">
        <is>
          <t>NIS</t>
        </is>
      </c>
      <c r="K228">
        <v>106762748</v>
      </c>
      <c r="L228" s="2">
        <v>44510</v>
      </c>
      <c r="M228">
        <v>31</v>
      </c>
      <c r="N228">
        <v>1</v>
      </c>
      <c r="O228">
        <v>0</v>
      </c>
      <c r="P228">
        <v>1</v>
      </c>
      <c r="Q228" t="inlineStr">
        <is>
          <t>O</t>
        </is>
      </c>
    </row>
    <row r="229">
      <c r="A229" t="inlineStr">
        <is>
          <t>CREEDMOOR</t>
        </is>
      </c>
      <c r="B229" t="inlineStr">
        <is>
          <t>PVA DOLLAR TREE</t>
        </is>
      </c>
      <c r="C229">
        <v>0.019</v>
      </c>
      <c r="D229" t="inlineStr">
        <is>
          <t>W</t>
        </is>
      </c>
      <c r="E229" t="inlineStr">
        <is>
          <t>MAIN</t>
        </is>
      </c>
      <c r="H229">
        <v>999.999</v>
      </c>
      <c r="J229" s="604" t="inlineStr">
        <is>
          <t>NIS</t>
        </is>
      </c>
      <c r="K229">
        <v>106802910</v>
      </c>
      <c r="L229" s="2">
        <v>44523</v>
      </c>
      <c r="M229">
        <v>31</v>
      </c>
      <c r="N229">
        <v>1</v>
      </c>
      <c r="O229">
        <v>4</v>
      </c>
      <c r="P229">
        <v>1</v>
      </c>
      <c r="Q229" t="inlineStr">
        <is>
          <t>O</t>
        </is>
      </c>
    </row>
    <row r="230">
      <c r="A230" t="inlineStr">
        <is>
          <t>CREEDMOOR</t>
        </is>
      </c>
      <c r="B230" t="inlineStr">
        <is>
          <t>MAIN</t>
        </is>
      </c>
      <c r="C230">
        <v>0.0</v>
      </c>
      <c r="E230" t="inlineStr">
        <is>
          <t>US 15</t>
        </is>
      </c>
      <c r="F230" t="inlineStr">
        <is>
          <t>SAM MOSS-HAYES</t>
        </is>
      </c>
      <c r="G230" t="inlineStr">
        <is>
          <t>SR 1639</t>
        </is>
      </c>
      <c r="H230">
        <v>0.535</v>
      </c>
      <c r="J230" s="604" t="inlineStr">
        <is>
          <t>NIS</t>
        </is>
      </c>
      <c r="K230">
        <v>106782773</v>
      </c>
      <c r="L230" s="2">
        <v>44524</v>
      </c>
      <c r="M230">
        <v>21</v>
      </c>
      <c r="N230">
        <v>1</v>
      </c>
      <c r="O230">
        <v>9</v>
      </c>
      <c r="P230">
        <v>1</v>
      </c>
      <c r="Q230" t="inlineStr">
        <is>
          <t>O</t>
        </is>
      </c>
    </row>
    <row r="231">
      <c r="A231" t="inlineStr">
        <is>
          <t>OXFORD</t>
        </is>
      </c>
      <c r="B231" t="inlineStr">
        <is>
          <t>SALEM</t>
        </is>
      </c>
      <c r="C231">
        <v>0.25</v>
      </c>
      <c r="D231" t="inlineStr">
        <is>
          <t>S</t>
        </is>
      </c>
      <c r="E231" t="inlineStr">
        <is>
          <t>EDGEWOOD</t>
        </is>
      </c>
      <c r="F231" t="inlineStr">
        <is>
          <t>WILLIAMSBORO</t>
        </is>
      </c>
      <c r="H231">
        <v>999.999</v>
      </c>
      <c r="J231" s="604" t="inlineStr">
        <is>
          <t>NIS</t>
        </is>
      </c>
      <c r="K231">
        <v>106802901</v>
      </c>
      <c r="L231" s="2">
        <v>44525</v>
      </c>
      <c r="M231">
        <v>17</v>
      </c>
      <c r="N231">
        <v>1</v>
      </c>
      <c r="O231">
        <v>0</v>
      </c>
      <c r="P231">
        <v>5</v>
      </c>
      <c r="Q231" t="inlineStr">
        <is>
          <t>O</t>
        </is>
      </c>
    </row>
    <row r="232">
      <c r="A232" t="inlineStr">
        <is>
          <t>RURAL</t>
        </is>
      </c>
      <c r="B232" t="inlineStr">
        <is>
          <t>US 158</t>
        </is>
      </c>
      <c r="C232">
        <v>0.0</v>
      </c>
      <c r="E232" t="inlineStr">
        <is>
          <t>SR 1522</t>
        </is>
      </c>
      <c r="F232" t="inlineStr">
        <is>
          <t>SR 1515</t>
        </is>
      </c>
      <c r="G232" t="inlineStr">
        <is>
          <t>US 158</t>
        </is>
      </c>
      <c r="H232">
        <v>14.055</v>
      </c>
      <c r="J232" s="604" t="inlineStr">
        <is>
          <t>NIS</t>
        </is>
      </c>
      <c r="K232">
        <v>106812161</v>
      </c>
      <c r="L232" s="2">
        <v>44552</v>
      </c>
      <c r="M232">
        <v>30</v>
      </c>
      <c r="N232">
        <v>1</v>
      </c>
      <c r="O232">
        <v>7</v>
      </c>
      <c r="P232">
        <v>1</v>
      </c>
      <c r="Q232" t="inlineStr">
        <is>
          <t>O</t>
        </is>
      </c>
    </row>
    <row r="233">
      <c r="A233" t="inlineStr">
        <is>
          <t>RURAL</t>
        </is>
      </c>
      <c r="B233" t="inlineStr">
        <is>
          <t>US 158</t>
        </is>
      </c>
      <c r="C233">
        <v>0.0</v>
      </c>
      <c r="E233" t="inlineStr">
        <is>
          <t>SR 1522</t>
        </is>
      </c>
      <c r="F233" t="inlineStr">
        <is>
          <t>US 15</t>
        </is>
      </c>
      <c r="G233" t="inlineStr">
        <is>
          <t>US 158</t>
        </is>
      </c>
      <c r="H233">
        <v>14.055</v>
      </c>
      <c r="J233" s="604" t="inlineStr">
        <is>
          <t>NIS</t>
        </is>
      </c>
      <c r="K233">
        <v>106826767</v>
      </c>
      <c r="L233" s="2">
        <v>44565</v>
      </c>
      <c r="M233">
        <v>30</v>
      </c>
      <c r="N233">
        <v>1</v>
      </c>
      <c r="O233">
        <v>7</v>
      </c>
      <c r="P233">
        <v>1</v>
      </c>
      <c r="Q233" t="inlineStr">
        <is>
          <t>B</t>
        </is>
      </c>
    </row>
    <row r="234">
      <c r="A234" t="inlineStr">
        <is>
          <t>OXFORD</t>
        </is>
      </c>
      <c r="B234" t="inlineStr">
        <is>
          <t>MAIN</t>
        </is>
      </c>
      <c r="C234">
        <v>0.0</v>
      </c>
      <c r="E234" t="inlineStr">
        <is>
          <t>LITTLE JOHN</t>
        </is>
      </c>
      <c r="F234" t="inlineStr">
        <is>
          <t>LITTLE JOHN</t>
        </is>
      </c>
      <c r="G234" t="inlineStr">
        <is>
          <t>SR 1602</t>
        </is>
      </c>
      <c r="H234">
        <v>1.421</v>
      </c>
      <c r="J234" s="604" t="inlineStr">
        <is>
          <t>NIS</t>
        </is>
      </c>
      <c r="K234">
        <v>106915254</v>
      </c>
      <c r="L234" s="2">
        <v>44572</v>
      </c>
      <c r="M234">
        <v>18</v>
      </c>
      <c r="N234">
        <v>1</v>
      </c>
      <c r="O234">
        <v>0</v>
      </c>
      <c r="P234">
        <v>1</v>
      </c>
    </row>
    <row r="235">
      <c r="A235" t="inlineStr">
        <is>
          <t>RURAL</t>
        </is>
      </c>
      <c r="B235" t="inlineStr">
        <is>
          <t>US 158</t>
        </is>
      </c>
      <c r="C235">
        <v>0.0</v>
      </c>
      <c r="E235" t="inlineStr">
        <is>
          <t>SR 1522</t>
        </is>
      </c>
      <c r="F235" t="inlineStr">
        <is>
          <t>US 15</t>
        </is>
      </c>
      <c r="G235" t="inlineStr">
        <is>
          <t>US 158</t>
        </is>
      </c>
      <c r="H235">
        <v>14.055</v>
      </c>
      <c r="J235" s="604" t="inlineStr">
        <is>
          <t>NIS</t>
        </is>
      </c>
      <c r="K235">
        <v>106854292</v>
      </c>
      <c r="L235" s="2">
        <v>44588</v>
      </c>
      <c r="M235">
        <v>30</v>
      </c>
      <c r="N235">
        <v>1</v>
      </c>
      <c r="O235">
        <v>7</v>
      </c>
      <c r="P235">
        <v>1</v>
      </c>
      <c r="Q235" t="inlineStr">
        <is>
          <t>B</t>
        </is>
      </c>
    </row>
    <row r="236">
      <c r="A236" t="inlineStr">
        <is>
          <t>RURAL</t>
        </is>
      </c>
      <c r="B236" t="inlineStr">
        <is>
          <t>SR 1515</t>
        </is>
      </c>
      <c r="C236">
        <v>0.0</v>
      </c>
      <c r="E236" t="inlineStr">
        <is>
          <t>SR 1522</t>
        </is>
      </c>
      <c r="F236" t="inlineStr">
        <is>
          <t>SR 1523</t>
        </is>
      </c>
      <c r="G236" t="inlineStr">
        <is>
          <t>SR 1515</t>
        </is>
      </c>
      <c r="H236">
        <v>10.078</v>
      </c>
      <c r="J236" s="604" t="inlineStr">
        <is>
          <t>NIS</t>
        </is>
      </c>
      <c r="K236">
        <v>106860515</v>
      </c>
      <c r="L236" s="2">
        <v>44604</v>
      </c>
      <c r="M236">
        <v>24</v>
      </c>
      <c r="N236">
        <v>1</v>
      </c>
      <c r="O236">
        <v>8</v>
      </c>
      <c r="P236">
        <v>1</v>
      </c>
      <c r="Q236" t="inlineStr">
        <is>
          <t>O</t>
        </is>
      </c>
    </row>
    <row r="237">
      <c r="A237" t="inlineStr">
        <is>
          <t>OXFORD</t>
        </is>
      </c>
      <c r="B237" t="inlineStr">
        <is>
          <t>MARTIN LUTHER KING</t>
        </is>
      </c>
      <c r="C237">
        <v>0.0</v>
      </c>
      <c r="E237" t="inlineStr">
        <is>
          <t>SPRING</t>
        </is>
      </c>
      <c r="F237" t="inlineStr">
        <is>
          <t>MARTIN LUTHER KING</t>
        </is>
      </c>
      <c r="G237" t="inlineStr">
        <is>
          <t>NC 96</t>
        </is>
      </c>
      <c r="H237">
        <v>17.59</v>
      </c>
      <c r="J237" s="604" t="inlineStr">
        <is>
          <t>NIS</t>
        </is>
      </c>
      <c r="K237">
        <v>107036300</v>
      </c>
      <c r="L237" s="2">
        <v>44605</v>
      </c>
      <c r="M237">
        <v>21</v>
      </c>
      <c r="N237">
        <v>1</v>
      </c>
      <c r="O237">
        <v>7</v>
      </c>
      <c r="P237">
        <v>2</v>
      </c>
      <c r="Q237" t="inlineStr">
        <is>
          <t>O</t>
        </is>
      </c>
    </row>
    <row r="238">
      <c r="A238" t="inlineStr">
        <is>
          <t>OXFORD</t>
        </is>
      </c>
      <c r="B238" t="inlineStr">
        <is>
          <t>SPRING</t>
        </is>
      </c>
      <c r="C238">
        <v>0.0</v>
      </c>
      <c r="E238" t="inlineStr">
        <is>
          <t>BELL</t>
        </is>
      </c>
      <c r="F238" t="inlineStr">
        <is>
          <t>BELL</t>
        </is>
      </c>
      <c r="G238" t="inlineStr">
        <is>
          <t>SPRING</t>
        </is>
      </c>
      <c r="H238">
        <v>0.47</v>
      </c>
      <c r="J238" s="604" t="inlineStr">
        <is>
          <t>NIS</t>
        </is>
      </c>
      <c r="K238">
        <v>106974955</v>
      </c>
      <c r="L238" s="2">
        <v>44628</v>
      </c>
      <c r="M238">
        <v>13</v>
      </c>
      <c r="N238">
        <v>1</v>
      </c>
      <c r="O238">
        <v>0</v>
      </c>
      <c r="P238">
        <v>1</v>
      </c>
      <c r="Q238" t="inlineStr">
        <is>
          <t>O</t>
        </is>
      </c>
    </row>
    <row r="239">
      <c r="A239" t="inlineStr">
        <is>
          <t>OXFORD</t>
        </is>
      </c>
      <c r="B239" t="inlineStr">
        <is>
          <t>MARTIN LUTHER KING</t>
        </is>
      </c>
      <c r="C239">
        <v>0.0</v>
      </c>
      <c r="E239" t="inlineStr">
        <is>
          <t>SPRING</t>
        </is>
      </c>
      <c r="F239" t="inlineStr">
        <is>
          <t>MARTIN LUTHER KING</t>
        </is>
      </c>
      <c r="G239" t="inlineStr">
        <is>
          <t>NC 96</t>
        </is>
      </c>
      <c r="H239">
        <v>17.59</v>
      </c>
      <c r="J239" s="604" t="inlineStr">
        <is>
          <t>NIS</t>
        </is>
      </c>
      <c r="K239">
        <v>106915253</v>
      </c>
      <c r="L239" s="2">
        <v>44646</v>
      </c>
      <c r="M239">
        <v>21</v>
      </c>
      <c r="N239">
        <v>1</v>
      </c>
      <c r="O239">
        <v>7</v>
      </c>
      <c r="P239">
        <v>1</v>
      </c>
      <c r="Q239" t="inlineStr">
        <is>
          <t>A</t>
        </is>
      </c>
    </row>
    <row r="240">
      <c r="A240" t="inlineStr">
        <is>
          <t>RURAL</t>
        </is>
      </c>
      <c r="B240" t="inlineStr">
        <is>
          <t>SR 1522</t>
        </is>
      </c>
      <c r="C240">
        <v>0.2</v>
      </c>
      <c r="D240" t="inlineStr">
        <is>
          <t>N</t>
        </is>
      </c>
      <c r="E240" t="inlineStr">
        <is>
          <t>SR 1515</t>
        </is>
      </c>
      <c r="F240" t="inlineStr">
        <is>
          <t>SR 1521</t>
        </is>
      </c>
      <c r="G240" t="inlineStr">
        <is>
          <t>SR 1522</t>
        </is>
      </c>
      <c r="H240">
        <v>1.408</v>
      </c>
      <c r="J240" s="604" t="inlineStr">
        <is>
          <t>NIS</t>
        </is>
      </c>
      <c r="K240">
        <v>106910589</v>
      </c>
      <c r="L240" s="2">
        <v>44651</v>
      </c>
      <c r="M240">
        <v>5</v>
      </c>
      <c r="N240">
        <v>2</v>
      </c>
      <c r="O240">
        <v>0</v>
      </c>
      <c r="P240">
        <v>5</v>
      </c>
      <c r="Q240" t="inlineStr">
        <is>
          <t>B</t>
        </is>
      </c>
    </row>
    <row r="241">
      <c r="A241" t="inlineStr">
        <is>
          <t>RURAL</t>
        </is>
      </c>
      <c r="B241" t="inlineStr">
        <is>
          <t>SR 1515</t>
        </is>
      </c>
      <c r="C241">
        <v>0.004</v>
      </c>
      <c r="D241" t="inlineStr">
        <is>
          <t>W</t>
        </is>
      </c>
      <c r="E241" t="inlineStr">
        <is>
          <t>SR 1522</t>
        </is>
      </c>
      <c r="F241" t="inlineStr">
        <is>
          <t>PVA OXFORD PARK BLVD</t>
        </is>
      </c>
      <c r="G241" t="inlineStr">
        <is>
          <t>SR 1515</t>
        </is>
      </c>
      <c r="H241">
        <v>10.074</v>
      </c>
      <c r="J241" s="604" t="inlineStr">
        <is>
          <t>NIS</t>
        </is>
      </c>
      <c r="K241">
        <v>106909550</v>
      </c>
      <c r="L241" s="2">
        <v>44652</v>
      </c>
      <c r="M241">
        <v>24</v>
      </c>
      <c r="N241">
        <v>1</v>
      </c>
      <c r="O241">
        <v>8</v>
      </c>
      <c r="P241">
        <v>1</v>
      </c>
      <c r="Q241" t="inlineStr">
        <is>
          <t>O</t>
        </is>
      </c>
    </row>
    <row r="242">
      <c r="A242" t="inlineStr">
        <is>
          <t>OXFORD</t>
        </is>
      </c>
      <c r="B242" t="inlineStr">
        <is>
          <t>BELL</t>
        </is>
      </c>
      <c r="C242">
        <v>0.0</v>
      </c>
      <c r="E242" t="inlineStr">
        <is>
          <t>SPRING</t>
        </is>
      </c>
      <c r="F242" t="inlineStr">
        <is>
          <t>BELL</t>
        </is>
      </c>
      <c r="G242" t="inlineStr">
        <is>
          <t>SPRING</t>
        </is>
      </c>
      <c r="H242">
        <v>0.47</v>
      </c>
      <c r="J242" s="604" t="inlineStr">
        <is>
          <t>NIS</t>
        </is>
      </c>
      <c r="K242">
        <v>107036687</v>
      </c>
      <c r="L242" s="2">
        <v>44694</v>
      </c>
      <c r="M242">
        <v>21</v>
      </c>
      <c r="N242">
        <v>1</v>
      </c>
      <c r="O242">
        <v>0</v>
      </c>
      <c r="P242">
        <v>1</v>
      </c>
      <c r="Q242" t="inlineStr">
        <is>
          <t>O</t>
        </is>
      </c>
    </row>
    <row r="243">
      <c r="A243" t="inlineStr">
        <is>
          <t>OXFORD</t>
        </is>
      </c>
      <c r="B243" t="inlineStr">
        <is>
          <t>MARTIN LUTHER KING</t>
        </is>
      </c>
      <c r="C243">
        <v>0.0</v>
      </c>
      <c r="E243" t="inlineStr">
        <is>
          <t>SPRING</t>
        </is>
      </c>
      <c r="F243" t="inlineStr">
        <is>
          <t>HILLSBORO</t>
        </is>
      </c>
      <c r="G243" t="inlineStr">
        <is>
          <t>NC 96</t>
        </is>
      </c>
      <c r="H243">
        <v>17.59</v>
      </c>
      <c r="J243" s="604" t="inlineStr">
        <is>
          <t>NIS</t>
        </is>
      </c>
      <c r="K243">
        <v>106996484</v>
      </c>
      <c r="L243" s="2">
        <v>44723</v>
      </c>
      <c r="M243">
        <v>21</v>
      </c>
      <c r="N243">
        <v>1</v>
      </c>
      <c r="O243">
        <v>0</v>
      </c>
      <c r="P243">
        <v>2</v>
      </c>
      <c r="Q243" t="inlineStr">
        <is>
          <t>O</t>
        </is>
      </c>
    </row>
    <row r="244">
      <c r="A244" t="inlineStr">
        <is>
          <t>OXFORD</t>
        </is>
      </c>
      <c r="B244" t="inlineStr">
        <is>
          <t>SPRING</t>
        </is>
      </c>
      <c r="C244">
        <v>0.0</v>
      </c>
      <c r="E244" t="inlineStr">
        <is>
          <t>GRANVILLE</t>
        </is>
      </c>
      <c r="F244" t="inlineStr">
        <is>
          <t>MARTIN LUTHER KING</t>
        </is>
      </c>
      <c r="G244" t="inlineStr">
        <is>
          <t>SPRING</t>
        </is>
      </c>
      <c r="H244">
        <v>0.09</v>
      </c>
      <c r="J244" s="604" t="inlineStr">
        <is>
          <t>NIS</t>
        </is>
      </c>
      <c r="K244">
        <v>106996485</v>
      </c>
      <c r="L244" s="2">
        <v>44728</v>
      </c>
      <c r="M244">
        <v>28</v>
      </c>
      <c r="N244">
        <v>1</v>
      </c>
      <c r="O244">
        <v>0</v>
      </c>
      <c r="P244">
        <v>1</v>
      </c>
      <c r="Q244" t="inlineStr">
        <is>
          <t>O</t>
        </is>
      </c>
    </row>
    <row r="245">
      <c r="A245" t="inlineStr">
        <is>
          <t>OXFORD</t>
        </is>
      </c>
      <c r="B245" t="inlineStr">
        <is>
          <t>MARTIN LUTHER KING</t>
        </is>
      </c>
      <c r="C245">
        <v>0.0</v>
      </c>
      <c r="E245" t="inlineStr">
        <is>
          <t>SPRING</t>
        </is>
      </c>
      <c r="F245" t="inlineStr">
        <is>
          <t>HILLSBORO</t>
        </is>
      </c>
      <c r="G245" t="inlineStr">
        <is>
          <t>NC 96</t>
        </is>
      </c>
      <c r="H245">
        <v>17.59</v>
      </c>
      <c r="J245" s="604" t="inlineStr">
        <is>
          <t>NIS</t>
        </is>
      </c>
      <c r="K245">
        <v>107036677</v>
      </c>
      <c r="L245" s="2">
        <v>44728</v>
      </c>
      <c r="M245">
        <v>31</v>
      </c>
      <c r="N245">
        <v>1</v>
      </c>
      <c r="O245">
        <v>0</v>
      </c>
      <c r="P245">
        <v>1</v>
      </c>
      <c r="Q245" t="inlineStr">
        <is>
          <t>O</t>
        </is>
      </c>
    </row>
    <row r="246">
      <c r="A246" t="inlineStr">
        <is>
          <t>OXFORD</t>
        </is>
      </c>
      <c r="B246" t="inlineStr">
        <is>
          <t>MAIN</t>
        </is>
      </c>
      <c r="C246">
        <v>0.019</v>
      </c>
      <c r="D246" t="inlineStr">
        <is>
          <t>N</t>
        </is>
      </c>
      <c r="E246" t="inlineStr">
        <is>
          <t>WILLIAMSBORO</t>
        </is>
      </c>
      <c r="F246" t="inlineStr">
        <is>
          <t>WILLIAMSBORO</t>
        </is>
      </c>
      <c r="G246" t="inlineStr">
        <is>
          <t>SR 1602</t>
        </is>
      </c>
      <c r="H246">
        <v>1.504</v>
      </c>
      <c r="J246" s="604" t="inlineStr">
        <is>
          <t>NIS</t>
        </is>
      </c>
      <c r="K246">
        <v>106990903</v>
      </c>
      <c r="L246" s="2">
        <v>44729</v>
      </c>
      <c r="M246">
        <v>31</v>
      </c>
      <c r="N246">
        <v>1</v>
      </c>
      <c r="O246">
        <v>0</v>
      </c>
      <c r="P246">
        <v>1</v>
      </c>
      <c r="Q246" t="inlineStr">
        <is>
          <t>O</t>
        </is>
      </c>
    </row>
    <row r="247">
      <c r="A247" t="inlineStr">
        <is>
          <t>RURAL</t>
        </is>
      </c>
      <c r="B247" t="inlineStr">
        <is>
          <t>SR 1522</t>
        </is>
      </c>
      <c r="C247">
        <v>0.2</v>
      </c>
      <c r="D247" t="inlineStr">
        <is>
          <t>S</t>
        </is>
      </c>
      <c r="E247" t="inlineStr">
        <is>
          <t>SR 1525</t>
        </is>
      </c>
      <c r="F247" t="inlineStr">
        <is>
          <t>SR 1195</t>
        </is>
      </c>
      <c r="G247" t="inlineStr">
        <is>
          <t>SR 1522</t>
        </is>
      </c>
      <c r="H247">
        <v>2.284</v>
      </c>
      <c r="J247" s="604" t="inlineStr">
        <is>
          <t>NIS</t>
        </is>
      </c>
      <c r="K247">
        <v>106993246</v>
      </c>
      <c r="L247" s="2">
        <v>44732</v>
      </c>
      <c r="M247">
        <v>17</v>
      </c>
      <c r="N247">
        <v>1</v>
      </c>
      <c r="O247">
        <v>0</v>
      </c>
      <c r="P247">
        <v>1</v>
      </c>
      <c r="Q247" t="inlineStr">
        <is>
          <t>O</t>
        </is>
      </c>
    </row>
    <row r="248">
      <c r="A248" t="inlineStr">
        <is>
          <t>OXFORD</t>
        </is>
      </c>
      <c r="B248" t="inlineStr">
        <is>
          <t>LEWIS</t>
        </is>
      </c>
      <c r="C248">
        <v>0.0</v>
      </c>
      <c r="E248" t="inlineStr">
        <is>
          <t>SPRING</t>
        </is>
      </c>
      <c r="F248" t="inlineStr">
        <is>
          <t>HILLSBORO</t>
        </is>
      </c>
      <c r="G248" t="inlineStr">
        <is>
          <t>US 15</t>
        </is>
      </c>
      <c r="H248">
        <v>20.498</v>
      </c>
      <c r="J248" s="604" t="inlineStr">
        <is>
          <t>NIS</t>
        </is>
      </c>
      <c r="K248">
        <v>107036690</v>
      </c>
      <c r="L248" s="2">
        <v>44733</v>
      </c>
      <c r="M248">
        <v>21</v>
      </c>
      <c r="N248">
        <v>1</v>
      </c>
      <c r="O248">
        <v>0</v>
      </c>
      <c r="P248">
        <v>1</v>
      </c>
      <c r="Q248" t="inlineStr">
        <is>
          <t>O</t>
        </is>
      </c>
    </row>
    <row r="249">
      <c r="A249" t="inlineStr">
        <is>
          <t>RURAL</t>
        </is>
      </c>
      <c r="B249" t="inlineStr">
        <is>
          <t>US 158</t>
        </is>
      </c>
      <c r="C249">
        <v>0.0</v>
      </c>
      <c r="E249" t="inlineStr">
        <is>
          <t>SR 1522</t>
        </is>
      </c>
      <c r="F249" t="inlineStr">
        <is>
          <t>SR 1515</t>
        </is>
      </c>
      <c r="G249" t="inlineStr">
        <is>
          <t>US 158</t>
        </is>
      </c>
      <c r="H249">
        <v>14.055</v>
      </c>
      <c r="J249" s="604" t="inlineStr">
        <is>
          <t>NIS</t>
        </is>
      </c>
      <c r="K249">
        <v>107005802</v>
      </c>
      <c r="L249" s="2">
        <v>44744</v>
      </c>
      <c r="M249">
        <v>23</v>
      </c>
      <c r="N249">
        <v>1</v>
      </c>
      <c r="O249">
        <v>7</v>
      </c>
      <c r="P249">
        <v>1</v>
      </c>
      <c r="Q249" t="inlineStr">
        <is>
          <t>B</t>
        </is>
      </c>
    </row>
    <row r="250">
      <c r="A250" t="inlineStr">
        <is>
          <t>OXFORD</t>
        </is>
      </c>
      <c r="B250" t="inlineStr">
        <is>
          <t>MAIN</t>
        </is>
      </c>
      <c r="C250">
        <v>0.095</v>
      </c>
      <c r="D250" t="inlineStr">
        <is>
          <t>S</t>
        </is>
      </c>
      <c r="E250" t="inlineStr">
        <is>
          <t>COURT</t>
        </is>
      </c>
      <c r="F250" t="inlineStr">
        <is>
          <t>LITTLE JOHN</t>
        </is>
      </c>
      <c r="G250" t="inlineStr">
        <is>
          <t>SR 1602</t>
        </is>
      </c>
      <c r="H250">
        <v>1.382</v>
      </c>
      <c r="J250" s="604" t="inlineStr">
        <is>
          <t>NIS</t>
        </is>
      </c>
      <c r="K250">
        <v>107020234</v>
      </c>
      <c r="L250" s="2">
        <v>44756</v>
      </c>
      <c r="M250">
        <v>31</v>
      </c>
      <c r="N250">
        <v>1</v>
      </c>
      <c r="O250">
        <v>0</v>
      </c>
      <c r="P250">
        <v>1</v>
      </c>
      <c r="Q250" t="inlineStr">
        <is>
          <t>O</t>
        </is>
      </c>
    </row>
    <row r="251">
      <c r="A251" t="inlineStr">
        <is>
          <t>OXFORD</t>
        </is>
      </c>
      <c r="B251" t="inlineStr">
        <is>
          <t>SPRING</t>
        </is>
      </c>
      <c r="C251">
        <v>0.009</v>
      </c>
      <c r="D251" t="inlineStr">
        <is>
          <t>E</t>
        </is>
      </c>
      <c r="E251" t="inlineStr">
        <is>
          <t>GILLIAM</t>
        </is>
      </c>
      <c r="F251" t="inlineStr">
        <is>
          <t>GILLIAM</t>
        </is>
      </c>
      <c r="G251" t="inlineStr">
        <is>
          <t>SPRING</t>
        </is>
      </c>
      <c r="H251">
        <v>0.409</v>
      </c>
      <c r="J251" s="604" t="inlineStr">
        <is>
          <t>NIS</t>
        </is>
      </c>
      <c r="K251">
        <v>107036682</v>
      </c>
      <c r="L251" s="2">
        <v>44760</v>
      </c>
      <c r="M251">
        <v>31</v>
      </c>
      <c r="N251">
        <v>1</v>
      </c>
      <c r="O251">
        <v>0</v>
      </c>
      <c r="P251">
        <v>1</v>
      </c>
      <c r="Q251" t="inlineStr">
        <is>
          <t>O</t>
        </is>
      </c>
    </row>
    <row r="252">
      <c r="A252" t="inlineStr">
        <is>
          <t>RURAL</t>
        </is>
      </c>
      <c r="B252" t="inlineStr">
        <is>
          <t>SR 1522</t>
        </is>
      </c>
      <c r="C252">
        <v>0.3</v>
      </c>
      <c r="D252" t="inlineStr">
        <is>
          <t>N</t>
        </is>
      </c>
      <c r="E252" t="inlineStr">
        <is>
          <t>SR 1515</t>
        </is>
      </c>
      <c r="F252" t="inlineStr">
        <is>
          <t>SR 1521</t>
        </is>
      </c>
      <c r="G252" t="inlineStr">
        <is>
          <t>SR 1522</t>
        </is>
      </c>
      <c r="H252">
        <v>1.508</v>
      </c>
      <c r="J252" s="604" t="inlineStr">
        <is>
          <t>NIS</t>
        </is>
      </c>
      <c r="K252">
        <v>107035517</v>
      </c>
      <c r="L252" s="2">
        <v>44776</v>
      </c>
      <c r="M252">
        <v>29</v>
      </c>
      <c r="N252">
        <v>1</v>
      </c>
      <c r="O252">
        <v>0</v>
      </c>
      <c r="P252">
        <v>1</v>
      </c>
      <c r="Q252" t="inlineStr">
        <is>
          <t>O</t>
        </is>
      </c>
    </row>
    <row r="253">
      <c r="A253" t="inlineStr">
        <is>
          <t>OXFORD</t>
        </is>
      </c>
      <c r="B253" t="inlineStr">
        <is>
          <t>SPRING</t>
        </is>
      </c>
      <c r="C253">
        <v>0.0</v>
      </c>
      <c r="E253" t="inlineStr">
        <is>
          <t>MARTIN LUTHER KING</t>
        </is>
      </c>
      <c r="F253" t="inlineStr">
        <is>
          <t>MARTIN LUTHER KING</t>
        </is>
      </c>
      <c r="G253" t="inlineStr">
        <is>
          <t>SPRING</t>
        </is>
      </c>
      <c r="H253">
        <v>999.999</v>
      </c>
      <c r="J253" s="604" t="inlineStr">
        <is>
          <t>NIS</t>
        </is>
      </c>
      <c r="K253">
        <v>107047616</v>
      </c>
      <c r="L253" s="2">
        <v>44782</v>
      </c>
      <c r="M253">
        <v>28</v>
      </c>
      <c r="N253">
        <v>1</v>
      </c>
      <c r="O253">
        <v>0</v>
      </c>
      <c r="P253">
        <v>1</v>
      </c>
      <c r="Q253" t="inlineStr">
        <is>
          <t>O</t>
        </is>
      </c>
    </row>
    <row r="254">
      <c r="A254" t="inlineStr">
        <is>
          <t>OXFORD</t>
        </is>
      </c>
      <c r="B254" t="inlineStr">
        <is>
          <t>MARTIN LUTHER KING</t>
        </is>
      </c>
      <c r="C254">
        <v>0.0</v>
      </c>
      <c r="E254" t="inlineStr">
        <is>
          <t>SPRING</t>
        </is>
      </c>
      <c r="F254" t="inlineStr">
        <is>
          <t>SPRING</t>
        </is>
      </c>
      <c r="G254" t="inlineStr">
        <is>
          <t>NC 96</t>
        </is>
      </c>
      <c r="H254">
        <v>17.59</v>
      </c>
      <c r="J254" s="604" t="inlineStr">
        <is>
          <t>NIS</t>
        </is>
      </c>
      <c r="K254">
        <v>107074299</v>
      </c>
      <c r="L254" s="2">
        <v>44815</v>
      </c>
      <c r="M254">
        <v>30</v>
      </c>
      <c r="N254">
        <v>1</v>
      </c>
      <c r="O254">
        <v>0</v>
      </c>
      <c r="P254">
        <v>1</v>
      </c>
      <c r="Q254" t="inlineStr">
        <is>
          <t>C</t>
        </is>
      </c>
    </row>
    <row r="255">
      <c r="A255" t="inlineStr">
        <is>
          <t>CREEDMOOR</t>
        </is>
      </c>
      <c r="B255" t="inlineStr">
        <is>
          <t>PVA MAIN ST</t>
        </is>
      </c>
      <c r="C255">
        <v>0.0</v>
      </c>
      <c r="E255" t="inlineStr">
        <is>
          <t>PVA 404 N MAIN ST</t>
        </is>
      </c>
      <c r="F255" t="inlineStr">
        <is>
          <t>MILL</t>
        </is>
      </c>
      <c r="H255">
        <v>999.999</v>
      </c>
      <c r="J255" s="604" t="inlineStr">
        <is>
          <t>NIS</t>
        </is>
      </c>
      <c r="K255">
        <v>107090844</v>
      </c>
      <c r="L255" s="2">
        <v>44820</v>
      </c>
      <c r="M255">
        <v>31</v>
      </c>
      <c r="N255">
        <v>1</v>
      </c>
      <c r="O255">
        <v>0</v>
      </c>
      <c r="P255">
        <v>4</v>
      </c>
      <c r="Q255" t="inlineStr">
        <is>
          <t>O</t>
        </is>
      </c>
    </row>
    <row r="256">
      <c r="A256" t="inlineStr">
        <is>
          <t>OXFORD</t>
        </is>
      </c>
      <c r="B256" t="inlineStr">
        <is>
          <t>SPRING</t>
        </is>
      </c>
      <c r="C256">
        <v>0.0</v>
      </c>
      <c r="E256" t="inlineStr">
        <is>
          <t>WALL</t>
        </is>
      </c>
      <c r="F256" t="inlineStr">
        <is>
          <t>MARTIN LUTHER KING</t>
        </is>
      </c>
      <c r="G256" t="inlineStr">
        <is>
          <t>SPRING</t>
        </is>
      </c>
      <c r="H256">
        <v>0.22</v>
      </c>
      <c r="J256" s="604" t="inlineStr">
        <is>
          <t>NIS</t>
        </is>
      </c>
      <c r="K256">
        <v>107101708</v>
      </c>
      <c r="L256" s="2">
        <v>44840</v>
      </c>
      <c r="M256">
        <v>26</v>
      </c>
      <c r="N256">
        <v>1</v>
      </c>
      <c r="O256">
        <v>0</v>
      </c>
      <c r="P256">
        <v>1</v>
      </c>
      <c r="Q256" t="inlineStr">
        <is>
          <t>O</t>
        </is>
      </c>
    </row>
    <row r="257">
      <c r="A257" t="inlineStr">
        <is>
          <t>OXFORD</t>
        </is>
      </c>
      <c r="B257" t="inlineStr">
        <is>
          <t>SPRING</t>
        </is>
      </c>
      <c r="C257">
        <v>0.0</v>
      </c>
      <c r="E257" t="inlineStr">
        <is>
          <t>MARTIN LUTHER KING</t>
        </is>
      </c>
      <c r="F257" t="inlineStr">
        <is>
          <t>GRANVILLE</t>
        </is>
      </c>
      <c r="G257" t="inlineStr">
        <is>
          <t>SPRING</t>
        </is>
      </c>
      <c r="H257">
        <v>999.999</v>
      </c>
      <c r="J257" s="604" t="inlineStr">
        <is>
          <t>NIS</t>
        </is>
      </c>
      <c r="K257">
        <v>107119312</v>
      </c>
      <c r="L257" s="2">
        <v>44851</v>
      </c>
      <c r="M257">
        <v>21</v>
      </c>
      <c r="N257">
        <v>1</v>
      </c>
      <c r="O257">
        <v>0</v>
      </c>
      <c r="P257">
        <v>1</v>
      </c>
      <c r="Q257" t="inlineStr">
        <is>
          <t>O</t>
        </is>
      </c>
    </row>
    <row r="258">
      <c r="A258" t="inlineStr">
        <is>
          <t>OXFORD</t>
        </is>
      </c>
      <c r="B258" t="inlineStr">
        <is>
          <t>MARTIN LUTHER KING</t>
        </is>
      </c>
      <c r="C258">
        <v>0.0</v>
      </c>
      <c r="E258" t="inlineStr">
        <is>
          <t>SPRING</t>
        </is>
      </c>
      <c r="F258" t="inlineStr">
        <is>
          <t>MARTIN LUTHER KING</t>
        </is>
      </c>
      <c r="G258" t="inlineStr">
        <is>
          <t>NC 96</t>
        </is>
      </c>
      <c r="H258">
        <v>17.59</v>
      </c>
      <c r="J258" s="604" t="inlineStr">
        <is>
          <t>NIS</t>
        </is>
      </c>
      <c r="K258">
        <v>107136874</v>
      </c>
      <c r="L258" s="2">
        <v>44863</v>
      </c>
      <c r="M258">
        <v>22</v>
      </c>
      <c r="N258">
        <v>1</v>
      </c>
      <c r="O258">
        <v>0</v>
      </c>
      <c r="P258">
        <v>1</v>
      </c>
    </row>
    <row r="259">
      <c r="A259" t="inlineStr">
        <is>
          <t>OXFORD</t>
        </is>
      </c>
      <c r="B259" t="inlineStr">
        <is>
          <t>SR 1522</t>
        </is>
      </c>
      <c r="C259">
        <v>0.0</v>
      </c>
      <c r="D259" t="inlineStr">
        <is>
          <t>S</t>
        </is>
      </c>
      <c r="E259" t="inlineStr">
        <is>
          <t>US 158</t>
        </is>
      </c>
      <c r="F259" t="inlineStr">
        <is>
          <t>NC 96</t>
        </is>
      </c>
      <c r="G259" t="inlineStr">
        <is>
          <t>SR 1522</t>
        </is>
      </c>
      <c r="H259">
        <v>0.882</v>
      </c>
      <c r="J259" s="604" t="inlineStr">
        <is>
          <t>NIS</t>
        </is>
      </c>
      <c r="K259">
        <v>107148989</v>
      </c>
      <c r="L259" s="2">
        <v>44873</v>
      </c>
      <c r="M259">
        <v>28</v>
      </c>
      <c r="N259">
        <v>1</v>
      </c>
      <c r="O259">
        <v>7</v>
      </c>
      <c r="P259">
        <v>1</v>
      </c>
      <c r="Q259" t="inlineStr">
        <is>
          <t>O</t>
        </is>
      </c>
    </row>
    <row r="260">
      <c r="A260" t="inlineStr">
        <is>
          <t>CREEDMOOR</t>
        </is>
      </c>
      <c r="B260" t="inlineStr">
        <is>
          <t>MAIN</t>
        </is>
      </c>
      <c r="C260">
        <v>0.0</v>
      </c>
      <c r="E260" t="inlineStr">
        <is>
          <t>LION</t>
        </is>
      </c>
      <c r="F260" t="inlineStr">
        <is>
          <t>MAIN</t>
        </is>
      </c>
      <c r="G260" t="inlineStr">
        <is>
          <t>NC 50</t>
        </is>
      </c>
      <c r="H260">
        <v>2.937</v>
      </c>
      <c r="J260" s="604" t="inlineStr">
        <is>
          <t>NIS</t>
        </is>
      </c>
      <c r="K260">
        <v>107170707</v>
      </c>
      <c r="L260" s="2">
        <v>44876</v>
      </c>
      <c r="M260">
        <v>30</v>
      </c>
      <c r="N260">
        <v>1</v>
      </c>
      <c r="O260">
        <v>0</v>
      </c>
      <c r="P260">
        <v>1</v>
      </c>
      <c r="Q260" t="inlineStr">
        <is>
          <t>C</t>
        </is>
      </c>
    </row>
    <row r="261">
      <c r="A261" t="inlineStr">
        <is>
          <t>RURAL</t>
        </is>
      </c>
      <c r="B261" t="inlineStr">
        <is>
          <t>SR 1522</t>
        </is>
      </c>
      <c r="C261">
        <v>0.004</v>
      </c>
      <c r="D261" t="inlineStr">
        <is>
          <t>N</t>
        </is>
      </c>
      <c r="E261" t="inlineStr">
        <is>
          <t>US 158</t>
        </is>
      </c>
      <c r="F261" t="inlineStr">
        <is>
          <t>SR 1515</t>
        </is>
      </c>
      <c r="G261" t="inlineStr">
        <is>
          <t>SR 1522</t>
        </is>
      </c>
      <c r="H261">
        <v>0.886</v>
      </c>
      <c r="J261" s="604" t="inlineStr">
        <is>
          <t>NIS</t>
        </is>
      </c>
      <c r="K261">
        <v>107156144</v>
      </c>
      <c r="L261" s="2">
        <v>44882</v>
      </c>
      <c r="M261">
        <v>21</v>
      </c>
      <c r="N261">
        <v>1</v>
      </c>
      <c r="O261">
        <v>7</v>
      </c>
      <c r="P261">
        <v>1</v>
      </c>
      <c r="Q261" t="inlineStr">
        <is>
          <t>O</t>
        </is>
      </c>
    </row>
    <row r="262">
      <c r="A262" t="inlineStr">
        <is>
          <t>OXFORD</t>
        </is>
      </c>
      <c r="B262" t="inlineStr">
        <is>
          <t>LEWIS</t>
        </is>
      </c>
      <c r="C262">
        <v>0.0</v>
      </c>
      <c r="E262" t="inlineStr">
        <is>
          <t>SPRING</t>
        </is>
      </c>
      <c r="F262" t="inlineStr">
        <is>
          <t>HILLSBORO</t>
        </is>
      </c>
      <c r="G262" t="inlineStr">
        <is>
          <t>US 15</t>
        </is>
      </c>
      <c r="H262">
        <v>20.498</v>
      </c>
      <c r="J262" s="604" t="inlineStr">
        <is>
          <t>NIS</t>
        </is>
      </c>
      <c r="K262">
        <v>107155534</v>
      </c>
      <c r="L262" s="2">
        <v>44887</v>
      </c>
      <c r="M262">
        <v>30</v>
      </c>
      <c r="N262">
        <v>1</v>
      </c>
      <c r="O262">
        <v>0</v>
      </c>
      <c r="P262">
        <v>1</v>
      </c>
      <c r="Q262" t="inlineStr">
        <is>
          <t>O</t>
        </is>
      </c>
    </row>
    <row r="263">
      <c r="A263" t="inlineStr">
        <is>
          <t>OXFORD</t>
        </is>
      </c>
      <c r="B263" t="inlineStr">
        <is>
          <t>HILLSBORO</t>
        </is>
      </c>
      <c r="C263">
        <v>0.0</v>
      </c>
      <c r="E263" t="inlineStr">
        <is>
          <t>SPRING</t>
        </is>
      </c>
      <c r="F263" t="inlineStr">
        <is>
          <t>CHURCH</t>
        </is>
      </c>
      <c r="G263" t="inlineStr">
        <is>
          <t>SR 1004</t>
        </is>
      </c>
      <c r="H263">
        <v>17.824</v>
      </c>
      <c r="J263" s="604" t="inlineStr">
        <is>
          <t>NIS</t>
        </is>
      </c>
      <c r="K263">
        <v>107157374</v>
      </c>
      <c r="L263" s="2">
        <v>44888</v>
      </c>
      <c r="M263">
        <v>30</v>
      </c>
      <c r="N263">
        <v>1</v>
      </c>
      <c r="O263">
        <v>8</v>
      </c>
      <c r="P263">
        <v>1</v>
      </c>
      <c r="Q263" t="inlineStr">
        <is>
          <t>O</t>
        </is>
      </c>
    </row>
    <row r="264">
      <c r="A264" t="inlineStr">
        <is>
          <t>OXFORD</t>
        </is>
      </c>
      <c r="B264" t="inlineStr">
        <is>
          <t>WALL</t>
        </is>
      </c>
      <c r="C264">
        <v>0.0</v>
      </c>
      <c r="E264" t="inlineStr">
        <is>
          <t>SPRING</t>
        </is>
      </c>
      <c r="G264" t="inlineStr">
        <is>
          <t>SPRING</t>
        </is>
      </c>
      <c r="H264">
        <v>0.22</v>
      </c>
      <c r="J264" s="604" t="inlineStr">
        <is>
          <t>NIS</t>
        </is>
      </c>
      <c r="K264">
        <v>107164598</v>
      </c>
      <c r="L264" s="2">
        <v>44895</v>
      </c>
      <c r="M264">
        <v>31</v>
      </c>
      <c r="N264">
        <v>1</v>
      </c>
      <c r="O264">
        <v>0</v>
      </c>
      <c r="P264">
        <v>1</v>
      </c>
    </row>
    <row r="265">
      <c r="A265" t="inlineStr">
        <is>
          <t>RURAL</t>
        </is>
      </c>
      <c r="B265" t="inlineStr">
        <is>
          <t>US 158</t>
        </is>
      </c>
      <c r="C265">
        <v>0.0</v>
      </c>
      <c r="E265" t="inlineStr">
        <is>
          <t>SR 1602</t>
        </is>
      </c>
      <c r="F265" t="inlineStr">
        <is>
          <t>I 85</t>
        </is>
      </c>
      <c r="G265" t="inlineStr">
        <is>
          <t>US 158</t>
        </is>
      </c>
      <c r="H265">
        <v>999.999</v>
      </c>
      <c r="J265" s="604" t="inlineStr">
        <is>
          <t>NIS</t>
        </is>
      </c>
      <c r="K265">
        <v>107197910</v>
      </c>
      <c r="L265" s="2">
        <v>44924</v>
      </c>
      <c r="M265">
        <v>23</v>
      </c>
      <c r="N265">
        <v>1</v>
      </c>
      <c r="O265">
        <v>7</v>
      </c>
      <c r="P265">
        <v>5</v>
      </c>
      <c r="Q265" t="inlineStr">
        <is>
          <t>O</t>
        </is>
      </c>
      <c r="R265">
        <v>36.31332</v>
      </c>
      <c r="S265">
        <v>-78.55304</v>
      </c>
      <c r="T265" t="inlineStr">
        <is>
          <t>DMV349CLEANED</t>
        </is>
      </c>
      <c r="V265">
        <v>1.9225297088210442</v>
      </c>
    </row>
    <row r="266">
      <c r="A266" t="inlineStr">
        <is>
          <t>RURAL</t>
        </is>
      </c>
      <c r="B266" t="inlineStr">
        <is>
          <t>SR 1522</t>
        </is>
      </c>
      <c r="C266">
        <v>0.085</v>
      </c>
      <c r="D266" t="inlineStr">
        <is>
          <t>N</t>
        </is>
      </c>
      <c r="E266" t="inlineStr">
        <is>
          <t>SR 1525</t>
        </is>
      </c>
      <c r="F266" t="inlineStr">
        <is>
          <t>SR 1513</t>
        </is>
      </c>
      <c r="G266" t="inlineStr">
        <is>
          <t>SR 1522</t>
        </is>
      </c>
      <c r="H266">
        <v>2.569</v>
      </c>
      <c r="J266" s="604" t="inlineStr">
        <is>
          <t>NIS</t>
        </is>
      </c>
      <c r="K266">
        <v>107211217</v>
      </c>
      <c r="L266" s="2">
        <v>44929</v>
      </c>
      <c r="M266">
        <v>19</v>
      </c>
      <c r="N266">
        <v>1</v>
      </c>
      <c r="O266">
        <v>0</v>
      </c>
      <c r="P266">
        <v>1</v>
      </c>
      <c r="Q266" t="inlineStr">
        <is>
          <t>O</t>
        </is>
      </c>
    </row>
    <row r="267">
      <c r="A267" t="inlineStr">
        <is>
          <t>OXFORD</t>
        </is>
      </c>
      <c r="B267" t="inlineStr">
        <is>
          <t>SR 1521</t>
        </is>
      </c>
      <c r="C267">
        <v>0.0</v>
      </c>
      <c r="E267" t="inlineStr">
        <is>
          <t>SR 1522</t>
        </is>
      </c>
      <c r="F267" t="inlineStr">
        <is>
          <t>US 158</t>
        </is>
      </c>
      <c r="G267" t="inlineStr">
        <is>
          <t>SR 1521</t>
        </is>
      </c>
      <c r="H267">
        <v>3.289</v>
      </c>
      <c r="J267" s="604" t="inlineStr">
        <is>
          <t>NIS</t>
        </is>
      </c>
      <c r="K267">
        <v>107210034</v>
      </c>
      <c r="L267" s="2">
        <v>44936</v>
      </c>
      <c r="M267">
        <v>17</v>
      </c>
      <c r="N267">
        <v>1</v>
      </c>
      <c r="O267">
        <v>0</v>
      </c>
      <c r="P267">
        <v>5</v>
      </c>
      <c r="Q267" t="inlineStr">
        <is>
          <t>O</t>
        </is>
      </c>
    </row>
    <row r="268">
      <c r="A268" t="inlineStr">
        <is>
          <t>RURAL</t>
        </is>
      </c>
      <c r="B268" t="inlineStr">
        <is>
          <t>SR 1522</t>
        </is>
      </c>
      <c r="C268">
        <v>0.1</v>
      </c>
      <c r="D268" t="inlineStr">
        <is>
          <t>W</t>
        </is>
      </c>
      <c r="E268" t="inlineStr">
        <is>
          <t>SR 1533</t>
        </is>
      </c>
      <c r="F268" t="inlineStr">
        <is>
          <t>SR 1304</t>
        </is>
      </c>
      <c r="G268" t="inlineStr">
        <is>
          <t>SR 1522</t>
        </is>
      </c>
      <c r="H268">
        <v>4.006</v>
      </c>
      <c r="J268" s="604" t="inlineStr">
        <is>
          <t>NIS</t>
        </is>
      </c>
      <c r="K268">
        <v>107216920</v>
      </c>
      <c r="L268" s="2">
        <v>44943</v>
      </c>
      <c r="M268">
        <v>19</v>
      </c>
      <c r="N268">
        <v>3</v>
      </c>
      <c r="O268">
        <v>0</v>
      </c>
      <c r="P268">
        <v>5</v>
      </c>
      <c r="Q268" t="inlineStr">
        <is>
          <t>O</t>
        </is>
      </c>
    </row>
    <row r="269">
      <c r="A269" t="inlineStr">
        <is>
          <t>OXFORD</t>
        </is>
      </c>
      <c r="B269" t="inlineStr">
        <is>
          <t>SR 1522</t>
        </is>
      </c>
      <c r="C269">
        <v>0.0</v>
      </c>
      <c r="D269" t="inlineStr">
        <is>
          <t>S</t>
        </is>
      </c>
      <c r="E269" t="inlineStr">
        <is>
          <t>SR 1195</t>
        </is>
      </c>
      <c r="F269" t="inlineStr">
        <is>
          <t>US 158</t>
        </is>
      </c>
      <c r="G269" t="inlineStr">
        <is>
          <t>SR 1522</t>
        </is>
      </c>
      <c r="H269">
        <v>999.999</v>
      </c>
      <c r="J269" s="604" t="inlineStr">
        <is>
          <t>NIS</t>
        </is>
      </c>
      <c r="K269">
        <v>107219393</v>
      </c>
      <c r="L269" s="2">
        <v>44943</v>
      </c>
      <c r="M269">
        <v>21</v>
      </c>
      <c r="N269">
        <v>2</v>
      </c>
      <c r="O269">
        <v>7</v>
      </c>
      <c r="P269">
        <v>1</v>
      </c>
      <c r="Q269" t="inlineStr">
        <is>
          <t>C</t>
        </is>
      </c>
    </row>
    <row r="270">
      <c r="A270" t="inlineStr">
        <is>
          <t>RURAL</t>
        </is>
      </c>
      <c r="B270" t="inlineStr">
        <is>
          <t>US 158</t>
        </is>
      </c>
      <c r="C270">
        <v>0.0</v>
      </c>
      <c r="E270" t="inlineStr">
        <is>
          <t>SR 1602</t>
        </is>
      </c>
      <c r="F270" t="inlineStr">
        <is>
          <t>US 158BUS</t>
        </is>
      </c>
      <c r="G270" t="inlineStr">
        <is>
          <t>US 158</t>
        </is>
      </c>
      <c r="H270">
        <v>999.999</v>
      </c>
      <c r="J270" s="604" t="inlineStr">
        <is>
          <t>NIS</t>
        </is>
      </c>
      <c r="K270">
        <v>107219725</v>
      </c>
      <c r="L270" s="2">
        <v>44946</v>
      </c>
      <c r="M270">
        <v>30</v>
      </c>
      <c r="N270">
        <v>1</v>
      </c>
      <c r="O270">
        <v>7</v>
      </c>
      <c r="P270">
        <v>1</v>
      </c>
      <c r="Q270" t="inlineStr">
        <is>
          <t>O</t>
        </is>
      </c>
      <c r="R270">
        <v>36.31287</v>
      </c>
      <c r="S270">
        <v>-78.55065</v>
      </c>
      <c r="T270" t="inlineStr">
        <is>
          <t>DMV349CLEANED</t>
        </is>
      </c>
      <c r="V270">
        <v>2.051516268329768</v>
      </c>
    </row>
    <row r="271">
      <c r="A271" t="inlineStr">
        <is>
          <t>OXFORD</t>
        </is>
      </c>
      <c r="B271" t="inlineStr">
        <is>
          <t>MAIN</t>
        </is>
      </c>
      <c r="C271">
        <v>0.0</v>
      </c>
      <c r="E271" t="inlineStr">
        <is>
          <t>COURT</t>
        </is>
      </c>
      <c r="F271" t="inlineStr">
        <is>
          <t>WILLIAMSBORO</t>
        </is>
      </c>
      <c r="G271" t="inlineStr">
        <is>
          <t>SR 1602</t>
        </is>
      </c>
      <c r="H271">
        <v>1.477</v>
      </c>
      <c r="J271" s="604" t="inlineStr">
        <is>
          <t>NIS</t>
        </is>
      </c>
      <c r="K271">
        <v>107223842</v>
      </c>
      <c r="L271" s="2">
        <v>44951</v>
      </c>
      <c r="M271">
        <v>31</v>
      </c>
      <c r="N271">
        <v>2</v>
      </c>
      <c r="O271">
        <v>0</v>
      </c>
      <c r="P271">
        <v>1</v>
      </c>
      <c r="Q271" t="inlineStr">
        <is>
          <t>O</t>
        </is>
      </c>
    </row>
    <row r="272">
      <c r="A272" t="inlineStr">
        <is>
          <t>CREEDMOOR</t>
        </is>
      </c>
      <c r="B272" t="inlineStr">
        <is>
          <t>NC 56</t>
        </is>
      </c>
      <c r="C272">
        <v>0.0</v>
      </c>
      <c r="E272" t="inlineStr">
        <is>
          <t>MAIN</t>
        </is>
      </c>
      <c r="F272" t="inlineStr">
        <is>
          <t>*LCL CRESENT HEIGHTS DRIVE</t>
        </is>
      </c>
      <c r="G272" t="inlineStr">
        <is>
          <t>NC 50</t>
        </is>
      </c>
      <c r="H272">
        <v>3.284</v>
      </c>
      <c r="J272" s="604" t="inlineStr">
        <is>
          <t>NIS</t>
        </is>
      </c>
      <c r="K272">
        <v>107265352</v>
      </c>
      <c r="L272" s="2">
        <v>44979</v>
      </c>
      <c r="M272">
        <v>21</v>
      </c>
      <c r="N272">
        <v>1</v>
      </c>
      <c r="O272">
        <v>0</v>
      </c>
      <c r="P272">
        <v>1</v>
      </c>
      <c r="Q272" t="inlineStr">
        <is>
          <t>O</t>
        </is>
      </c>
    </row>
    <row r="273">
      <c r="A273" t="inlineStr">
        <is>
          <t>CREEDMOOR</t>
        </is>
      </c>
      <c r="B273" t="inlineStr">
        <is>
          <t>PVA MAIN STREET</t>
        </is>
      </c>
      <c r="C273">
        <v>0.0</v>
      </c>
      <c r="E273" t="inlineStr">
        <is>
          <t>MAIN</t>
        </is>
      </c>
      <c r="F273" t="inlineStr">
        <is>
          <t>LION</t>
        </is>
      </c>
      <c r="G273" t="inlineStr">
        <is>
          <t>SR 1127</t>
        </is>
      </c>
      <c r="H273">
        <v>5.073</v>
      </c>
      <c r="J273" s="604" t="inlineStr">
        <is>
          <t>NIS</t>
        </is>
      </c>
      <c r="K273">
        <v>107265353</v>
      </c>
      <c r="L273" s="2">
        <v>44984</v>
      </c>
      <c r="M273">
        <v>30</v>
      </c>
      <c r="N273">
        <v>1</v>
      </c>
      <c r="O273">
        <v>0</v>
      </c>
      <c r="P273">
        <v>1</v>
      </c>
      <c r="Q273" t="inlineStr">
        <is>
          <t>O</t>
        </is>
      </c>
    </row>
    <row r="274">
      <c r="A274" t="inlineStr">
        <is>
          <t>OXFORD</t>
        </is>
      </c>
      <c r="B274" t="inlineStr">
        <is>
          <t>PVA HICKS GYM</t>
        </is>
      </c>
      <c r="C274">
        <v>0.0</v>
      </c>
      <c r="E274" t="inlineStr">
        <is>
          <t>SPRING</t>
        </is>
      </c>
      <c r="F274" t="inlineStr">
        <is>
          <t>COOPER</t>
        </is>
      </c>
      <c r="H274">
        <v>999.999</v>
      </c>
      <c r="J274" s="604" t="inlineStr">
        <is>
          <t>NIS</t>
        </is>
      </c>
      <c r="K274">
        <v>107268202</v>
      </c>
      <c r="L274" s="2">
        <v>44997</v>
      </c>
      <c r="M274">
        <v>32</v>
      </c>
      <c r="N274">
        <v>1</v>
      </c>
      <c r="O274">
        <v>0</v>
      </c>
      <c r="P274">
        <v>1</v>
      </c>
      <c r="Q274" t="inlineStr">
        <is>
          <t>O</t>
        </is>
      </c>
    </row>
    <row r="275">
      <c r="A275" t="inlineStr">
        <is>
          <t>RURAL</t>
        </is>
      </c>
      <c r="B275" t="inlineStr">
        <is>
          <t>US 158</t>
        </is>
      </c>
      <c r="C275">
        <v>0.0</v>
      </c>
      <c r="E275" t="inlineStr">
        <is>
          <t>SR 1522</t>
        </is>
      </c>
      <c r="F275" t="inlineStr">
        <is>
          <t>SR 1515</t>
        </is>
      </c>
      <c r="G275" t="inlineStr">
        <is>
          <t>US 158</t>
        </is>
      </c>
      <c r="H275">
        <v>14.055</v>
      </c>
      <c r="J275" s="604" t="inlineStr">
        <is>
          <t>NIS</t>
        </is>
      </c>
      <c r="K275">
        <v>107279987</v>
      </c>
      <c r="L275" s="2">
        <v>45007</v>
      </c>
      <c r="M275">
        <v>23</v>
      </c>
      <c r="N275">
        <v>1</v>
      </c>
      <c r="O275">
        <v>7</v>
      </c>
      <c r="P275">
        <v>1</v>
      </c>
      <c r="Q275" t="inlineStr">
        <is>
          <t>O</t>
        </is>
      </c>
    </row>
    <row r="276">
      <c r="A276" t="inlineStr">
        <is>
          <t>RURAL</t>
        </is>
      </c>
      <c r="B276" t="inlineStr">
        <is>
          <t>US 158</t>
        </is>
      </c>
      <c r="C276">
        <v>0.0</v>
      </c>
      <c r="E276" t="inlineStr">
        <is>
          <t>SR 1522</t>
        </is>
      </c>
      <c r="F276" t="inlineStr">
        <is>
          <t>SR 1515</t>
        </is>
      </c>
      <c r="G276" t="inlineStr">
        <is>
          <t>US 158</t>
        </is>
      </c>
      <c r="H276">
        <v>14.055</v>
      </c>
      <c r="J276" s="604" t="inlineStr">
        <is>
          <t>NIS</t>
        </is>
      </c>
      <c r="K276">
        <v>107286901</v>
      </c>
      <c r="L276" s="2">
        <v>45013</v>
      </c>
      <c r="M276">
        <v>30</v>
      </c>
      <c r="N276">
        <v>1</v>
      </c>
      <c r="O276">
        <v>7</v>
      </c>
      <c r="P276">
        <v>1</v>
      </c>
      <c r="Q276" t="inlineStr">
        <is>
          <t>B</t>
        </is>
      </c>
    </row>
    <row r="277">
      <c r="A277" t="inlineStr">
        <is>
          <t>RURAL</t>
        </is>
      </c>
      <c r="B277" t="inlineStr">
        <is>
          <t>US 158</t>
        </is>
      </c>
      <c r="C277">
        <v>0.0</v>
      </c>
      <c r="E277" t="inlineStr">
        <is>
          <t>SR 1522</t>
        </is>
      </c>
      <c r="G277" t="inlineStr">
        <is>
          <t>US 158</t>
        </is>
      </c>
      <c r="H277">
        <v>14.055</v>
      </c>
      <c r="J277" s="604" t="inlineStr">
        <is>
          <t>NIS</t>
        </is>
      </c>
      <c r="K277">
        <v>107321539</v>
      </c>
      <c r="L277" s="2">
        <v>45037</v>
      </c>
      <c r="M277">
        <v>23</v>
      </c>
      <c r="N277">
        <v>1</v>
      </c>
      <c r="O277">
        <v>7</v>
      </c>
      <c r="P277">
        <v>1</v>
      </c>
      <c r="Q277" t="inlineStr">
        <is>
          <t>O</t>
        </is>
      </c>
    </row>
    <row r="278">
      <c r="A278" t="inlineStr">
        <is>
          <t>OXFORD</t>
        </is>
      </c>
      <c r="B278" t="inlineStr">
        <is>
          <t>SPRING</t>
        </is>
      </c>
      <c r="C278">
        <v>0.0</v>
      </c>
      <c r="E278" t="inlineStr">
        <is>
          <t>LEWIS</t>
        </is>
      </c>
      <c r="F278" t="inlineStr">
        <is>
          <t>MAPLE</t>
        </is>
      </c>
      <c r="G278" t="inlineStr">
        <is>
          <t>SPRING</t>
        </is>
      </c>
      <c r="H278">
        <v>999.999</v>
      </c>
      <c r="J278" s="604" t="inlineStr">
        <is>
          <t>NIS</t>
        </is>
      </c>
      <c r="K278">
        <v>107358288</v>
      </c>
      <c r="L278" s="2">
        <v>45070</v>
      </c>
      <c r="M278">
        <v>32</v>
      </c>
      <c r="N278">
        <v>1</v>
      </c>
      <c r="O278">
        <v>0</v>
      </c>
      <c r="P278">
        <v>1</v>
      </c>
      <c r="Q278" t="inlineStr">
        <is>
          <t>C</t>
        </is>
      </c>
    </row>
    <row r="279">
      <c r="A279" t="inlineStr">
        <is>
          <t>OXFORD</t>
        </is>
      </c>
      <c r="B279" t="inlineStr">
        <is>
          <t>PVA COURT ST</t>
        </is>
      </c>
      <c r="C279">
        <v>0.0</v>
      </c>
      <c r="E279" t="inlineStr">
        <is>
          <t>MAIN</t>
        </is>
      </c>
      <c r="F279" t="inlineStr">
        <is>
          <t>MAIN</t>
        </is>
      </c>
      <c r="G279" t="inlineStr">
        <is>
          <t>SR 1602</t>
        </is>
      </c>
      <c r="H279">
        <v>1.477</v>
      </c>
      <c r="J279" s="604" t="inlineStr">
        <is>
          <t>NIS</t>
        </is>
      </c>
      <c r="K279">
        <v>107358296</v>
      </c>
      <c r="L279" s="2">
        <v>45071</v>
      </c>
      <c r="M279">
        <v>20</v>
      </c>
      <c r="N279">
        <v>1</v>
      </c>
      <c r="O279">
        <v>0</v>
      </c>
      <c r="P279">
        <v>1</v>
      </c>
    </row>
    <row r="280">
      <c r="A280" t="inlineStr">
        <is>
          <t>RURAL</t>
        </is>
      </c>
      <c r="B280" t="inlineStr">
        <is>
          <t>US 158</t>
        </is>
      </c>
      <c r="C280">
        <v>0.0</v>
      </c>
      <c r="E280" t="inlineStr">
        <is>
          <t>SR 1522</t>
        </is>
      </c>
      <c r="G280" t="inlineStr">
        <is>
          <t>US 158</t>
        </is>
      </c>
      <c r="H280">
        <v>14.055</v>
      </c>
      <c r="J280" s="604" t="inlineStr">
        <is>
          <t>NIS</t>
        </is>
      </c>
      <c r="K280">
        <v>107364884</v>
      </c>
      <c r="L280" s="2">
        <v>45084</v>
      </c>
      <c r="M280">
        <v>26</v>
      </c>
      <c r="N280">
        <v>2</v>
      </c>
      <c r="O280">
        <v>7</v>
      </c>
      <c r="P280">
        <v>1</v>
      </c>
      <c r="Q280" t="inlineStr">
        <is>
          <t>O</t>
        </is>
      </c>
    </row>
    <row r="281">
      <c r="A281" t="inlineStr">
        <is>
          <t>OXFORD</t>
        </is>
      </c>
      <c r="B281" t="inlineStr">
        <is>
          <t>MAIN</t>
        </is>
      </c>
      <c r="C281">
        <v>0.0</v>
      </c>
      <c r="E281" t="inlineStr">
        <is>
          <t>COURT</t>
        </is>
      </c>
      <c r="F281" t="inlineStr">
        <is>
          <t>WILLIAMSBORO</t>
        </is>
      </c>
      <c r="G281" t="inlineStr">
        <is>
          <t>SR 1602</t>
        </is>
      </c>
      <c r="H281">
        <v>1.477</v>
      </c>
      <c r="J281" s="604" t="inlineStr">
        <is>
          <t>NIS</t>
        </is>
      </c>
      <c r="K281">
        <v>107361796</v>
      </c>
      <c r="L281" s="2">
        <v>45087</v>
      </c>
      <c r="M281">
        <v>21</v>
      </c>
      <c r="N281">
        <v>1</v>
      </c>
      <c r="O281">
        <v>0</v>
      </c>
      <c r="P281">
        <v>1</v>
      </c>
    </row>
    <row r="282">
      <c r="A282" t="inlineStr">
        <is>
          <t>RURAL</t>
        </is>
      </c>
      <c r="B282" t="inlineStr">
        <is>
          <t>US 158</t>
        </is>
      </c>
      <c r="C282">
        <v>0.0</v>
      </c>
      <c r="E282" t="inlineStr">
        <is>
          <t>SR 1602</t>
        </is>
      </c>
      <c r="F282" t="inlineStr">
        <is>
          <t>I 85</t>
        </is>
      </c>
      <c r="G282" t="inlineStr">
        <is>
          <t>US 158</t>
        </is>
      </c>
      <c r="H282">
        <v>999.999</v>
      </c>
      <c r="J282" s="604" t="inlineStr">
        <is>
          <t>NIS</t>
        </is>
      </c>
      <c r="K282">
        <v>107375014</v>
      </c>
      <c r="L282" s="2">
        <v>45096</v>
      </c>
      <c r="M282">
        <v>23</v>
      </c>
      <c r="N282">
        <v>2</v>
      </c>
      <c r="O282">
        <v>7</v>
      </c>
      <c r="P282">
        <v>1</v>
      </c>
      <c r="Q282" t="inlineStr">
        <is>
          <t>O</t>
        </is>
      </c>
      <c r="R282">
        <v>36.31334</v>
      </c>
      <c r="S282">
        <v>-78.55296</v>
      </c>
      <c r="T282" t="inlineStr">
        <is>
          <t>DMV349CLEANED</t>
        </is>
      </c>
      <c r="V282">
        <v>1.9271159683546826</v>
      </c>
    </row>
    <row r="283">
      <c r="A283" t="inlineStr">
        <is>
          <t>RURAL</t>
        </is>
      </c>
      <c r="B283" t="inlineStr">
        <is>
          <t>SR 1522</t>
        </is>
      </c>
      <c r="C283">
        <v>0.5</v>
      </c>
      <c r="D283" t="inlineStr">
        <is>
          <t>S</t>
        </is>
      </c>
      <c r="E283" t="inlineStr">
        <is>
          <t>SR 1525</t>
        </is>
      </c>
      <c r="F283" t="inlineStr">
        <is>
          <t>SR 1515</t>
        </is>
      </c>
      <c r="G283" t="inlineStr">
        <is>
          <t>SR 1522</t>
        </is>
      </c>
      <c r="H283">
        <v>1.984</v>
      </c>
      <c r="J283" s="604" t="inlineStr">
        <is>
          <t>NIS</t>
        </is>
      </c>
      <c r="K283">
        <v>107434441</v>
      </c>
      <c r="L283" s="2">
        <v>45146</v>
      </c>
      <c r="M283">
        <v>24</v>
      </c>
      <c r="N283">
        <v>1</v>
      </c>
      <c r="O283">
        <v>8</v>
      </c>
      <c r="P283">
        <v>1</v>
      </c>
      <c r="Q283" t="inlineStr">
        <is>
          <t>C</t>
        </is>
      </c>
    </row>
    <row r="284">
      <c r="A284" t="inlineStr">
        <is>
          <t>RURAL</t>
        </is>
      </c>
      <c r="B284" t="inlineStr">
        <is>
          <t>US 158</t>
        </is>
      </c>
      <c r="C284">
        <v>0.026</v>
      </c>
      <c r="D284" t="inlineStr">
        <is>
          <t>E</t>
        </is>
      </c>
      <c r="E284" t="inlineStr">
        <is>
          <t>SR 1602</t>
        </is>
      </c>
      <c r="F284" t="inlineStr">
        <is>
          <t>SR 1521</t>
        </is>
      </c>
      <c r="G284" t="inlineStr">
        <is>
          <t>US 158</t>
        </is>
      </c>
      <c r="H284">
        <v>999.999</v>
      </c>
      <c r="J284" s="604" t="inlineStr">
        <is>
          <t>NIS</t>
        </is>
      </c>
      <c r="K284">
        <v>107445952</v>
      </c>
      <c r="L284" s="2">
        <v>45170</v>
      </c>
      <c r="M284">
        <v>28</v>
      </c>
      <c r="N284">
        <v>1</v>
      </c>
      <c r="O284">
        <v>0</v>
      </c>
      <c r="P284">
        <v>1</v>
      </c>
      <c r="Q284" t="inlineStr">
        <is>
          <t>O</t>
        </is>
      </c>
      <c r="R284">
        <v>36.31347</v>
      </c>
      <c r="S284">
        <v>-78.55239</v>
      </c>
      <c r="T284" t="inlineStr">
        <is>
          <t>DMV349CLEANED</t>
        </is>
      </c>
      <c r="V284">
        <v>1.959698683234712</v>
      </c>
    </row>
    <row r="285">
      <c r="A285" t="inlineStr">
        <is>
          <t>OXFORD</t>
        </is>
      </c>
      <c r="B285" t="inlineStr">
        <is>
          <t>MARTIN LUTHER KING</t>
        </is>
      </c>
      <c r="C285">
        <v>0.0</v>
      </c>
      <c r="E285" t="inlineStr">
        <is>
          <t>SPRING</t>
        </is>
      </c>
      <c r="F285" t="inlineStr">
        <is>
          <t>HILLSBORO</t>
        </is>
      </c>
      <c r="G285" t="inlineStr">
        <is>
          <t>NC 96</t>
        </is>
      </c>
      <c r="H285">
        <v>17.59</v>
      </c>
      <c r="J285" s="604" t="inlineStr">
        <is>
          <t>NIS</t>
        </is>
      </c>
      <c r="K285">
        <v>107580773</v>
      </c>
      <c r="L285" s="2">
        <v>45195</v>
      </c>
      <c r="M285">
        <v>21</v>
      </c>
      <c r="N285">
        <v>1</v>
      </c>
      <c r="O285">
        <v>0</v>
      </c>
      <c r="P285">
        <v>1</v>
      </c>
      <c r="Q285" t="inlineStr">
        <is>
          <t>O</t>
        </is>
      </c>
    </row>
    <row r="286">
      <c r="A286" t="inlineStr">
        <is>
          <t>OXFORD</t>
        </is>
      </c>
      <c r="B286" t="inlineStr">
        <is>
          <t>LEWIS</t>
        </is>
      </c>
      <c r="C286">
        <v>0.0</v>
      </c>
      <c r="E286" t="inlineStr">
        <is>
          <t>SPRING</t>
        </is>
      </c>
      <c r="F286" t="inlineStr">
        <is>
          <t>SPRING</t>
        </is>
      </c>
      <c r="G286" t="inlineStr">
        <is>
          <t>US 15</t>
        </is>
      </c>
      <c r="H286">
        <v>20.498</v>
      </c>
      <c r="J286" s="604" t="inlineStr">
        <is>
          <t>NIS</t>
        </is>
      </c>
      <c r="K286">
        <v>107528341</v>
      </c>
      <c r="L286" s="2">
        <v>45237</v>
      </c>
      <c r="M286">
        <v>24</v>
      </c>
      <c r="N286">
        <v>1</v>
      </c>
      <c r="O286">
        <v>7</v>
      </c>
      <c r="P286">
        <v>1</v>
      </c>
      <c r="Q286" t="inlineStr">
        <is>
          <t>O</t>
        </is>
      </c>
    </row>
    <row r="287">
      <c r="A287" t="inlineStr">
        <is>
          <t>RURAL</t>
        </is>
      </c>
      <c r="B287" t="inlineStr">
        <is>
          <t>US 158</t>
        </is>
      </c>
      <c r="C287">
        <v>0.0</v>
      </c>
      <c r="E287" t="inlineStr">
        <is>
          <t>SR 1522</t>
        </is>
      </c>
      <c r="F287" t="inlineStr">
        <is>
          <t>SR 1515</t>
        </is>
      </c>
      <c r="G287" t="inlineStr">
        <is>
          <t>US 158</t>
        </is>
      </c>
      <c r="H287">
        <v>14.055</v>
      </c>
      <c r="J287" s="604" t="inlineStr">
        <is>
          <t>NIS</t>
        </is>
      </c>
      <c r="K287">
        <v>107522308</v>
      </c>
      <c r="L287" s="2">
        <v>45239</v>
      </c>
      <c r="M287">
        <v>30</v>
      </c>
      <c r="N287">
        <v>1</v>
      </c>
      <c r="O287">
        <v>7</v>
      </c>
      <c r="P287">
        <v>5</v>
      </c>
      <c r="Q287" t="inlineStr">
        <is>
          <t>B</t>
        </is>
      </c>
    </row>
    <row r="288">
      <c r="A288" t="inlineStr">
        <is>
          <t>OXFORD</t>
        </is>
      </c>
      <c r="B288" t="inlineStr">
        <is>
          <t>LEWIS</t>
        </is>
      </c>
      <c r="C288">
        <v>0.0</v>
      </c>
      <c r="E288" t="inlineStr">
        <is>
          <t>SPRING</t>
        </is>
      </c>
      <c r="F288" t="inlineStr">
        <is>
          <t>LEWIS</t>
        </is>
      </c>
      <c r="G288" t="inlineStr">
        <is>
          <t>US 15</t>
        </is>
      </c>
      <c r="H288">
        <v>20.498</v>
      </c>
      <c r="J288" s="604" t="inlineStr">
        <is>
          <t>NIS</t>
        </is>
      </c>
      <c r="K288">
        <v>107537539</v>
      </c>
      <c r="L288" s="2">
        <v>45248</v>
      </c>
      <c r="M288">
        <v>27</v>
      </c>
      <c r="N288">
        <v>1</v>
      </c>
      <c r="O288">
        <v>0</v>
      </c>
      <c r="P288">
        <v>4</v>
      </c>
      <c r="Q288" t="inlineStr">
        <is>
          <t>C</t>
        </is>
      </c>
    </row>
    <row r="289">
      <c r="A289" t="inlineStr">
        <is>
          <t>RURAL</t>
        </is>
      </c>
      <c r="B289" t="inlineStr">
        <is>
          <t>SR 1522</t>
        </is>
      </c>
      <c r="C289">
        <v>0.5</v>
      </c>
      <c r="D289" t="inlineStr">
        <is>
          <t>E</t>
        </is>
      </c>
      <c r="E289" t="inlineStr">
        <is>
          <t>SR 1533</t>
        </is>
      </c>
      <c r="F289" t="inlineStr">
        <is>
          <t>CL-VANCE</t>
        </is>
      </c>
      <c r="G289" t="inlineStr">
        <is>
          <t>SR 1522</t>
        </is>
      </c>
      <c r="H289">
        <v>4.606</v>
      </c>
      <c r="J289" s="604" t="inlineStr">
        <is>
          <t>NIS</t>
        </is>
      </c>
      <c r="K289">
        <v>107534530</v>
      </c>
      <c r="L289" s="2">
        <v>45249</v>
      </c>
      <c r="M289">
        <v>19</v>
      </c>
      <c r="N289">
        <v>1</v>
      </c>
      <c r="O289">
        <v>0</v>
      </c>
      <c r="P289">
        <v>1</v>
      </c>
      <c r="Q289" t="inlineStr">
        <is>
          <t>O</t>
        </is>
      </c>
    </row>
    <row r="290">
      <c r="A290" t="inlineStr">
        <is>
          <t>RURAL</t>
        </is>
      </c>
      <c r="B290" t="inlineStr">
        <is>
          <t>SR 1522</t>
        </is>
      </c>
      <c r="C290">
        <v>0.2</v>
      </c>
      <c r="D290" t="inlineStr">
        <is>
          <t>S</t>
        </is>
      </c>
      <c r="E290" t="inlineStr">
        <is>
          <t>SR 1515</t>
        </is>
      </c>
      <c r="F290" t="inlineStr">
        <is>
          <t>US 158</t>
        </is>
      </c>
      <c r="G290" t="inlineStr">
        <is>
          <t>SR 1522</t>
        </is>
      </c>
      <c r="H290">
        <v>1.008</v>
      </c>
      <c r="J290" s="604" t="inlineStr">
        <is>
          <t>NIS</t>
        </is>
      </c>
      <c r="K290">
        <v>107555740</v>
      </c>
      <c r="L290" s="2">
        <v>45258</v>
      </c>
      <c r="M290">
        <v>21</v>
      </c>
      <c r="N290">
        <v>1</v>
      </c>
      <c r="O290">
        <v>0</v>
      </c>
      <c r="P290">
        <v>1</v>
      </c>
      <c r="Q290" t="inlineStr">
        <is>
          <t>O</t>
        </is>
      </c>
    </row>
    <row r="291">
      <c r="A291" t="inlineStr">
        <is>
          <t>OXFORD</t>
        </is>
      </c>
      <c r="B291" t="inlineStr">
        <is>
          <t>SPRING</t>
        </is>
      </c>
      <c r="C291">
        <v>0.0</v>
      </c>
      <c r="E291" t="inlineStr">
        <is>
          <t>GRANVILLE</t>
        </is>
      </c>
      <c r="F291" t="inlineStr">
        <is>
          <t>ORANGE</t>
        </is>
      </c>
      <c r="G291" t="inlineStr">
        <is>
          <t>SPRING</t>
        </is>
      </c>
      <c r="H291">
        <v>0.09</v>
      </c>
      <c r="J291" s="604" t="inlineStr">
        <is>
          <t>NIS</t>
        </is>
      </c>
      <c r="K291">
        <v>107575368</v>
      </c>
      <c r="L291" s="2">
        <v>45265</v>
      </c>
      <c r="M291">
        <v>32</v>
      </c>
      <c r="N291">
        <v>1</v>
      </c>
      <c r="O291">
        <v>0</v>
      </c>
      <c r="P291">
        <v>2</v>
      </c>
      <c r="Q291" t="inlineStr">
        <is>
          <t>C</t>
        </is>
      </c>
    </row>
    <row r="292">
      <c r="A292" t="inlineStr">
        <is>
          <t>RURAL</t>
        </is>
      </c>
      <c r="B292" t="inlineStr">
        <is>
          <t>US 158</t>
        </is>
      </c>
      <c r="C292">
        <v>0.0</v>
      </c>
      <c r="E292" t="inlineStr">
        <is>
          <t>SR 1602</t>
        </is>
      </c>
      <c r="F292" t="inlineStr">
        <is>
          <t>SR 1521</t>
        </is>
      </c>
      <c r="G292" t="inlineStr">
        <is>
          <t>US 158</t>
        </is>
      </c>
      <c r="H292">
        <v>999.999</v>
      </c>
      <c r="J292" s="604" t="inlineStr">
        <is>
          <t>NIS</t>
        </is>
      </c>
      <c r="K292">
        <v>107573677</v>
      </c>
      <c r="L292" s="2">
        <v>45276</v>
      </c>
      <c r="M292">
        <v>30</v>
      </c>
      <c r="N292">
        <v>1</v>
      </c>
      <c r="O292">
        <v>7</v>
      </c>
      <c r="P292">
        <v>1</v>
      </c>
      <c r="Q292" t="inlineStr">
        <is>
          <t>B</t>
        </is>
      </c>
      <c r="R292">
        <v>36.31333</v>
      </c>
      <c r="S292">
        <v>-78.55307</v>
      </c>
      <c r="T292" t="inlineStr">
        <is>
          <t>DMV349CLEANED</t>
        </is>
      </c>
      <c r="V292">
        <v>1.9209530182706198</v>
      </c>
    </row>
    <row r="293">
      <c r="A293" t="inlineStr">
        <is>
          <t>CREEDMOOR</t>
        </is>
      </c>
      <c r="B293" t="inlineStr">
        <is>
          <t>MAIN</t>
        </is>
      </c>
      <c r="C293">
        <v>0.01</v>
      </c>
      <c r="D293" t="inlineStr">
        <is>
          <t>N</t>
        </is>
      </c>
      <c r="E293" t="inlineStr">
        <is>
          <t>MAIN</t>
        </is>
      </c>
      <c r="F293" t="inlineStr">
        <is>
          <t>MOSS</t>
        </is>
      </c>
      <c r="G293" t="inlineStr">
        <is>
          <t>SR 1127</t>
        </is>
      </c>
      <c r="H293">
        <v>5.083</v>
      </c>
      <c r="J293" s="604" t="inlineStr">
        <is>
          <t>NIS</t>
        </is>
      </c>
      <c r="K293">
        <v>107809369</v>
      </c>
      <c r="L293" s="2">
        <v>45300</v>
      </c>
      <c r="M293">
        <v>21</v>
      </c>
      <c r="N293">
        <v>2</v>
      </c>
      <c r="P293">
        <v>1</v>
      </c>
      <c r="Q293" t="inlineStr">
        <is>
          <t>O</t>
        </is>
      </c>
    </row>
    <row r="294">
      <c r="A294" t="inlineStr">
        <is>
          <t>OXFORD</t>
        </is>
      </c>
      <c r="B294" t="inlineStr">
        <is>
          <t>HILLSBORO</t>
        </is>
      </c>
      <c r="C294">
        <v>0.0</v>
      </c>
      <c r="E294" t="inlineStr">
        <is>
          <t>SPRING</t>
        </is>
      </c>
      <c r="F294" t="inlineStr">
        <is>
          <t>CHURCH</t>
        </is>
      </c>
      <c r="G294" t="inlineStr">
        <is>
          <t>SR 1004</t>
        </is>
      </c>
      <c r="H294">
        <v>17.824</v>
      </c>
      <c r="J294" s="604" t="inlineStr">
        <is>
          <t>NIS</t>
        </is>
      </c>
      <c r="K294">
        <v>107611249</v>
      </c>
      <c r="L294" s="2">
        <v>45317</v>
      </c>
      <c r="M294">
        <v>21</v>
      </c>
      <c r="N294">
        <v>2</v>
      </c>
      <c r="O294">
        <v>0</v>
      </c>
      <c r="P294">
        <v>4</v>
      </c>
      <c r="Q294" t="inlineStr">
        <is>
          <t>O</t>
        </is>
      </c>
    </row>
    <row r="295">
      <c r="A295" t="inlineStr">
        <is>
          <t>RURAL</t>
        </is>
      </c>
      <c r="B295" t="inlineStr">
        <is>
          <t>SR 1522</t>
        </is>
      </c>
      <c r="C295">
        <v>0.0</v>
      </c>
      <c r="E295" t="inlineStr">
        <is>
          <t>SR 1195</t>
        </is>
      </c>
      <c r="F295" t="inlineStr">
        <is>
          <t>US 15</t>
        </is>
      </c>
      <c r="G295" t="inlineStr">
        <is>
          <t>SR 1522</t>
        </is>
      </c>
      <c r="H295">
        <v>999.999</v>
      </c>
      <c r="J295" s="604" t="inlineStr">
        <is>
          <t>NIS</t>
        </is>
      </c>
      <c r="K295">
        <v>107609658</v>
      </c>
      <c r="L295" s="2">
        <v>45321</v>
      </c>
      <c r="M295">
        <v>21</v>
      </c>
      <c r="N295">
        <v>1</v>
      </c>
      <c r="O295">
        <v>7</v>
      </c>
      <c r="P295">
        <v>1</v>
      </c>
      <c r="Q295" t="inlineStr">
        <is>
          <t>C</t>
        </is>
      </c>
    </row>
    <row r="296">
      <c r="A296" t="inlineStr">
        <is>
          <t>RURAL</t>
        </is>
      </c>
      <c r="B296" t="inlineStr">
        <is>
          <t>US 158</t>
        </is>
      </c>
      <c r="C296">
        <v>0.0</v>
      </c>
      <c r="E296" t="inlineStr">
        <is>
          <t>SR 1522</t>
        </is>
      </c>
      <c r="F296" t="inlineStr">
        <is>
          <t>SR 1515</t>
        </is>
      </c>
      <c r="G296" t="inlineStr">
        <is>
          <t>US 158</t>
        </is>
      </c>
      <c r="H296">
        <v>14.055</v>
      </c>
      <c r="J296" s="604" t="inlineStr">
        <is>
          <t>NIS</t>
        </is>
      </c>
      <c r="K296">
        <v>107636167</v>
      </c>
      <c r="L296" s="2">
        <v>45347</v>
      </c>
      <c r="M296">
        <v>28</v>
      </c>
      <c r="N296">
        <v>1</v>
      </c>
      <c r="O296">
        <v>7</v>
      </c>
      <c r="P296">
        <v>1</v>
      </c>
      <c r="Q296" t="inlineStr">
        <is>
          <t>O</t>
        </is>
      </c>
    </row>
    <row r="297">
      <c r="A297" t="inlineStr">
        <is>
          <t>RURAL</t>
        </is>
      </c>
      <c r="B297" t="inlineStr">
        <is>
          <t>SR 1602</t>
        </is>
      </c>
      <c r="C297">
        <v>1.0</v>
      </c>
      <c r="D297" t="inlineStr">
        <is>
          <t>S</t>
        </is>
      </c>
      <c r="E297" t="inlineStr">
        <is>
          <t>SR 1613</t>
        </is>
      </c>
      <c r="F297" t="inlineStr">
        <is>
          <t>SR 1617</t>
        </is>
      </c>
      <c r="G297" t="inlineStr">
        <is>
          <t>SR 1602</t>
        </is>
      </c>
      <c r="H297">
        <v>999.999</v>
      </c>
      <c r="J297" s="604" t="inlineStr">
        <is>
          <t>NIS</t>
        </is>
      </c>
      <c r="K297">
        <v>107663764</v>
      </c>
      <c r="L297" s="2">
        <v>45367</v>
      </c>
      <c r="M297">
        <v>28</v>
      </c>
      <c r="N297">
        <v>1</v>
      </c>
      <c r="O297">
        <v>0</v>
      </c>
      <c r="P297">
        <v>1</v>
      </c>
      <c r="Q297" t="inlineStr">
        <is>
          <t>C</t>
        </is>
      </c>
      <c r="R297">
        <v>36.2388</v>
      </c>
      <c r="S297">
        <v>-78.55445</v>
      </c>
      <c r="T297" t="inlineStr">
        <is>
          <t>DMV349CLEANED</t>
        </is>
      </c>
      <c r="V297">
        <v>5.25103315665696</v>
      </c>
    </row>
    <row r="298">
      <c r="A298" t="inlineStr">
        <is>
          <t>OXFORD</t>
        </is>
      </c>
      <c r="B298" t="inlineStr">
        <is>
          <t>SPRING</t>
        </is>
      </c>
      <c r="C298">
        <v>0.0</v>
      </c>
      <c r="E298" t="inlineStr">
        <is>
          <t>GRANVILLE</t>
        </is>
      </c>
      <c r="F298" t="inlineStr">
        <is>
          <t>MARTIN LUTHER KING</t>
        </is>
      </c>
      <c r="G298" t="inlineStr">
        <is>
          <t>SPRING</t>
        </is>
      </c>
      <c r="H298">
        <v>0.09</v>
      </c>
      <c r="J298" s="604" t="inlineStr">
        <is>
          <t>NIS</t>
        </is>
      </c>
      <c r="K298">
        <v>107674223</v>
      </c>
      <c r="L298" s="2">
        <v>45372</v>
      </c>
      <c r="M298">
        <v>28</v>
      </c>
      <c r="N298">
        <v>1</v>
      </c>
      <c r="O298">
        <v>0</v>
      </c>
      <c r="P298">
        <v>1</v>
      </c>
      <c r="Q298" t="inlineStr">
        <is>
          <t>O</t>
        </is>
      </c>
    </row>
    <row r="299">
      <c r="A299" t="inlineStr">
        <is>
          <t>RURAL</t>
        </is>
      </c>
      <c r="B299" t="inlineStr">
        <is>
          <t>SR 1522</t>
        </is>
      </c>
      <c r="C299">
        <v>0.0</v>
      </c>
      <c r="E299" t="inlineStr">
        <is>
          <t>US 158</t>
        </is>
      </c>
      <c r="F299" t="inlineStr">
        <is>
          <t>US 15</t>
        </is>
      </c>
      <c r="G299" t="inlineStr">
        <is>
          <t>SR 1522</t>
        </is>
      </c>
      <c r="H299">
        <v>0.882</v>
      </c>
      <c r="J299" s="604" t="inlineStr">
        <is>
          <t>NIS</t>
        </is>
      </c>
      <c r="K299">
        <v>107684903</v>
      </c>
      <c r="L299" s="2">
        <v>45393</v>
      </c>
      <c r="M299">
        <v>25</v>
      </c>
      <c r="N299">
        <v>1</v>
      </c>
      <c r="O299">
        <v>7</v>
      </c>
      <c r="P299">
        <v>1</v>
      </c>
      <c r="Q299" t="inlineStr">
        <is>
          <t>O</t>
        </is>
      </c>
    </row>
    <row r="300">
      <c r="A300" t="inlineStr">
        <is>
          <t>RURAL</t>
        </is>
      </c>
      <c r="B300" t="inlineStr">
        <is>
          <t>US 158</t>
        </is>
      </c>
      <c r="C300">
        <v>0.0</v>
      </c>
      <c r="E300" t="inlineStr">
        <is>
          <t>SR 1522</t>
        </is>
      </c>
      <c r="F300" t="inlineStr">
        <is>
          <t>US 15</t>
        </is>
      </c>
      <c r="G300" t="inlineStr">
        <is>
          <t>US 158</t>
        </is>
      </c>
      <c r="H300">
        <v>14.055</v>
      </c>
      <c r="J300" s="604" t="inlineStr">
        <is>
          <t>NIS</t>
        </is>
      </c>
      <c r="K300">
        <v>107684984</v>
      </c>
      <c r="L300" s="2">
        <v>45393</v>
      </c>
      <c r="M300">
        <v>21</v>
      </c>
      <c r="N300">
        <v>1</v>
      </c>
      <c r="O300">
        <v>7</v>
      </c>
      <c r="P300">
        <v>1</v>
      </c>
      <c r="Q300" t="inlineStr">
        <is>
          <t>O</t>
        </is>
      </c>
    </row>
    <row r="301">
      <c r="A301" t="inlineStr">
        <is>
          <t>CREEDMOOR</t>
        </is>
      </c>
      <c r="B301" t="inlineStr">
        <is>
          <t>PVA MAIN ST</t>
        </is>
      </c>
      <c r="C301">
        <v>0.25</v>
      </c>
      <c r="D301" t="inlineStr">
        <is>
          <t>S</t>
        </is>
      </c>
      <c r="E301" t="inlineStr">
        <is>
          <t>CHURCH</t>
        </is>
      </c>
      <c r="F301" t="inlineStr">
        <is>
          <t>*LCL NC-50</t>
        </is>
      </c>
      <c r="G301" t="inlineStr">
        <is>
          <t>NC 50</t>
        </is>
      </c>
      <c r="H301">
        <v>2.618</v>
      </c>
      <c r="J301" s="604" t="inlineStr">
        <is>
          <t>NIS</t>
        </is>
      </c>
      <c r="K301">
        <v>107769572</v>
      </c>
      <c r="L301" s="2">
        <v>45444</v>
      </c>
      <c r="M301">
        <v>21</v>
      </c>
      <c r="N301">
        <v>1</v>
      </c>
      <c r="O301">
        <v>25</v>
      </c>
      <c r="P301">
        <v>1</v>
      </c>
      <c r="Q301" t="inlineStr">
        <is>
          <t>O</t>
        </is>
      </c>
    </row>
    <row r="302">
      <c r="A302" t="inlineStr">
        <is>
          <t>OXFORD</t>
        </is>
      </c>
      <c r="B302" t="inlineStr">
        <is>
          <t>MARTIN LUTHER KING</t>
        </is>
      </c>
      <c r="C302">
        <v>0.0</v>
      </c>
      <c r="E302" t="inlineStr">
        <is>
          <t>SPRING</t>
        </is>
      </c>
      <c r="F302" t="inlineStr">
        <is>
          <t>HILLSBORO</t>
        </is>
      </c>
      <c r="G302" t="inlineStr">
        <is>
          <t>NC 96</t>
        </is>
      </c>
      <c r="H302">
        <v>17.59</v>
      </c>
      <c r="J302" s="604" t="inlineStr">
        <is>
          <t>NIS</t>
        </is>
      </c>
      <c r="K302">
        <v>107751515</v>
      </c>
      <c r="L302" s="2">
        <v>45457</v>
      </c>
      <c r="M302">
        <v>30</v>
      </c>
      <c r="N302">
        <v>1</v>
      </c>
      <c r="O302">
        <v>0</v>
      </c>
      <c r="P302">
        <v>1</v>
      </c>
      <c r="Q302" t="inlineStr">
        <is>
          <t>O</t>
        </is>
      </c>
    </row>
    <row r="303">
      <c r="A303" t="inlineStr">
        <is>
          <t>OXFORD</t>
        </is>
      </c>
      <c r="B303" t="inlineStr">
        <is>
          <t>SALEM</t>
        </is>
      </c>
      <c r="C303">
        <v>0.2</v>
      </c>
      <c r="D303" t="inlineStr">
        <is>
          <t>NE</t>
        </is>
      </c>
      <c r="E303" t="inlineStr">
        <is>
          <t>WILLIAMSBORO</t>
        </is>
      </c>
      <c r="F303" t="inlineStr">
        <is>
          <t>OXFORD</t>
        </is>
      </c>
      <c r="H303">
        <v>999.999</v>
      </c>
      <c r="J303" s="604" t="inlineStr">
        <is>
          <t>NIS</t>
        </is>
      </c>
      <c r="K303">
        <v>107762881</v>
      </c>
      <c r="L303" s="2">
        <v>45459</v>
      </c>
      <c r="M303">
        <v>1</v>
      </c>
      <c r="N303">
        <v>1</v>
      </c>
      <c r="O303">
        <v>0</v>
      </c>
      <c r="P303">
        <v>1</v>
      </c>
      <c r="Q303" t="inlineStr">
        <is>
          <t>O</t>
        </is>
      </c>
    </row>
    <row r="304">
      <c r="A304" t="inlineStr">
        <is>
          <t>OXFORD</t>
        </is>
      </c>
      <c r="B304" t="inlineStr">
        <is>
          <t>MARTIN LUTHER KING</t>
        </is>
      </c>
      <c r="C304">
        <v>0.0</v>
      </c>
      <c r="E304" t="inlineStr">
        <is>
          <t>SPRING</t>
        </is>
      </c>
      <c r="F304" t="inlineStr">
        <is>
          <t>GRANVILLE</t>
        </is>
      </c>
      <c r="G304" t="inlineStr">
        <is>
          <t>NC 96</t>
        </is>
      </c>
      <c r="H304">
        <v>17.59</v>
      </c>
      <c r="J304" s="604" t="inlineStr">
        <is>
          <t>NIS</t>
        </is>
      </c>
      <c r="K304">
        <v>107781271</v>
      </c>
      <c r="L304" s="2">
        <v>45473</v>
      </c>
      <c r="M304">
        <v>30</v>
      </c>
      <c r="N304">
        <v>2</v>
      </c>
      <c r="O304">
        <v>7</v>
      </c>
      <c r="P304">
        <v>1</v>
      </c>
      <c r="Q304" t="inlineStr">
        <is>
          <t>O</t>
        </is>
      </c>
    </row>
    <row r="305">
      <c r="A305" t="inlineStr">
        <is>
          <t>CREEDMOOR</t>
        </is>
      </c>
      <c r="B305" t="inlineStr">
        <is>
          <t>MAIN</t>
        </is>
      </c>
      <c r="C305">
        <v>0.006</v>
      </c>
      <c r="D305" t="inlineStr">
        <is>
          <t>W</t>
        </is>
      </c>
      <c r="E305" t="inlineStr">
        <is>
          <t>DOUGLAS</t>
        </is>
      </c>
      <c r="F305" t="inlineStr">
        <is>
          <t>LAKE</t>
        </is>
      </c>
      <c r="G305" t="inlineStr">
        <is>
          <t>NC 50</t>
        </is>
      </c>
      <c r="H305">
        <v>3.22</v>
      </c>
      <c r="J305" s="604" t="inlineStr">
        <is>
          <t>NIS</t>
        </is>
      </c>
      <c r="K305">
        <v>107809377</v>
      </c>
      <c r="L305" s="2">
        <v>45496</v>
      </c>
      <c r="M305">
        <v>21</v>
      </c>
      <c r="N305">
        <v>1</v>
      </c>
      <c r="O305">
        <v>0</v>
      </c>
      <c r="P305">
        <v>1</v>
      </c>
      <c r="Q305" t="inlineStr">
        <is>
          <t>C</t>
        </is>
      </c>
    </row>
    <row r="306">
      <c r="A306" t="inlineStr">
        <is>
          <t>CREEDMOOR</t>
        </is>
      </c>
      <c r="B306" t="inlineStr">
        <is>
          <t>NC 56</t>
        </is>
      </c>
      <c r="C306">
        <v>0.0</v>
      </c>
      <c r="E306" t="inlineStr">
        <is>
          <t>MAIN</t>
        </is>
      </c>
      <c r="F306" t="inlineStr">
        <is>
          <t>NC 56</t>
        </is>
      </c>
      <c r="G306" t="inlineStr">
        <is>
          <t>NC 50</t>
        </is>
      </c>
      <c r="H306">
        <v>3.284</v>
      </c>
      <c r="J306" s="604" t="inlineStr">
        <is>
          <t>NIS</t>
        </is>
      </c>
      <c r="K306">
        <v>107809381</v>
      </c>
      <c r="L306" s="2">
        <v>45496</v>
      </c>
      <c r="M306">
        <v>22</v>
      </c>
      <c r="N306">
        <v>1</v>
      </c>
      <c r="O306">
        <v>7</v>
      </c>
      <c r="P306">
        <v>1</v>
      </c>
      <c r="Q306" t="inlineStr">
        <is>
          <t>O</t>
        </is>
      </c>
    </row>
    <row r="307">
      <c r="A307" t="inlineStr">
        <is>
          <t>RURAL</t>
        </is>
      </c>
      <c r="B307" t="inlineStr">
        <is>
          <t>SALEM</t>
        </is>
      </c>
      <c r="C307">
        <v>0.0</v>
      </c>
      <c r="D307" t="inlineStr">
        <is>
          <t>S</t>
        </is>
      </c>
      <c r="E307" t="inlineStr">
        <is>
          <t>LANDIS</t>
        </is>
      </c>
      <c r="F307" t="inlineStr">
        <is>
          <t>*LCL HORNER SIDING RD</t>
        </is>
      </c>
      <c r="H307">
        <v>999.999</v>
      </c>
      <c r="J307" s="604" t="inlineStr">
        <is>
          <t>NIS</t>
        </is>
      </c>
      <c r="K307">
        <v>107818720</v>
      </c>
      <c r="L307" s="2">
        <v>45511</v>
      </c>
      <c r="M307">
        <v>24</v>
      </c>
      <c r="N307">
        <v>1</v>
      </c>
      <c r="O307">
        <v>0</v>
      </c>
      <c r="P307">
        <v>1</v>
      </c>
      <c r="Q307" t="inlineStr">
        <is>
          <t>O</t>
        </is>
      </c>
    </row>
    <row r="308">
      <c r="A308" t="inlineStr">
        <is>
          <t>OXFORD</t>
        </is>
      </c>
      <c r="B308" t="inlineStr">
        <is>
          <t>WILLIAMSBORO</t>
        </is>
      </c>
      <c r="C308">
        <v>0.0</v>
      </c>
      <c r="E308" t="inlineStr">
        <is>
          <t>SPRING</t>
        </is>
      </c>
      <c r="F308" t="inlineStr">
        <is>
          <t>DOGWOOD</t>
        </is>
      </c>
      <c r="G308" t="inlineStr">
        <is>
          <t>US 158BUS</t>
        </is>
      </c>
      <c r="H308">
        <v>2.685</v>
      </c>
      <c r="J308" s="604" t="inlineStr">
        <is>
          <t>NIS</t>
        </is>
      </c>
      <c r="K308">
        <v>107817082</v>
      </c>
      <c r="L308" s="2">
        <v>45515</v>
      </c>
      <c r="M308">
        <v>23</v>
      </c>
      <c r="N308">
        <v>1</v>
      </c>
      <c r="O308">
        <v>0</v>
      </c>
      <c r="P308">
        <v>1</v>
      </c>
      <c r="Q308" t="inlineStr">
        <is>
          <t>O</t>
        </is>
      </c>
    </row>
    <row r="309">
      <c r="A309" t="inlineStr">
        <is>
          <t>CREEDMOOR</t>
        </is>
      </c>
      <c r="B309" t="inlineStr">
        <is>
          <t>MAIN</t>
        </is>
      </c>
      <c r="C309">
        <v>0.038</v>
      </c>
      <c r="D309" t="inlineStr">
        <is>
          <t>S</t>
        </is>
      </c>
      <c r="E309" t="inlineStr">
        <is>
          <t>WILTON</t>
        </is>
      </c>
      <c r="F309" t="inlineStr">
        <is>
          <t>DOUGLAS</t>
        </is>
      </c>
      <c r="G309" t="inlineStr">
        <is>
          <t>NC 50</t>
        </is>
      </c>
      <c r="H309">
        <v>3.247</v>
      </c>
      <c r="J309" s="604" t="inlineStr">
        <is>
          <t>NIS</t>
        </is>
      </c>
      <c r="K309">
        <v>107834102</v>
      </c>
      <c r="L309" s="2">
        <v>45527</v>
      </c>
      <c r="M309">
        <v>28</v>
      </c>
      <c r="N309">
        <v>1</v>
      </c>
      <c r="O309">
        <v>0</v>
      </c>
      <c r="P309">
        <v>1</v>
      </c>
      <c r="Q309" t="inlineStr">
        <is>
          <t>O</t>
        </is>
      </c>
    </row>
    <row r="310">
      <c r="A310" t="inlineStr">
        <is>
          <t>RURAL</t>
        </is>
      </c>
      <c r="B310" t="inlineStr">
        <is>
          <t>US 158</t>
        </is>
      </c>
      <c r="C310">
        <v>0.0</v>
      </c>
      <c r="E310" t="inlineStr">
        <is>
          <t>SR 1522</t>
        </is>
      </c>
      <c r="F310" t="inlineStr">
        <is>
          <t>I 85</t>
        </is>
      </c>
      <c r="G310" t="inlineStr">
        <is>
          <t>US 158</t>
        </is>
      </c>
      <c r="H310">
        <v>14.055</v>
      </c>
      <c r="J310" s="604" t="inlineStr">
        <is>
          <t>NIS</t>
        </is>
      </c>
      <c r="K310">
        <v>107839492</v>
      </c>
      <c r="L310" s="2">
        <v>45533</v>
      </c>
      <c r="M310">
        <v>30</v>
      </c>
      <c r="N310">
        <v>1</v>
      </c>
      <c r="O310">
        <v>7</v>
      </c>
      <c r="P310">
        <v>1</v>
      </c>
      <c r="Q310" t="inlineStr">
        <is>
          <t>O</t>
        </is>
      </c>
    </row>
    <row r="311">
      <c r="A311" t="inlineStr">
        <is>
          <t>RURAL</t>
        </is>
      </c>
      <c r="B311" t="inlineStr">
        <is>
          <t>US 158</t>
        </is>
      </c>
      <c r="C311">
        <v>0.0</v>
      </c>
      <c r="E311" t="inlineStr">
        <is>
          <t>SR 1602</t>
        </is>
      </c>
      <c r="F311" t="inlineStr">
        <is>
          <t>I 85</t>
        </is>
      </c>
      <c r="G311" t="inlineStr">
        <is>
          <t>US 158</t>
        </is>
      </c>
      <c r="H311">
        <v>999.999</v>
      </c>
      <c r="J311" s="604" t="inlineStr">
        <is>
          <t>NIS</t>
        </is>
      </c>
      <c r="K311">
        <v>107862265</v>
      </c>
      <c r="L311" s="2">
        <v>45554</v>
      </c>
      <c r="M311">
        <v>24</v>
      </c>
      <c r="N311">
        <v>1</v>
      </c>
      <c r="O311">
        <v>7</v>
      </c>
      <c r="P311">
        <v>1</v>
      </c>
      <c r="Q311" t="inlineStr">
        <is>
          <t>C</t>
        </is>
      </c>
      <c r="R311">
        <v>36.313448</v>
      </c>
      <c r="S311">
        <v>-78.55273</v>
      </c>
      <c r="T311" t="inlineStr">
        <is>
          <t>DMV349CLEANED</t>
        </is>
      </c>
      <c r="V311">
        <v>1.9407247590354566</v>
      </c>
    </row>
    <row r="312">
      <c r="A312" t="inlineStr">
        <is>
          <t>RURAL</t>
        </is>
      </c>
      <c r="B312" t="inlineStr">
        <is>
          <t>US 158</t>
        </is>
      </c>
      <c r="C312">
        <v>0.0</v>
      </c>
      <c r="E312" t="inlineStr">
        <is>
          <t>SR 1522</t>
        </is>
      </c>
      <c r="F312" t="inlineStr">
        <is>
          <t>SR 1523</t>
        </is>
      </c>
      <c r="G312" t="inlineStr">
        <is>
          <t>US 158</t>
        </is>
      </c>
      <c r="H312">
        <v>14.055</v>
      </c>
      <c r="J312" s="604" t="inlineStr">
        <is>
          <t>NIS</t>
        </is>
      </c>
      <c r="K312">
        <v>107892257</v>
      </c>
      <c r="L312" s="2">
        <v>45583</v>
      </c>
      <c r="M312">
        <v>30</v>
      </c>
      <c r="N312">
        <v>1</v>
      </c>
      <c r="O312">
        <v>7</v>
      </c>
      <c r="P312">
        <v>1</v>
      </c>
      <c r="Q312" t="inlineStr">
        <is>
          <t>C</t>
        </is>
      </c>
    </row>
    <row r="313">
      <c r="A313" t="inlineStr">
        <is>
          <t>CREEDMOOR</t>
        </is>
      </c>
      <c r="B313" t="inlineStr">
        <is>
          <t>LION</t>
        </is>
      </c>
      <c r="C313">
        <v>0.0</v>
      </c>
      <c r="E313" t="inlineStr">
        <is>
          <t>MAIN</t>
        </is>
      </c>
      <c r="F313" t="inlineStr">
        <is>
          <t>COZART</t>
        </is>
      </c>
      <c r="G313" t="inlineStr">
        <is>
          <t>SR 1724</t>
        </is>
      </c>
      <c r="H313">
        <v>0.0</v>
      </c>
      <c r="J313" s="604" t="inlineStr">
        <is>
          <t>NIS</t>
        </is>
      </c>
      <c r="K313">
        <v>107943710</v>
      </c>
      <c r="L313" s="2">
        <v>45586</v>
      </c>
      <c r="M313">
        <v>31</v>
      </c>
      <c r="N313">
        <v>1</v>
      </c>
      <c r="O313">
        <v>0</v>
      </c>
      <c r="P313">
        <v>1</v>
      </c>
      <c r="Q313" t="inlineStr">
        <is>
          <t>O</t>
        </is>
      </c>
    </row>
    <row r="314">
      <c r="A314" t="inlineStr">
        <is>
          <t>RURAL</t>
        </is>
      </c>
      <c r="B314" t="inlineStr">
        <is>
          <t>SR 1522</t>
        </is>
      </c>
      <c r="C314">
        <v>0.2</v>
      </c>
      <c r="D314" t="inlineStr">
        <is>
          <t>N</t>
        </is>
      </c>
      <c r="E314" t="inlineStr">
        <is>
          <t>SR 1515</t>
        </is>
      </c>
      <c r="F314" t="inlineStr">
        <is>
          <t>SR 1523</t>
        </is>
      </c>
      <c r="G314" t="inlineStr">
        <is>
          <t>SR 1522</t>
        </is>
      </c>
      <c r="H314">
        <v>1.408</v>
      </c>
      <c r="J314" s="604" t="inlineStr">
        <is>
          <t>NIS</t>
        </is>
      </c>
      <c r="K314">
        <v>107906579</v>
      </c>
      <c r="L314" s="2">
        <v>45590</v>
      </c>
      <c r="M314">
        <v>21</v>
      </c>
      <c r="N314">
        <v>1</v>
      </c>
      <c r="O314">
        <v>4</v>
      </c>
      <c r="P314">
        <v>1</v>
      </c>
      <c r="Q314" t="inlineStr">
        <is>
          <t>B</t>
        </is>
      </c>
    </row>
    <row r="315">
      <c r="A315" t="inlineStr">
        <is>
          <t>OXFORD</t>
        </is>
      </c>
      <c r="B315" t="inlineStr">
        <is>
          <t>SPRING</t>
        </is>
      </c>
      <c r="C315">
        <v>0.0</v>
      </c>
      <c r="E315" t="inlineStr">
        <is>
          <t>GILLIAM</t>
        </is>
      </c>
      <c r="F315" t="inlineStr">
        <is>
          <t>WILLIAMSBORO</t>
        </is>
      </c>
      <c r="G315" t="inlineStr">
        <is>
          <t>SPRING</t>
        </is>
      </c>
      <c r="H315">
        <v>0.4</v>
      </c>
      <c r="J315" s="604" t="inlineStr">
        <is>
          <t>NIS</t>
        </is>
      </c>
      <c r="K315">
        <v>107902716</v>
      </c>
      <c r="L315" s="2">
        <v>45595</v>
      </c>
      <c r="M315">
        <v>30</v>
      </c>
      <c r="N315">
        <v>1</v>
      </c>
      <c r="O315">
        <v>0</v>
      </c>
      <c r="P315">
        <v>5</v>
      </c>
    </row>
    <row r="316">
      <c r="A316" t="inlineStr">
        <is>
          <t>OXFORD</t>
        </is>
      </c>
      <c r="B316" t="inlineStr">
        <is>
          <t>LEWIS</t>
        </is>
      </c>
      <c r="C316">
        <v>0.0</v>
      </c>
      <c r="E316" t="inlineStr">
        <is>
          <t>SPRING</t>
        </is>
      </c>
      <c r="F316" t="inlineStr">
        <is>
          <t>LEWIS</t>
        </is>
      </c>
      <c r="G316" t="inlineStr">
        <is>
          <t>US 15</t>
        </is>
      </c>
      <c r="H316">
        <v>20.498</v>
      </c>
      <c r="J316" s="604" t="inlineStr">
        <is>
          <t>NIS</t>
        </is>
      </c>
      <c r="K316">
        <v>107914606</v>
      </c>
      <c r="L316" s="2">
        <v>45605</v>
      </c>
      <c r="M316">
        <v>30</v>
      </c>
      <c r="N316">
        <v>1</v>
      </c>
      <c r="O316">
        <v>0</v>
      </c>
      <c r="P316">
        <v>1</v>
      </c>
      <c r="Q316" t="inlineStr">
        <is>
          <t>O</t>
        </is>
      </c>
    </row>
    <row r="317">
      <c r="A317" t="inlineStr">
        <is>
          <t>RURAL</t>
        </is>
      </c>
      <c r="B317" t="inlineStr">
        <is>
          <t>US 158</t>
        </is>
      </c>
      <c r="C317">
        <v>0.019</v>
      </c>
      <c r="D317" t="inlineStr">
        <is>
          <t>S</t>
        </is>
      </c>
      <c r="E317" t="inlineStr">
        <is>
          <t>SR 1522</t>
        </is>
      </c>
      <c r="F317" t="inlineStr">
        <is>
          <t>I 85</t>
        </is>
      </c>
      <c r="G317" t="inlineStr">
        <is>
          <t>US 158</t>
        </is>
      </c>
      <c r="H317">
        <v>14.074</v>
      </c>
      <c r="J317" s="604" t="inlineStr">
        <is>
          <t>NIS</t>
        </is>
      </c>
      <c r="K317">
        <v>107935430</v>
      </c>
      <c r="L317" s="2">
        <v>45605</v>
      </c>
      <c r="M317">
        <v>19</v>
      </c>
      <c r="N317">
        <v>2</v>
      </c>
      <c r="O317">
        <v>0</v>
      </c>
      <c r="P317">
        <v>4</v>
      </c>
      <c r="Q317" t="inlineStr">
        <is>
          <t>O</t>
        </is>
      </c>
    </row>
    <row r="318">
      <c r="A318" t="inlineStr">
        <is>
          <t>OXFORD</t>
        </is>
      </c>
      <c r="B318" t="inlineStr">
        <is>
          <t>MARTIN LUTHER KING</t>
        </is>
      </c>
      <c r="C318">
        <v>0.0</v>
      </c>
      <c r="E318" t="inlineStr">
        <is>
          <t>SPRING</t>
        </is>
      </c>
      <c r="F318" t="inlineStr">
        <is>
          <t>HILLSBORO</t>
        </is>
      </c>
      <c r="G318" t="inlineStr">
        <is>
          <t>NC 96</t>
        </is>
      </c>
      <c r="H318">
        <v>17.59</v>
      </c>
      <c r="J318" s="604" t="inlineStr">
        <is>
          <t>NIS</t>
        </is>
      </c>
      <c r="K318">
        <v>107917628</v>
      </c>
      <c r="L318" s="2">
        <v>45608</v>
      </c>
      <c r="M318">
        <v>21</v>
      </c>
      <c r="N318">
        <v>1</v>
      </c>
      <c r="O318">
        <v>0</v>
      </c>
      <c r="P318">
        <v>1</v>
      </c>
      <c r="Q318" t="inlineStr">
        <is>
          <t>O</t>
        </is>
      </c>
    </row>
    <row r="319">
      <c r="A319" t="inlineStr">
        <is>
          <t>CREEDMOOR</t>
        </is>
      </c>
      <c r="B319" t="inlineStr">
        <is>
          <t>MAIN</t>
        </is>
      </c>
      <c r="C319">
        <v>0.0</v>
      </c>
      <c r="E319" t="inlineStr">
        <is>
          <t>LAKE</t>
        </is>
      </c>
      <c r="F319" t="inlineStr">
        <is>
          <t>MAIN</t>
        </is>
      </c>
      <c r="G319" t="inlineStr">
        <is>
          <t>NC 50</t>
        </is>
      </c>
      <c r="H319">
        <v>3.206</v>
      </c>
      <c r="J319" s="604" t="inlineStr">
        <is>
          <t>NIS</t>
        </is>
      </c>
      <c r="K319">
        <v>107938369</v>
      </c>
      <c r="L319" s="2">
        <v>45611</v>
      </c>
      <c r="M319">
        <v>1</v>
      </c>
      <c r="N319">
        <v>2</v>
      </c>
      <c r="O319">
        <v>25</v>
      </c>
      <c r="P319">
        <v>4</v>
      </c>
      <c r="Q319" t="inlineStr">
        <is>
          <t>O</t>
        </is>
      </c>
    </row>
    <row r="320">
      <c r="A320" t="inlineStr">
        <is>
          <t>RURAL</t>
        </is>
      </c>
      <c r="B320" t="inlineStr">
        <is>
          <t>SR 1522</t>
        </is>
      </c>
      <c r="C320">
        <v>0.2</v>
      </c>
      <c r="D320" t="inlineStr">
        <is>
          <t>S</t>
        </is>
      </c>
      <c r="E320" t="inlineStr">
        <is>
          <t>SR 1521</t>
        </is>
      </c>
      <c r="F320" t="inlineStr">
        <is>
          <t>SR 1525</t>
        </is>
      </c>
      <c r="G320" t="inlineStr">
        <is>
          <t>SR 1522</t>
        </is>
      </c>
      <c r="H320">
        <v>2.904</v>
      </c>
      <c r="J320" s="604" t="inlineStr">
        <is>
          <t>NIS</t>
        </is>
      </c>
      <c r="K320">
        <v>107935293</v>
      </c>
      <c r="L320" s="2">
        <v>45619</v>
      </c>
      <c r="M320">
        <v>17</v>
      </c>
      <c r="N320">
        <v>1</v>
      </c>
      <c r="O320">
        <v>0</v>
      </c>
      <c r="P320">
        <v>1</v>
      </c>
      <c r="Q320" t="inlineStr">
        <is>
          <t>O</t>
        </is>
      </c>
    </row>
    <row r="321">
      <c r="A321" t="inlineStr">
        <is>
          <t>RURAL</t>
        </is>
      </c>
      <c r="B321" t="inlineStr">
        <is>
          <t>US 158</t>
        </is>
      </c>
      <c r="C321">
        <v>0.019</v>
      </c>
      <c r="D321" t="inlineStr">
        <is>
          <t>S</t>
        </is>
      </c>
      <c r="E321" t="inlineStr">
        <is>
          <t>SR 1522</t>
        </is>
      </c>
      <c r="F321" t="inlineStr">
        <is>
          <t>SR 1646</t>
        </is>
      </c>
      <c r="G321" t="inlineStr">
        <is>
          <t>US 158</t>
        </is>
      </c>
      <c r="H321">
        <v>14.074</v>
      </c>
      <c r="J321" s="604" t="inlineStr">
        <is>
          <t>NIS</t>
        </is>
      </c>
      <c r="K321">
        <v>107980034</v>
      </c>
      <c r="L321" s="2">
        <v>45661</v>
      </c>
      <c r="M321">
        <v>21</v>
      </c>
      <c r="N321">
        <v>1</v>
      </c>
      <c r="O321">
        <v>7</v>
      </c>
      <c r="P321">
        <v>1</v>
      </c>
      <c r="Q321" t="inlineStr">
        <is>
          <t>O</t>
        </is>
      </c>
    </row>
    <row r="322">
      <c r="A322" t="inlineStr">
        <is>
          <t>CREEDMOOR</t>
        </is>
      </c>
      <c r="B322" t="inlineStr">
        <is>
          <t>PVA SOSSOMANS PVA</t>
        </is>
      </c>
      <c r="C322">
        <v>0.0</v>
      </c>
      <c r="E322" t="inlineStr">
        <is>
          <t>MAIN</t>
        </is>
      </c>
      <c r="F322" t="inlineStr">
        <is>
          <t>US 15</t>
        </is>
      </c>
      <c r="H322">
        <v>999.999</v>
      </c>
      <c r="J322" s="604" t="inlineStr">
        <is>
          <t>NIS</t>
        </is>
      </c>
      <c r="K322">
        <v>107993196</v>
      </c>
      <c r="L322" s="2">
        <v>45661</v>
      </c>
      <c r="M322">
        <v>20</v>
      </c>
      <c r="N322">
        <v>1</v>
      </c>
      <c r="O322">
        <v>0</v>
      </c>
      <c r="P322">
        <v>1</v>
      </c>
      <c r="Q322" t="inlineStr">
        <is>
          <t>O</t>
        </is>
      </c>
    </row>
    <row r="323">
      <c r="A323" t="inlineStr">
        <is>
          <t>OXFORD</t>
        </is>
      </c>
      <c r="B323" t="inlineStr">
        <is>
          <t>SR 1522</t>
        </is>
      </c>
      <c r="C323">
        <v>0.2</v>
      </c>
      <c r="D323" t="inlineStr">
        <is>
          <t>W</t>
        </is>
      </c>
      <c r="E323" t="inlineStr">
        <is>
          <t>SR 1533</t>
        </is>
      </c>
      <c r="F323" t="inlineStr">
        <is>
          <t>SR 1521</t>
        </is>
      </c>
      <c r="G323" t="inlineStr">
        <is>
          <t>SR 1522</t>
        </is>
      </c>
      <c r="H323">
        <v>3.906</v>
      </c>
      <c r="J323" s="604" t="inlineStr">
        <is>
          <t>NIS</t>
        </is>
      </c>
      <c r="K323">
        <v>107996289</v>
      </c>
      <c r="L323" s="2">
        <v>45670</v>
      </c>
      <c r="M323">
        <v>19</v>
      </c>
      <c r="N323">
        <v>2</v>
      </c>
      <c r="O323">
        <v>0</v>
      </c>
      <c r="P323">
        <v>5</v>
      </c>
    </row>
    <row r="324">
      <c r="A324" t="inlineStr">
        <is>
          <t>OXFORD</t>
        </is>
      </c>
      <c r="B324" t="inlineStr">
        <is>
          <t>SPRING</t>
        </is>
      </c>
      <c r="C324">
        <v>0.0</v>
      </c>
      <c r="E324" t="inlineStr">
        <is>
          <t>ORANGE</t>
        </is>
      </c>
      <c r="F324" t="inlineStr">
        <is>
          <t>GRANVILLE</t>
        </is>
      </c>
      <c r="G324" t="inlineStr">
        <is>
          <t>SPRING</t>
        </is>
      </c>
      <c r="H324">
        <v>999.999</v>
      </c>
      <c r="J324" s="604" t="inlineStr">
        <is>
          <t>NIS</t>
        </is>
      </c>
      <c r="K324">
        <v>108030889</v>
      </c>
      <c r="L324" s="2">
        <v>45691</v>
      </c>
      <c r="M324">
        <v>13</v>
      </c>
      <c r="N324">
        <v>1</v>
      </c>
      <c r="O324">
        <v>0</v>
      </c>
      <c r="P324">
        <v>4</v>
      </c>
      <c r="Q324" t="inlineStr">
        <is>
          <t>O</t>
        </is>
      </c>
    </row>
    <row r="325">
      <c r="A325" t="inlineStr">
        <is>
          <t>OXFORD</t>
        </is>
      </c>
      <c r="B325" t="inlineStr">
        <is>
          <t>SPRING</t>
        </is>
      </c>
      <c r="C325">
        <v>0.0</v>
      </c>
      <c r="E325" t="inlineStr">
        <is>
          <t>BELL</t>
        </is>
      </c>
      <c r="F325" t="inlineStr">
        <is>
          <t>WILLIAMSBORO</t>
        </is>
      </c>
      <c r="G325" t="inlineStr">
        <is>
          <t>SPRING</t>
        </is>
      </c>
      <c r="H325">
        <v>0.47</v>
      </c>
      <c r="J325" s="604" t="inlineStr">
        <is>
          <t>NIS</t>
        </is>
      </c>
      <c r="K325">
        <v>108009651</v>
      </c>
      <c r="L325" s="2">
        <v>45692</v>
      </c>
      <c r="M325">
        <v>30</v>
      </c>
      <c r="N325">
        <v>1</v>
      </c>
      <c r="O325">
        <v>0</v>
      </c>
      <c r="P325">
        <v>1</v>
      </c>
      <c r="Q325" t="inlineStr">
        <is>
          <t>O</t>
        </is>
      </c>
    </row>
    <row r="326">
      <c r="A326" t="inlineStr">
        <is>
          <t>OXFORD</t>
        </is>
      </c>
      <c r="B326" t="inlineStr">
        <is>
          <t>SR 1522</t>
        </is>
      </c>
      <c r="C326">
        <v>0.17</v>
      </c>
      <c r="D326" t="inlineStr">
        <is>
          <t>W</t>
        </is>
      </c>
      <c r="E326" t="inlineStr">
        <is>
          <t>SR 1533</t>
        </is>
      </c>
      <c r="F326" t="inlineStr">
        <is>
          <t>SR 1521</t>
        </is>
      </c>
      <c r="G326" t="inlineStr">
        <is>
          <t>SR 1522</t>
        </is>
      </c>
      <c r="H326">
        <v>3.936</v>
      </c>
      <c r="J326" s="604" t="inlineStr">
        <is>
          <t>NIS</t>
        </is>
      </c>
      <c r="K326">
        <v>108035183</v>
      </c>
      <c r="L326" s="2">
        <v>45699</v>
      </c>
      <c r="M326">
        <v>5</v>
      </c>
      <c r="N326">
        <v>2</v>
      </c>
      <c r="O326">
        <v>0</v>
      </c>
      <c r="P326">
        <v>1</v>
      </c>
      <c r="Q326" t="inlineStr">
        <is>
          <t>B</t>
        </is>
      </c>
    </row>
    <row r="327">
      <c r="A327" t="inlineStr">
        <is>
          <t>OXFORD</t>
        </is>
      </c>
      <c r="B327" t="inlineStr">
        <is>
          <t>MAIN</t>
        </is>
      </c>
      <c r="C327">
        <v>0.0</v>
      </c>
      <c r="E327" t="inlineStr">
        <is>
          <t>MAIN</t>
        </is>
      </c>
      <c r="F327" t="inlineStr">
        <is>
          <t>WALL</t>
        </is>
      </c>
      <c r="G327" t="inlineStr">
        <is>
          <t>SR 1127</t>
        </is>
      </c>
      <c r="H327">
        <v>5.073</v>
      </c>
      <c r="J327" s="604" t="inlineStr">
        <is>
          <t>NIS</t>
        </is>
      </c>
      <c r="K327">
        <v>108030890</v>
      </c>
      <c r="L327" s="2">
        <v>45706</v>
      </c>
      <c r="M327">
        <v>19</v>
      </c>
      <c r="N327">
        <v>1</v>
      </c>
      <c r="O327">
        <v>0</v>
      </c>
      <c r="P327">
        <v>1</v>
      </c>
      <c r="Q327" t="inlineStr">
        <is>
          <t>O</t>
        </is>
      </c>
    </row>
    <row r="328">
      <c r="A328" t="inlineStr">
        <is>
          <t>CREEDMOOR</t>
        </is>
      </c>
      <c r="B328" t="inlineStr">
        <is>
          <t>MAIN</t>
        </is>
      </c>
      <c r="C328">
        <v>0.0</v>
      </c>
      <c r="E328" t="inlineStr">
        <is>
          <t>CHURCH</t>
        </is>
      </c>
      <c r="G328" t="inlineStr">
        <is>
          <t>NC 50</t>
        </is>
      </c>
      <c r="H328">
        <v>2.868</v>
      </c>
      <c r="J328" s="604" t="inlineStr">
        <is>
          <t>NIS</t>
        </is>
      </c>
      <c r="K328">
        <v>108048415</v>
      </c>
      <c r="L328" s="2">
        <v>45727</v>
      </c>
      <c r="M328">
        <v>30</v>
      </c>
      <c r="N328">
        <v>1</v>
      </c>
      <c r="O328">
        <v>0</v>
      </c>
      <c r="P328">
        <v>1</v>
      </c>
      <c r="Q328" t="inlineStr">
        <is>
          <t>O</t>
        </is>
      </c>
    </row>
    <row r="329">
      <c r="A329" t="inlineStr">
        <is>
          <t>RURAL</t>
        </is>
      </c>
      <c r="B329" t="inlineStr">
        <is>
          <t>SR 1515</t>
        </is>
      </c>
      <c r="C329">
        <v>0.0</v>
      </c>
      <c r="E329" t="inlineStr">
        <is>
          <t>SR 1522</t>
        </is>
      </c>
      <c r="G329" t="inlineStr">
        <is>
          <t>SR 1515</t>
        </is>
      </c>
      <c r="H329">
        <v>10.078</v>
      </c>
      <c r="J329" s="604" t="inlineStr">
        <is>
          <t>NIS</t>
        </is>
      </c>
      <c r="K329">
        <v>108054666</v>
      </c>
      <c r="L329" s="2">
        <v>45733</v>
      </c>
      <c r="M329">
        <v>32</v>
      </c>
      <c r="N329">
        <v>1</v>
      </c>
      <c r="O329">
        <v>8</v>
      </c>
      <c r="P329">
        <v>1</v>
      </c>
      <c r="Q329" t="inlineStr">
        <is>
          <t>O</t>
        </is>
      </c>
    </row>
    <row r="330">
      <c r="A330" t="inlineStr">
        <is>
          <t>CREEDMOOR</t>
        </is>
      </c>
      <c r="B330" t="inlineStr">
        <is>
          <t>NC 56</t>
        </is>
      </c>
      <c r="C330">
        <v>0.0</v>
      </c>
      <c r="E330" t="inlineStr">
        <is>
          <t>MAIN</t>
        </is>
      </c>
      <c r="F330" t="inlineStr">
        <is>
          <t>*LCL W WILTON AVE</t>
        </is>
      </c>
      <c r="G330" t="inlineStr">
        <is>
          <t>NC 50</t>
        </is>
      </c>
      <c r="H330">
        <v>3.284</v>
      </c>
      <c r="J330" s="604" t="inlineStr">
        <is>
          <t>NIS</t>
        </is>
      </c>
      <c r="K330">
        <v>108062653</v>
      </c>
      <c r="L330" s="2">
        <v>45740</v>
      </c>
      <c r="M330">
        <v>30</v>
      </c>
      <c r="N330">
        <v>2</v>
      </c>
      <c r="O330">
        <v>0</v>
      </c>
      <c r="P330">
        <v>1</v>
      </c>
      <c r="Q330" t="inlineStr">
        <is>
          <t>O</t>
        </is>
      </c>
    </row>
    <row r="331">
      <c r="A331" t="inlineStr">
        <is>
          <t>CREEDMOOR</t>
        </is>
      </c>
      <c r="B331" t="inlineStr">
        <is>
          <t>*LCL W WILTON AVE</t>
        </is>
      </c>
      <c r="C331">
        <v>0.0</v>
      </c>
      <c r="E331" t="inlineStr">
        <is>
          <t>MAIN</t>
        </is>
      </c>
      <c r="F331" t="inlineStr">
        <is>
          <t>MAIN</t>
        </is>
      </c>
      <c r="H331">
        <v>999.999</v>
      </c>
      <c r="J331" s="604" t="inlineStr">
        <is>
          <t>NIS</t>
        </is>
      </c>
      <c r="K331">
        <v>108062655</v>
      </c>
      <c r="L331" s="2">
        <v>45745</v>
      </c>
      <c r="M331">
        <v>28</v>
      </c>
      <c r="N331">
        <v>1</v>
      </c>
      <c r="O331">
        <v>0</v>
      </c>
      <c r="P331">
        <v>1</v>
      </c>
      <c r="Q331" t="inlineStr">
        <is>
          <t>O</t>
        </is>
      </c>
    </row>
    <row r="332">
      <c r="A332" t="inlineStr">
        <is>
          <t>CREEDMOOR</t>
        </is>
      </c>
      <c r="B332" t="inlineStr">
        <is>
          <t>NC 56</t>
        </is>
      </c>
      <c r="C332">
        <v>0.0</v>
      </c>
      <c r="E332" t="inlineStr">
        <is>
          <t>MAIN</t>
        </is>
      </c>
      <c r="F332" t="inlineStr">
        <is>
          <t>*US 15 P</t>
        </is>
      </c>
      <c r="G332" t="inlineStr">
        <is>
          <t>NC 50</t>
        </is>
      </c>
      <c r="H332">
        <v>3.284</v>
      </c>
      <c r="J332" s="604" t="inlineStr">
        <is>
          <t>NIS</t>
        </is>
      </c>
      <c r="K332">
        <v>108088763</v>
      </c>
      <c r="L332" s="2">
        <v>45752</v>
      </c>
      <c r="M332">
        <v>20</v>
      </c>
      <c r="N332">
        <v>1</v>
      </c>
      <c r="O332">
        <v>0</v>
      </c>
      <c r="P332">
        <v>2</v>
      </c>
      <c r="Q332" t="inlineStr">
        <is>
          <t>O</t>
        </is>
      </c>
    </row>
    <row r="333">
      <c r="A333" t="inlineStr">
        <is>
          <t>OXFORD</t>
        </is>
      </c>
      <c r="B333" t="inlineStr">
        <is>
          <t>SR 1522</t>
        </is>
      </c>
      <c r="C333">
        <v>0.0</v>
      </c>
      <c r="E333" t="inlineStr">
        <is>
          <t>SR 1195</t>
        </is>
      </c>
      <c r="F333" t="inlineStr">
        <is>
          <t>US 15</t>
        </is>
      </c>
      <c r="G333" t="inlineStr">
        <is>
          <t>SR 1522</t>
        </is>
      </c>
      <c r="H333">
        <v>999.999</v>
      </c>
      <c r="J333" s="604" t="inlineStr">
        <is>
          <t>NIS</t>
        </is>
      </c>
      <c r="K333">
        <v>108097246</v>
      </c>
      <c r="L333" s="2">
        <v>45765</v>
      </c>
      <c r="M333">
        <v>30</v>
      </c>
      <c r="N333">
        <v>1</v>
      </c>
      <c r="O333">
        <v>0</v>
      </c>
      <c r="P333">
        <v>1</v>
      </c>
      <c r="Q333" t="inlineStr">
        <is>
          <t>O</t>
        </is>
      </c>
    </row>
    <row r="334">
      <c r="A334" t="inlineStr">
        <is>
          <t>OXFORD</t>
        </is>
      </c>
      <c r="B334" t="inlineStr">
        <is>
          <t>ORANGE</t>
        </is>
      </c>
      <c r="C334">
        <v>0.0</v>
      </c>
      <c r="E334" t="inlineStr">
        <is>
          <t>SPRING</t>
        </is>
      </c>
      <c r="F334" t="inlineStr">
        <is>
          <t>BULLOCK</t>
        </is>
      </c>
      <c r="G334" t="inlineStr">
        <is>
          <t>SPRING</t>
        </is>
      </c>
      <c r="H334">
        <v>999.999</v>
      </c>
      <c r="J334" s="604" t="inlineStr">
        <is>
          <t>NIS</t>
        </is>
      </c>
      <c r="K334">
        <v>108090115</v>
      </c>
      <c r="L334" s="2">
        <v>45766</v>
      </c>
      <c r="M334">
        <v>30</v>
      </c>
      <c r="N334">
        <v>1</v>
      </c>
      <c r="O334">
        <v>7</v>
      </c>
      <c r="P334">
        <v>4</v>
      </c>
      <c r="Q334" t="inlineStr">
        <is>
          <t>B</t>
        </is>
      </c>
      <c r="R334">
        <v>36.3</v>
      </c>
      <c r="S334">
        <v>-78.59</v>
      </c>
      <c r="T334" t="inlineStr">
        <is>
          <t>DMV349</t>
        </is>
      </c>
      <c r="V334">
        <v>0.708594827777916</v>
      </c>
    </row>
    <row r="335">
      <c r="A335" t="inlineStr">
        <is>
          <t>RURAL</t>
        </is>
      </c>
      <c r="B335" t="inlineStr">
        <is>
          <t>SR 1522</t>
        </is>
      </c>
      <c r="C335">
        <v>0.0</v>
      </c>
      <c r="E335" t="inlineStr">
        <is>
          <t>US 158</t>
        </is>
      </c>
      <c r="F335" t="inlineStr">
        <is>
          <t>EDGEWOOD</t>
        </is>
      </c>
      <c r="G335" t="inlineStr">
        <is>
          <t>SR 1522</t>
        </is>
      </c>
      <c r="H335">
        <v>0.882</v>
      </c>
      <c r="J335" s="604" t="inlineStr">
        <is>
          <t>NIS</t>
        </is>
      </c>
      <c r="K335">
        <v>108090119</v>
      </c>
      <c r="L335" s="2">
        <v>45769</v>
      </c>
      <c r="M335">
        <v>30</v>
      </c>
      <c r="N335">
        <v>1</v>
      </c>
      <c r="O335">
        <v>7</v>
      </c>
      <c r="P335">
        <v>1</v>
      </c>
      <c r="Q335" t="inlineStr">
        <is>
          <t>C</t>
        </is>
      </c>
    </row>
    <row r="336">
      <c r="A336" t="inlineStr">
        <is>
          <t>RURAL</t>
        </is>
      </c>
      <c r="B336" t="inlineStr">
        <is>
          <t>SR 1522</t>
        </is>
      </c>
      <c r="C336">
        <v>0.1</v>
      </c>
      <c r="D336" t="inlineStr">
        <is>
          <t>W</t>
        </is>
      </c>
      <c r="E336" t="inlineStr">
        <is>
          <t>SR 1126</t>
        </is>
      </c>
      <c r="F336" t="inlineStr">
        <is>
          <t>SR 1533</t>
        </is>
      </c>
      <c r="G336" t="inlineStr">
        <is>
          <t>SR 1522</t>
        </is>
      </c>
      <c r="H336">
        <v>999.999</v>
      </c>
      <c r="J336" s="604" t="inlineStr">
        <is>
          <t>NIS</t>
        </is>
      </c>
      <c r="K336">
        <v>108090079</v>
      </c>
      <c r="L336" s="2">
        <v>45771</v>
      </c>
      <c r="M336">
        <v>19</v>
      </c>
      <c r="N336">
        <v>1</v>
      </c>
      <c r="O336">
        <v>0</v>
      </c>
      <c r="P336">
        <v>1</v>
      </c>
      <c r="Q336" t="inlineStr">
        <is>
          <t>C</t>
        </is>
      </c>
    </row>
    <row r="337">
      <c r="A337" t="inlineStr">
        <is>
          <t>OXFORD</t>
        </is>
      </c>
      <c r="B337" t="inlineStr">
        <is>
          <t>PVA USPS PVA</t>
        </is>
      </c>
      <c r="C337">
        <v>0.0</v>
      </c>
      <c r="E337" t="inlineStr">
        <is>
          <t>SPRING</t>
        </is>
      </c>
      <c r="F337" t="inlineStr">
        <is>
          <t>SPRING</t>
        </is>
      </c>
      <c r="H337">
        <v>999.999</v>
      </c>
      <c r="J337" s="604" t="inlineStr">
        <is>
          <t>NIS</t>
        </is>
      </c>
      <c r="K337">
        <v>108090408</v>
      </c>
      <c r="L337" s="2">
        <v>45772</v>
      </c>
      <c r="M337">
        <v>31</v>
      </c>
      <c r="N337">
        <v>1</v>
      </c>
      <c r="O337">
        <v>0</v>
      </c>
      <c r="P337">
        <v>2</v>
      </c>
      <c r="Q337" t="inlineStr">
        <is>
          <t>O</t>
        </is>
      </c>
    </row>
    <row r="338">
      <c r="A338" t="inlineStr">
        <is>
          <t>CREEDMOOR</t>
        </is>
      </c>
      <c r="B338" t="inlineStr">
        <is>
          <t>MAIN</t>
        </is>
      </c>
      <c r="C338">
        <v>0.025</v>
      </c>
      <c r="D338" t="inlineStr">
        <is>
          <t>S</t>
        </is>
      </c>
      <c r="E338" t="inlineStr">
        <is>
          <t>CHURCH</t>
        </is>
      </c>
      <c r="F338" t="inlineStr">
        <is>
          <t>ROGER</t>
        </is>
      </c>
      <c r="G338" t="inlineStr">
        <is>
          <t>NC 50</t>
        </is>
      </c>
      <c r="H338">
        <v>2.843</v>
      </c>
      <c r="J338" s="604" t="inlineStr">
        <is>
          <t>NIS</t>
        </is>
      </c>
      <c r="K338">
        <v>108143298</v>
      </c>
      <c r="L338" s="2">
        <v>45799</v>
      </c>
      <c r="M338">
        <v>14</v>
      </c>
      <c r="N338">
        <v>1</v>
      </c>
      <c r="O338">
        <v>0</v>
      </c>
      <c r="P338">
        <v>1</v>
      </c>
      <c r="Q338" t="inlineStr">
        <is>
          <t>C</t>
        </is>
      </c>
      <c r="R338">
        <v>36.116217</v>
      </c>
      <c r="S338">
        <v>-78.687032</v>
      </c>
      <c r="T338" t="inlineStr">
        <is>
          <t>VHB_PEDBIKE</t>
        </is>
      </c>
      <c r="V338">
        <v>14.498671685017317</v>
      </c>
    </row>
    <row r="339">
      <c r="A339" t="inlineStr">
        <is>
          <t>RURAL</t>
        </is>
      </c>
      <c r="B339" t="inlineStr">
        <is>
          <t>US 158</t>
        </is>
      </c>
      <c r="C339">
        <v>0.0</v>
      </c>
      <c r="E339" t="inlineStr">
        <is>
          <t>SR 1522</t>
        </is>
      </c>
      <c r="G339" t="inlineStr">
        <is>
          <t>US 158</t>
        </is>
      </c>
      <c r="H339">
        <v>14.055</v>
      </c>
      <c r="J339" s="604" t="inlineStr">
        <is>
          <t>NIS</t>
        </is>
      </c>
      <c r="K339">
        <v>108130026</v>
      </c>
      <c r="L339" s="2">
        <v>45800</v>
      </c>
      <c r="M339">
        <v>24</v>
      </c>
      <c r="N339">
        <v>1</v>
      </c>
      <c r="O339">
        <v>7</v>
      </c>
      <c r="P339">
        <v>1</v>
      </c>
      <c r="Q339" t="inlineStr">
        <is>
          <t>O</t>
        </is>
      </c>
    </row>
    <row r="340">
      <c r="A340" t="inlineStr">
        <is>
          <t>OXFORD</t>
        </is>
      </c>
      <c r="B340" t="inlineStr">
        <is>
          <t>FRONT</t>
        </is>
      </c>
      <c r="C340">
        <v>0.0</v>
      </c>
      <c r="E340" t="inlineStr">
        <is>
          <t>MAIN</t>
        </is>
      </c>
      <c r="F340" t="inlineStr">
        <is>
          <t>MARTIN LUTHER KING</t>
        </is>
      </c>
      <c r="G340" t="inlineStr">
        <is>
          <t>SR 1602</t>
        </is>
      </c>
      <c r="H340">
        <v>1.149</v>
      </c>
      <c r="J340" s="604" t="inlineStr">
        <is>
          <t>NIS</t>
        </is>
      </c>
      <c r="K340">
        <v>108127473</v>
      </c>
      <c r="L340" s="2">
        <v>45808</v>
      </c>
      <c r="M340">
        <v>31</v>
      </c>
      <c r="N340">
        <v>1</v>
      </c>
      <c r="O340">
        <v>0</v>
      </c>
      <c r="P340">
        <v>1</v>
      </c>
      <c r="Q340" t="inlineStr">
        <is>
          <t>O</t>
        </is>
      </c>
    </row>
    <row r="341">
      <c r="A341" t="inlineStr">
        <is>
          <t>OXFORD</t>
        </is>
      </c>
      <c r="B341" t="inlineStr">
        <is>
          <t>SPRING</t>
        </is>
      </c>
      <c r="C341">
        <v>0.0</v>
      </c>
      <c r="E341" t="inlineStr">
        <is>
          <t>*LCL SPING ST</t>
        </is>
      </c>
      <c r="F341" t="inlineStr">
        <is>
          <t>WALL</t>
        </is>
      </c>
      <c r="H341">
        <v>999.999</v>
      </c>
      <c r="J341" s="604" t="inlineStr">
        <is>
          <t>NIS</t>
        </is>
      </c>
      <c r="K341">
        <v>108167054</v>
      </c>
      <c r="L341" s="2">
        <v>45848</v>
      </c>
      <c r="M341">
        <v>14</v>
      </c>
      <c r="N341">
        <v>1</v>
      </c>
      <c r="O341">
        <v>0</v>
      </c>
      <c r="P341">
        <v>1</v>
      </c>
      <c r="Q341" t="inlineStr">
        <is>
          <t>C</t>
        </is>
      </c>
      <c r="R341">
        <v>36.309283</v>
      </c>
      <c r="S341">
        <v>-78.589852</v>
      </c>
      <c r="T341" t="inlineStr">
        <is>
          <t>VHB_PEDBIKE</t>
        </is>
      </c>
      <c r="V341">
        <v>0.14963679968857657</v>
      </c>
    </row>
    <row r="342">
      <c r="A342" t="inlineStr">
        <is>
          <t>RURAL</t>
        </is>
      </c>
      <c r="B342" t="inlineStr">
        <is>
          <t>SR 1522</t>
        </is>
      </c>
      <c r="C342">
        <v>0.17</v>
      </c>
      <c r="D342" t="inlineStr">
        <is>
          <t>W</t>
        </is>
      </c>
      <c r="E342" t="inlineStr">
        <is>
          <t>SR 1533</t>
        </is>
      </c>
      <c r="F342" t="inlineStr">
        <is>
          <t>US 158</t>
        </is>
      </c>
      <c r="G342" t="inlineStr">
        <is>
          <t>SR 1522</t>
        </is>
      </c>
      <c r="H342">
        <v>3.936</v>
      </c>
      <c r="J342" s="604" t="inlineStr">
        <is>
          <t>NIS</t>
        </is>
      </c>
      <c r="K342">
        <v>108172669</v>
      </c>
      <c r="L342" s="2">
        <v>45848</v>
      </c>
      <c r="M342">
        <v>19</v>
      </c>
      <c r="N342">
        <v>1</v>
      </c>
      <c r="O342">
        <v>0</v>
      </c>
      <c r="P342">
        <v>1</v>
      </c>
      <c r="Q342" t="inlineStr">
        <is>
          <t>O</t>
        </is>
      </c>
    </row>
    <row r="343">
      <c r="A343" t="inlineStr">
        <is>
          <t>OXFORD</t>
        </is>
      </c>
      <c r="B343" t="inlineStr">
        <is>
          <t>LEWIS</t>
        </is>
      </c>
      <c r="C343">
        <v>0.0</v>
      </c>
      <c r="E343" t="inlineStr">
        <is>
          <t>SPRING</t>
        </is>
      </c>
      <c r="F343" t="inlineStr">
        <is>
          <t>MAPLE</t>
        </is>
      </c>
      <c r="G343" t="inlineStr">
        <is>
          <t>US 15</t>
        </is>
      </c>
      <c r="H343">
        <v>20.498</v>
      </c>
      <c r="J343" s="604" t="inlineStr">
        <is>
          <t>NIS</t>
        </is>
      </c>
      <c r="K343">
        <v>108168651</v>
      </c>
      <c r="L343" s="2">
        <v>45850</v>
      </c>
      <c r="M343">
        <v>30</v>
      </c>
      <c r="N343">
        <v>1</v>
      </c>
      <c r="O343">
        <v>0</v>
      </c>
      <c r="P343">
        <v>1</v>
      </c>
      <c r="Q343" t="inlineStr">
        <is>
          <t>C</t>
        </is>
      </c>
    </row>
    <row r="344">
      <c r="A344" t="inlineStr">
        <is>
          <t>RURAL</t>
        </is>
      </c>
      <c r="B344" t="inlineStr">
        <is>
          <t>SR 1522</t>
        </is>
      </c>
      <c r="C344">
        <v>0.0</v>
      </c>
      <c r="E344" t="inlineStr">
        <is>
          <t>US 158</t>
        </is>
      </c>
      <c r="F344" t="inlineStr">
        <is>
          <t>SR 1515</t>
        </is>
      </c>
      <c r="G344" t="inlineStr">
        <is>
          <t>SR 1522</t>
        </is>
      </c>
      <c r="H344">
        <v>0.882</v>
      </c>
      <c r="J344" s="604" t="inlineStr">
        <is>
          <t>NIS</t>
        </is>
      </c>
      <c r="K344">
        <v>108184203</v>
      </c>
      <c r="L344" s="2">
        <v>45864</v>
      </c>
      <c r="M344">
        <v>30</v>
      </c>
      <c r="N344">
        <v>1</v>
      </c>
      <c r="O344">
        <v>7</v>
      </c>
      <c r="P344">
        <v>2</v>
      </c>
      <c r="Q344" t="inlineStr">
        <is>
          <t>C</t>
        </is>
      </c>
    </row>
    <row r="345">
      <c r="A345" t="inlineStr">
        <is>
          <t>RURAL</t>
        </is>
      </c>
      <c r="B345" t="inlineStr">
        <is>
          <t>SR 1522</t>
        </is>
      </c>
      <c r="C345">
        <v>0.2</v>
      </c>
      <c r="D345" t="inlineStr">
        <is>
          <t>W</t>
        </is>
      </c>
      <c r="E345" t="inlineStr">
        <is>
          <t>SR 1533</t>
        </is>
      </c>
      <c r="F345" t="inlineStr">
        <is>
          <t>SR 1521</t>
        </is>
      </c>
      <c r="G345" t="inlineStr">
        <is>
          <t>SR 1522</t>
        </is>
      </c>
      <c r="H345">
        <v>3.906</v>
      </c>
      <c r="J345" s="604" t="inlineStr">
        <is>
          <t>NIS</t>
        </is>
      </c>
      <c r="K345">
        <v>108190403</v>
      </c>
      <c r="L345" s="2">
        <v>45871</v>
      </c>
      <c r="M345">
        <v>1</v>
      </c>
      <c r="N345">
        <v>1</v>
      </c>
      <c r="O345">
        <v>0</v>
      </c>
      <c r="P345">
        <v>1</v>
      </c>
      <c r="Q345" t="inlineStr">
        <is>
          <t>O</t>
        </is>
      </c>
    </row>
    <row r="346">
      <c r="A346" t="inlineStr">
        <is>
          <t>CREEDMOOR</t>
        </is>
      </c>
      <c r="B346" t="inlineStr">
        <is>
          <t>MAIN</t>
        </is>
      </c>
      <c r="C346">
        <v>0.009</v>
      </c>
      <c r="D346" t="inlineStr">
        <is>
          <t>S</t>
        </is>
      </c>
      <c r="E346" t="inlineStr">
        <is>
          <t>MASONIC</t>
        </is>
      </c>
      <c r="F346" t="inlineStr">
        <is>
          <t>*LCL W SANDERFORD ST</t>
        </is>
      </c>
      <c r="G346" t="inlineStr">
        <is>
          <t>NC 50</t>
        </is>
      </c>
      <c r="H346">
        <v>2.987</v>
      </c>
      <c r="J346" s="604" t="inlineStr">
        <is>
          <t>NIS</t>
        </is>
      </c>
      <c r="K346">
        <v>108192337</v>
      </c>
      <c r="L346" s="2">
        <v>45874</v>
      </c>
      <c r="M346">
        <v>1</v>
      </c>
      <c r="N346">
        <v>1</v>
      </c>
      <c r="O346">
        <v>0</v>
      </c>
      <c r="P346">
        <v>4</v>
      </c>
      <c r="Q346" t="inlineStr">
        <is>
          <t>O</t>
        </is>
      </c>
    </row>
    <row r="347">
      <c r="A347" t="inlineStr">
        <is>
          <t>CREEDMOOR</t>
        </is>
      </c>
      <c r="B347" t="inlineStr">
        <is>
          <t>MAIN</t>
        </is>
      </c>
      <c r="C347">
        <v>0.066</v>
      </c>
      <c r="D347" t="inlineStr">
        <is>
          <t>SW</t>
        </is>
      </c>
      <c r="E347" t="inlineStr">
        <is>
          <t>MOSS</t>
        </is>
      </c>
      <c r="F347" t="inlineStr">
        <is>
          <t>*LCL HOLLY CREEK LANDING</t>
        </is>
      </c>
      <c r="G347" t="inlineStr">
        <is>
          <t>SR 1639</t>
        </is>
      </c>
      <c r="H347">
        <v>0.359</v>
      </c>
      <c r="J347" s="604" t="inlineStr">
        <is>
          <t>NIS</t>
        </is>
      </c>
      <c r="K347">
        <v>108196362</v>
      </c>
      <c r="L347" s="2">
        <v>45874</v>
      </c>
      <c r="M347">
        <v>18</v>
      </c>
      <c r="N347">
        <v>1</v>
      </c>
      <c r="O347">
        <v>0</v>
      </c>
      <c r="P347">
        <v>1</v>
      </c>
      <c r="Q347" t="inlineStr">
        <is>
          <t>C</t>
        </is>
      </c>
    </row>
    <row r="348">
      <c r="A348" t="inlineStr">
        <is>
          <t>RURAL</t>
        </is>
      </c>
      <c r="B348" t="inlineStr">
        <is>
          <t>SR 1522</t>
        </is>
      </c>
      <c r="C348">
        <v>0.25</v>
      </c>
      <c r="D348" t="inlineStr">
        <is>
          <t>W</t>
        </is>
      </c>
      <c r="E348" t="inlineStr">
        <is>
          <t>CL-VANCE</t>
        </is>
      </c>
      <c r="F348" t="inlineStr">
        <is>
          <t>AIRPORT</t>
        </is>
      </c>
      <c r="G348" t="inlineStr">
        <is>
          <t>SR 1522</t>
        </is>
      </c>
      <c r="H348">
        <v>4.761</v>
      </c>
      <c r="J348" s="604" t="inlineStr">
        <is>
          <t>NIS</t>
        </is>
      </c>
      <c r="K348">
        <v>108195324</v>
      </c>
      <c r="L348" s="2">
        <v>45875</v>
      </c>
      <c r="M348">
        <v>19</v>
      </c>
      <c r="N348">
        <v>2</v>
      </c>
      <c r="O348">
        <v>0</v>
      </c>
      <c r="P348">
        <v>1</v>
      </c>
      <c r="Q348" t="inlineStr">
        <is>
          <t>O</t>
        </is>
      </c>
    </row>
    <row r="349">
      <c r="A349" t="inlineStr">
        <is>
          <t>RURAL</t>
        </is>
      </c>
      <c r="B349" t="inlineStr">
        <is>
          <t>US 158</t>
        </is>
      </c>
      <c r="C349">
        <v>0.0</v>
      </c>
      <c r="E349" t="inlineStr">
        <is>
          <t>SR 1602</t>
        </is>
      </c>
      <c r="F349" t="inlineStr">
        <is>
          <t>SR 1521</t>
        </is>
      </c>
      <c r="G349" t="inlineStr">
        <is>
          <t>US 158</t>
        </is>
      </c>
      <c r="H349">
        <v>999.999</v>
      </c>
      <c r="J349" s="604" t="inlineStr">
        <is>
          <t>NIS</t>
        </is>
      </c>
      <c r="K349">
        <v>108205786</v>
      </c>
      <c r="L349" s="2">
        <v>45880</v>
      </c>
      <c r="M349">
        <v>23</v>
      </c>
      <c r="N349">
        <v>1</v>
      </c>
      <c r="O349">
        <v>7</v>
      </c>
      <c r="P349">
        <v>1</v>
      </c>
      <c r="Q349" t="inlineStr">
        <is>
          <t>C</t>
        </is>
      </c>
      <c r="R349">
        <v>36.313276</v>
      </c>
      <c r="S349">
        <v>-78.55295</v>
      </c>
      <c r="T349" t="inlineStr">
        <is>
          <t>DMV349CLEANED</t>
        </is>
      </c>
      <c r="V349">
        <v>1.927149469402211</v>
      </c>
    </row>
    <row r="350">
      <c r="A350" t="inlineStr">
        <is>
          <t>OXFORD</t>
        </is>
      </c>
      <c r="B350" t="inlineStr">
        <is>
          <t>GILLIAM</t>
        </is>
      </c>
      <c r="C350">
        <v>0.0</v>
      </c>
      <c r="E350" t="inlineStr">
        <is>
          <t>SPRING</t>
        </is>
      </c>
      <c r="F350" t="inlineStr">
        <is>
          <t>WILLIAMSBORO</t>
        </is>
      </c>
      <c r="G350" t="inlineStr">
        <is>
          <t>GILLIAM</t>
        </is>
      </c>
      <c r="H350">
        <v>0.21</v>
      </c>
      <c r="J350" s="604" t="inlineStr">
        <is>
          <t>NIS</t>
        </is>
      </c>
      <c r="K350">
        <v>108202264</v>
      </c>
      <c r="L350" s="2">
        <v>45884</v>
      </c>
      <c r="M350">
        <v>30</v>
      </c>
      <c r="N350">
        <v>1</v>
      </c>
      <c r="O350">
        <v>7</v>
      </c>
      <c r="P350">
        <v>1</v>
      </c>
      <c r="Q350" t="inlineStr">
        <is>
          <t>O</t>
        </is>
      </c>
    </row>
    <row r="351">
      <c r="A351" t="inlineStr">
        <is>
          <t>OXFORD</t>
        </is>
      </c>
      <c r="B351" t="inlineStr">
        <is>
          <t>SPRING</t>
        </is>
      </c>
      <c r="C351">
        <v>0.0</v>
      </c>
      <c r="E351" t="inlineStr">
        <is>
          <t>LEWIS</t>
        </is>
      </c>
      <c r="F351" t="inlineStr">
        <is>
          <t>LEWIS</t>
        </is>
      </c>
      <c r="G351" t="inlineStr">
        <is>
          <t>SPRING</t>
        </is>
      </c>
      <c r="H351">
        <v>999.999</v>
      </c>
      <c r="J351" s="604" t="inlineStr">
        <is>
          <t>NIS</t>
        </is>
      </c>
      <c r="K351">
        <v>108211507</v>
      </c>
      <c r="L351" s="2">
        <v>45895</v>
      </c>
      <c r="M351">
        <v>30</v>
      </c>
      <c r="N351">
        <v>1</v>
      </c>
      <c r="O351">
        <v>7</v>
      </c>
      <c r="P351">
        <v>4</v>
      </c>
      <c r="Q351" t="inlineStr">
        <is>
          <t>O</t>
        </is>
      </c>
    </row>
    <row r="352">
      <c r="A352" t="inlineStr">
        <is>
          <t>RURAL</t>
        </is>
      </c>
      <c r="B352" t="inlineStr">
        <is>
          <t>US 158</t>
        </is>
      </c>
      <c r="C352">
        <v>0.027</v>
      </c>
      <c r="D352" t="inlineStr">
        <is>
          <t>N</t>
        </is>
      </c>
      <c r="E352" t="inlineStr">
        <is>
          <t>SR 1602</t>
        </is>
      </c>
      <c r="F352" t="inlineStr">
        <is>
          <t>SR 1522</t>
        </is>
      </c>
      <c r="G352" t="inlineStr">
        <is>
          <t>US 158</t>
        </is>
      </c>
      <c r="H352">
        <v>999.999</v>
      </c>
      <c r="J352" s="604" t="inlineStr">
        <is>
          <t>NIS</t>
        </is>
      </c>
      <c r="K352">
        <v>108231920</v>
      </c>
      <c r="L352" s="2">
        <v>45909</v>
      </c>
      <c r="M352">
        <v>28</v>
      </c>
      <c r="N352">
        <v>1</v>
      </c>
      <c r="O352">
        <v>0</v>
      </c>
      <c r="P352">
        <v>1</v>
      </c>
      <c r="Q352" t="inlineStr">
        <is>
          <t>O</t>
        </is>
      </c>
      <c r="R352">
        <v>36.313816</v>
      </c>
      <c r="S352">
        <v>-78.55307</v>
      </c>
      <c r="T352" t="inlineStr">
        <is>
          <t>DMV349CLEANED</t>
        </is>
      </c>
      <c r="V352">
        <v>1.9252252025128904</v>
      </c>
    </row>
    <row r="353">
      <c r="A353" t="inlineStr">
        <is>
          <t>OXFORD</t>
        </is>
      </c>
      <c r="B353" t="inlineStr">
        <is>
          <t>SPRING</t>
        </is>
      </c>
      <c r="C353">
        <v>0.0</v>
      </c>
      <c r="E353" t="inlineStr">
        <is>
          <t>GRANVILLE</t>
        </is>
      </c>
      <c r="F353" t="inlineStr">
        <is>
          <t>GRANVILLE</t>
        </is>
      </c>
      <c r="G353" t="inlineStr">
        <is>
          <t>SPRING</t>
        </is>
      </c>
      <c r="H353">
        <v>0.09</v>
      </c>
      <c r="J353" s="604" t="inlineStr">
        <is>
          <t>NIS</t>
        </is>
      </c>
      <c r="K353">
        <v>108242628</v>
      </c>
      <c r="L353" s="2">
        <v>45916</v>
      </c>
      <c r="M353">
        <v>2</v>
      </c>
      <c r="N353">
        <v>1</v>
      </c>
      <c r="O353">
        <v>0</v>
      </c>
      <c r="P353">
        <v>1</v>
      </c>
      <c r="Q353" t="inlineStr">
        <is>
          <t>C</t>
        </is>
      </c>
    </row>
    <row r="354">
      <c r="A354" t="inlineStr">
        <is>
          <t>RURAL</t>
        </is>
      </c>
      <c r="B354" t="inlineStr">
        <is>
          <t>US 158</t>
        </is>
      </c>
      <c r="C354">
        <v>0.0</v>
      </c>
      <c r="E354" t="inlineStr">
        <is>
          <t>SR 1522</t>
        </is>
      </c>
      <c r="F354" t="inlineStr">
        <is>
          <t>SR 1515</t>
        </is>
      </c>
      <c r="G354" t="inlineStr">
        <is>
          <t>US 158</t>
        </is>
      </c>
      <c r="H354">
        <v>14.055</v>
      </c>
      <c r="J354" s="604" t="inlineStr">
        <is>
          <t>NIS</t>
        </is>
      </c>
      <c r="K354">
        <v>108237122</v>
      </c>
      <c r="L354" s="2">
        <v>45919</v>
      </c>
      <c r="M354">
        <v>30</v>
      </c>
      <c r="N354">
        <v>1</v>
      </c>
      <c r="O354">
        <v>7</v>
      </c>
      <c r="P354">
        <v>1</v>
      </c>
      <c r="Q354" t="inlineStr">
        <is>
          <t>C</t>
        </is>
      </c>
    </row>
    <row r="355">
      <c r="A355" t="inlineStr">
        <is>
          <t>OXFORD</t>
        </is>
      </c>
      <c r="B355" t="inlineStr">
        <is>
          <t>SALEM</t>
        </is>
      </c>
      <c r="C355">
        <v>0.0</v>
      </c>
      <c r="E355" t="inlineStr">
        <is>
          <t>*PP 112 SALEM RD</t>
        </is>
      </c>
      <c r="F355" t="inlineStr">
        <is>
          <t>SALEM</t>
        </is>
      </c>
      <c r="H355">
        <v>999.999</v>
      </c>
      <c r="J355" s="604" t="inlineStr">
        <is>
          <t>NIS</t>
        </is>
      </c>
      <c r="K355">
        <v>108246336</v>
      </c>
      <c r="L355" s="2">
        <v>45929</v>
      </c>
      <c r="M355">
        <v>31</v>
      </c>
      <c r="N355">
        <v>2</v>
      </c>
      <c r="O355">
        <v>0</v>
      </c>
      <c r="P355">
        <v>1</v>
      </c>
    </row>
    <row r="356">
      <c r="A356" t="inlineStr">
        <is>
          <t>RURAL</t>
        </is>
      </c>
      <c r="B356" t="inlineStr">
        <is>
          <t>US 158</t>
        </is>
      </c>
      <c r="C356">
        <v>0.009</v>
      </c>
      <c r="D356" t="inlineStr">
        <is>
          <t>E</t>
        </is>
      </c>
      <c r="E356" t="inlineStr">
        <is>
          <t>SR 1602</t>
        </is>
      </c>
      <c r="F356" t="inlineStr">
        <is>
          <t>SR 1521</t>
        </is>
      </c>
      <c r="G356" t="inlineStr">
        <is>
          <t>US 158</t>
        </is>
      </c>
      <c r="H356">
        <v>999.999</v>
      </c>
      <c r="J356" s="604" t="inlineStr">
        <is>
          <t>NIS</t>
        </is>
      </c>
      <c r="K356">
        <v>108254741</v>
      </c>
      <c r="L356" s="2">
        <v>45931</v>
      </c>
      <c r="M356">
        <v>24</v>
      </c>
      <c r="N356">
        <v>1</v>
      </c>
      <c r="O356">
        <v>7</v>
      </c>
      <c r="P356">
        <v>1</v>
      </c>
      <c r="Q356" t="inlineStr">
        <is>
          <t>O</t>
        </is>
      </c>
      <c r="R356">
        <v>36.313406</v>
      </c>
      <c r="S356">
        <v>-78.55273</v>
      </c>
      <c r="T356" t="inlineStr">
        <is>
          <t>DMV349CLEANED</t>
        </is>
      </c>
      <c r="V356">
        <v>1.9403739751093447</v>
      </c>
    </row>
    <row r="357">
      <c r="A357" t="inlineStr">
        <is>
          <t>CREEDMOOR</t>
        </is>
      </c>
      <c r="B357" t="inlineStr">
        <is>
          <t>MAIN</t>
        </is>
      </c>
      <c r="C357">
        <v>0.015</v>
      </c>
      <c r="D357" t="inlineStr">
        <is>
          <t>S</t>
        </is>
      </c>
      <c r="E357" t="inlineStr">
        <is>
          <t>FLEMING</t>
        </is>
      </c>
      <c r="G357" t="inlineStr">
        <is>
          <t>NC 50</t>
        </is>
      </c>
      <c r="H357">
        <v>3.111</v>
      </c>
      <c r="J357" s="604" t="inlineStr">
        <is>
          <t>NIS</t>
        </is>
      </c>
      <c r="K357">
        <v>108287261</v>
      </c>
      <c r="L357" s="2">
        <v>45953</v>
      </c>
      <c r="M357">
        <v>21</v>
      </c>
      <c r="N357">
        <v>1</v>
      </c>
      <c r="O357">
        <v>0</v>
      </c>
      <c r="P357">
        <v>1</v>
      </c>
      <c r="Q357" t="inlineStr">
        <is>
          <t>C</t>
        </is>
      </c>
    </row>
    <row r="358">
      <c r="A358" t="inlineStr">
        <is>
          <t>CREEDMOOR</t>
        </is>
      </c>
      <c r="B358" t="inlineStr">
        <is>
          <t>DOUGLAS</t>
        </is>
      </c>
      <c r="C358">
        <v>0.0</v>
      </c>
      <c r="E358" t="inlineStr">
        <is>
          <t>MAIN</t>
        </is>
      </c>
      <c r="F358" t="inlineStr">
        <is>
          <t>MAIN</t>
        </is>
      </c>
      <c r="G358" t="inlineStr">
        <is>
          <t>NC 50</t>
        </is>
      </c>
      <c r="H358">
        <v>3.226</v>
      </c>
      <c r="J358" s="604" t="inlineStr">
        <is>
          <t>NIS</t>
        </is>
      </c>
      <c r="K358">
        <v>108332317</v>
      </c>
      <c r="L358" s="2">
        <v>45961</v>
      </c>
      <c r="M358">
        <v>24</v>
      </c>
      <c r="N358">
        <v>1</v>
      </c>
      <c r="O358">
        <v>0</v>
      </c>
      <c r="P358">
        <v>1</v>
      </c>
      <c r="Q358" t="inlineStr">
        <is>
          <t>O</t>
        </is>
      </c>
    </row>
    <row r="359">
      <c r="A359" t="inlineStr">
        <is>
          <t>RURAL</t>
        </is>
      </c>
      <c r="B359" t="inlineStr">
        <is>
          <t>SR 1522</t>
        </is>
      </c>
      <c r="C359">
        <v>0.2</v>
      </c>
      <c r="D359" t="inlineStr">
        <is>
          <t>NE</t>
        </is>
      </c>
      <c r="E359" t="inlineStr">
        <is>
          <t>SR 1533</t>
        </is>
      </c>
      <c r="F359" t="inlineStr">
        <is>
          <t>CL-VANCE</t>
        </is>
      </c>
      <c r="G359" t="inlineStr">
        <is>
          <t>SR 1522</t>
        </is>
      </c>
      <c r="H359">
        <v>4.306</v>
      </c>
      <c r="J359" s="604" t="inlineStr">
        <is>
          <t>NIS</t>
        </is>
      </c>
      <c r="K359">
        <v>108288938</v>
      </c>
      <c r="L359" s="2">
        <v>45962</v>
      </c>
      <c r="M359">
        <v>5</v>
      </c>
      <c r="N359">
        <v>1</v>
      </c>
      <c r="O359">
        <v>0</v>
      </c>
      <c r="P359">
        <v>1</v>
      </c>
      <c r="Q359" t="inlineStr">
        <is>
          <t>O</t>
        </is>
      </c>
    </row>
    <row r="360">
      <c r="A360" t="inlineStr">
        <is>
          <t>RURAL</t>
        </is>
      </c>
      <c r="B360" t="inlineStr">
        <is>
          <t>SR 1522</t>
        </is>
      </c>
      <c r="C360">
        <v>0.2</v>
      </c>
      <c r="D360" t="inlineStr">
        <is>
          <t>N</t>
        </is>
      </c>
      <c r="E360" t="inlineStr">
        <is>
          <t>SR 1515</t>
        </is>
      </c>
      <c r="F360" t="inlineStr">
        <is>
          <t>SR 1523</t>
        </is>
      </c>
      <c r="G360" t="inlineStr">
        <is>
          <t>SR 1522</t>
        </is>
      </c>
      <c r="H360">
        <v>1.408</v>
      </c>
      <c r="J360" s="604" t="inlineStr">
        <is>
          <t>NIS</t>
        </is>
      </c>
      <c r="K360">
        <v>108307988</v>
      </c>
      <c r="L360" s="2">
        <v>45976</v>
      </c>
      <c r="M360">
        <v>5</v>
      </c>
      <c r="N360">
        <v>1</v>
      </c>
      <c r="O360">
        <v>0</v>
      </c>
      <c r="P360">
        <v>1</v>
      </c>
      <c r="Q360" t="inlineStr">
        <is>
          <t>O</t>
        </is>
      </c>
    </row>
    <row r="361">
      <c r="A361" t="inlineStr">
        <is>
          <t>CREEDMOOR</t>
        </is>
      </c>
      <c r="B361" t="inlineStr">
        <is>
          <t>NC 56</t>
        </is>
      </c>
      <c r="C361">
        <v>0.0</v>
      </c>
      <c r="E361" t="inlineStr">
        <is>
          <t>MAIN</t>
        </is>
      </c>
      <c r="F361" t="inlineStr">
        <is>
          <t>DOUGLAS</t>
        </is>
      </c>
      <c r="G361" t="inlineStr">
        <is>
          <t>NC 50</t>
        </is>
      </c>
      <c r="H361">
        <v>3.284</v>
      </c>
      <c r="J361" s="604" t="inlineStr">
        <is>
          <t>NIS</t>
        </is>
      </c>
      <c r="K361">
        <v>108321102</v>
      </c>
      <c r="L361" s="2">
        <v>45981</v>
      </c>
      <c r="M361">
        <v>30</v>
      </c>
      <c r="N361">
        <v>1</v>
      </c>
      <c r="O361">
        <v>7</v>
      </c>
      <c r="P361">
        <v>2</v>
      </c>
      <c r="Q361" t="inlineStr">
        <is>
          <t>C</t>
        </is>
      </c>
    </row>
    <row r="362">
      <c r="A362" t="inlineStr">
        <is>
          <t>OXFORD</t>
        </is>
      </c>
      <c r="B362" t="inlineStr">
        <is>
          <t>MAIN</t>
        </is>
      </c>
      <c r="C362">
        <v>0.0</v>
      </c>
      <c r="E362" t="inlineStr">
        <is>
          <t>FRONT</t>
        </is>
      </c>
      <c r="F362" t="inlineStr">
        <is>
          <t>MAIN</t>
        </is>
      </c>
      <c r="G362" t="inlineStr">
        <is>
          <t>SR 1602</t>
        </is>
      </c>
      <c r="H362">
        <v>1.149</v>
      </c>
      <c r="J362" s="604" t="inlineStr">
        <is>
          <t>NIS</t>
        </is>
      </c>
      <c r="K362">
        <v>108324306</v>
      </c>
      <c r="L362" s="2">
        <v>45992</v>
      </c>
      <c r="M362">
        <v>1</v>
      </c>
      <c r="N362">
        <v>1</v>
      </c>
      <c r="O362">
        <v>0</v>
      </c>
      <c r="P362">
        <v>1</v>
      </c>
    </row>
    <row r="363">
      <c r="A363" t="inlineStr">
        <is>
          <t>OXFORD</t>
        </is>
      </c>
      <c r="B363" t="inlineStr">
        <is>
          <t>WILLIAMSBORO</t>
        </is>
      </c>
      <c r="C363">
        <v>0.0</v>
      </c>
      <c r="E363" t="inlineStr">
        <is>
          <t>SPRING</t>
        </is>
      </c>
      <c r="F363" t="inlineStr">
        <is>
          <t>SPRING</t>
        </is>
      </c>
      <c r="G363" t="inlineStr">
        <is>
          <t>US 158BUS</t>
        </is>
      </c>
      <c r="H363">
        <v>2.685</v>
      </c>
      <c r="J363" s="604" t="inlineStr">
        <is>
          <t>NIS</t>
        </is>
      </c>
      <c r="K363">
        <v>108334601</v>
      </c>
      <c r="L363" s="2">
        <v>46004</v>
      </c>
      <c r="M363">
        <v>1</v>
      </c>
      <c r="N363">
        <v>1</v>
      </c>
      <c r="O363">
        <v>0</v>
      </c>
      <c r="P363">
        <v>1</v>
      </c>
      <c r="Q363" t="inlineStr">
        <is>
          <t>O</t>
        </is>
      </c>
    </row>
    <row r="364">
      <c r="A364" t="inlineStr">
        <is>
          <t>RURAL</t>
        </is>
      </c>
      <c r="B364" t="inlineStr">
        <is>
          <t>SR 1602</t>
        </is>
      </c>
      <c r="C364">
        <v>0.23</v>
      </c>
      <c r="D364" t="inlineStr">
        <is>
          <t>N</t>
        </is>
      </c>
      <c r="E364" t="inlineStr">
        <is>
          <t>MALULI</t>
        </is>
      </c>
      <c r="F364" t="inlineStr">
        <is>
          <t>US 158</t>
        </is>
      </c>
      <c r="G364" t="inlineStr">
        <is>
          <t>SR 1602</t>
        </is>
      </c>
      <c r="H364">
        <v>999.999</v>
      </c>
      <c r="J364" s="604" t="inlineStr">
        <is>
          <t>NIS</t>
        </is>
      </c>
      <c r="K364">
        <v>108357712</v>
      </c>
      <c r="L364" s="2">
        <v>46020</v>
      </c>
      <c r="M364">
        <v>28</v>
      </c>
      <c r="N364">
        <v>1</v>
      </c>
      <c r="O364">
        <v>0</v>
      </c>
      <c r="P364">
        <v>1</v>
      </c>
      <c r="Q364" t="inlineStr">
        <is>
          <t>O</t>
        </is>
      </c>
      <c r="R364">
        <v>36.309411</v>
      </c>
      <c r="S364">
        <v>-78.55524</v>
      </c>
      <c r="T364" t="inlineStr">
        <is>
          <t>DMV349CLEANED</t>
        </is>
      </c>
      <c r="V364">
        <v>1.7870833391980847</v>
      </c>
    </row>
    <row r="365">
      <c r="A365" t="inlineStr">
        <is>
          <t>CREEDMOOR</t>
        </is>
      </c>
      <c r="B365" t="inlineStr">
        <is>
          <t>MAIN</t>
        </is>
      </c>
      <c r="C365">
        <v>0.0</v>
      </c>
      <c r="E365" t="inlineStr">
        <is>
          <t>NC 50</t>
        </is>
      </c>
      <c r="F365" t="inlineStr">
        <is>
          <t>NC 50</t>
        </is>
      </c>
      <c r="G365" t="inlineStr">
        <is>
          <t>NC 50</t>
        </is>
      </c>
      <c r="H365">
        <v>3.285</v>
      </c>
      <c r="J365" s="604" t="inlineStr">
        <is>
          <t>NIS</t>
        </is>
      </c>
      <c r="K365">
        <v>108357308</v>
      </c>
      <c r="L365" s="2">
        <v>46021</v>
      </c>
      <c r="M365">
        <v>21</v>
      </c>
      <c r="N365">
        <v>1</v>
      </c>
      <c r="O365">
        <v>0</v>
      </c>
      <c r="P365">
        <v>1</v>
      </c>
      <c r="Q365" t="inlineStr">
        <is>
          <t>O</t>
        </is>
      </c>
    </row>
    <row r="366">
      <c r="A366" t="inlineStr">
        <is>
          <t>CREEDMOOR</t>
        </is>
      </c>
      <c r="B366" t="inlineStr">
        <is>
          <t>MAIN</t>
        </is>
      </c>
      <c r="C366">
        <v>0.038</v>
      </c>
      <c r="D366" t="inlineStr">
        <is>
          <t>N</t>
        </is>
      </c>
      <c r="E366" t="inlineStr">
        <is>
          <t>*LCL W SANDERFORD ST</t>
        </is>
      </c>
      <c r="F366" t="inlineStr">
        <is>
          <t>MASONIC</t>
        </is>
      </c>
      <c r="H366">
        <v>999.999</v>
      </c>
      <c r="J366" s="604" t="inlineStr">
        <is>
          <t>NIS</t>
        </is>
      </c>
      <c r="K366">
        <v>108393847</v>
      </c>
      <c r="L366" s="2">
        <v>46027</v>
      </c>
      <c r="M366">
        <v>13</v>
      </c>
      <c r="N366">
        <v>1</v>
      </c>
      <c r="O366">
        <v>0</v>
      </c>
      <c r="P366">
        <v>4</v>
      </c>
      <c r="Q366" t="inlineStr">
        <is>
          <t>O</t>
        </is>
      </c>
    </row>
    <row r="367">
      <c r="A367" t="inlineStr">
        <is>
          <t>RURAL</t>
        </is>
      </c>
      <c r="B367" t="inlineStr">
        <is>
          <t>SR 1522</t>
        </is>
      </c>
      <c r="C367">
        <v>0.0</v>
      </c>
      <c r="E367" t="inlineStr">
        <is>
          <t>US 158</t>
        </is>
      </c>
      <c r="F367" t="inlineStr">
        <is>
          <t>SR 1513</t>
        </is>
      </c>
      <c r="G367" t="inlineStr">
        <is>
          <t>SR 1522</t>
        </is>
      </c>
      <c r="H367">
        <v>0.882</v>
      </c>
      <c r="J367" s="604" t="inlineStr">
        <is>
          <t>NIS</t>
        </is>
      </c>
      <c r="K367">
        <v>108365462</v>
      </c>
      <c r="L367" s="2">
        <v>46029</v>
      </c>
      <c r="M367">
        <v>18</v>
      </c>
      <c r="N367">
        <v>1</v>
      </c>
      <c r="O367">
        <v>7</v>
      </c>
      <c r="P367">
        <v>1</v>
      </c>
      <c r="Q367" t="inlineStr">
        <is>
          <t>O</t>
        </is>
      </c>
    </row>
    <row r="368">
      <c r="A368" t="inlineStr">
        <is>
          <t>OXFORD</t>
        </is>
      </c>
      <c r="B368" t="inlineStr">
        <is>
          <t>SALEM</t>
        </is>
      </c>
      <c r="C368">
        <v>0.0</v>
      </c>
      <c r="E368" t="inlineStr">
        <is>
          <t>WILLIAMSBORO</t>
        </is>
      </c>
      <c r="F368" t="inlineStr">
        <is>
          <t>WILLIAMSBORO</t>
        </is>
      </c>
      <c r="G368" t="inlineStr">
        <is>
          <t>US 158BUS</t>
        </is>
      </c>
      <c r="H368">
        <v>2.685</v>
      </c>
      <c r="J368" s="604" t="inlineStr">
        <is>
          <t>NIS</t>
        </is>
      </c>
      <c r="K368">
        <v>108383499</v>
      </c>
      <c r="L368" s="2">
        <v>46038</v>
      </c>
      <c r="M368">
        <v>24</v>
      </c>
      <c r="N368">
        <v>1</v>
      </c>
      <c r="O368">
        <v>7</v>
      </c>
      <c r="P368">
        <v>1</v>
      </c>
      <c r="Q368" t="inlineStr">
        <is>
          <t>O</t>
        </is>
      </c>
    </row>
    <row r="369">
      <c r="A369" t="inlineStr">
        <is>
          <t>CREEDMOOR</t>
        </is>
      </c>
      <c r="B369" t="inlineStr">
        <is>
          <t>MAIN</t>
        </is>
      </c>
      <c r="C369">
        <v>0.0</v>
      </c>
      <c r="E369" t="inlineStr">
        <is>
          <t>LION</t>
        </is>
      </c>
      <c r="F369" t="inlineStr">
        <is>
          <t>NC 56</t>
        </is>
      </c>
      <c r="G369" t="inlineStr">
        <is>
          <t>NC 50</t>
        </is>
      </c>
      <c r="H369">
        <v>2.937</v>
      </c>
      <c r="J369" s="604" t="inlineStr">
        <is>
          <t>NIS</t>
        </is>
      </c>
      <c r="K369">
        <v>108402133</v>
      </c>
      <c r="L369" s="2">
        <v>46063</v>
      </c>
      <c r="M369">
        <v>28</v>
      </c>
      <c r="N369">
        <v>1</v>
      </c>
      <c r="O369">
        <v>0</v>
      </c>
      <c r="P369">
        <v>1</v>
      </c>
      <c r="Q369" t="inlineStr">
        <is>
          <t>O</t>
        </is>
      </c>
    </row>
    <row r="370">
      <c r="A370" t="inlineStr">
        <is>
          <t>CREEDMOOR</t>
        </is>
      </c>
      <c r="B370" t="inlineStr">
        <is>
          <t>MAIN</t>
        </is>
      </c>
      <c r="C370">
        <v>0.009</v>
      </c>
      <c r="D370" t="inlineStr">
        <is>
          <t>S</t>
        </is>
      </c>
      <c r="E370" t="inlineStr">
        <is>
          <t>MASONIC</t>
        </is>
      </c>
      <c r="F370" t="inlineStr">
        <is>
          <t>SANDERFORD</t>
        </is>
      </c>
      <c r="G370" t="inlineStr">
        <is>
          <t>NC 50</t>
        </is>
      </c>
      <c r="H370">
        <v>2.987</v>
      </c>
      <c r="J370" s="604" t="inlineStr">
        <is>
          <t>NIS</t>
        </is>
      </c>
      <c r="K370">
        <v>108398245</v>
      </c>
      <c r="L370" s="2">
        <v>46064</v>
      </c>
      <c r="M370">
        <v>29</v>
      </c>
      <c r="N370">
        <v>1</v>
      </c>
      <c r="O370">
        <v>0</v>
      </c>
      <c r="P370">
        <v>1</v>
      </c>
      <c r="Q370" t="inlineStr">
        <is>
          <t>O</t>
        </is>
      </c>
    </row>
    <row r="371">
      <c r="A371" t="inlineStr">
        <is>
          <t>RURAL</t>
        </is>
      </c>
      <c r="B371" t="inlineStr">
        <is>
          <t>SR 1522</t>
        </is>
      </c>
      <c r="C371">
        <v>0.2</v>
      </c>
      <c r="D371" t="inlineStr">
        <is>
          <t>E</t>
        </is>
      </c>
      <c r="E371" t="inlineStr">
        <is>
          <t>SR 1525</t>
        </is>
      </c>
      <c r="F371" t="inlineStr">
        <is>
          <t>SR 1513</t>
        </is>
      </c>
      <c r="G371" t="inlineStr">
        <is>
          <t>SR 1522</t>
        </is>
      </c>
      <c r="H371">
        <v>2.684</v>
      </c>
      <c r="J371" s="604" t="inlineStr">
        <is>
          <t>NIS</t>
        </is>
      </c>
      <c r="K371">
        <v>108407980</v>
      </c>
      <c r="L371" s="2">
        <v>46071</v>
      </c>
      <c r="M371">
        <v>17</v>
      </c>
      <c r="N371">
        <v>1</v>
      </c>
      <c r="O371">
        <v>0</v>
      </c>
      <c r="P371">
        <v>5</v>
      </c>
      <c r="Q371" t="inlineStr">
        <is>
          <t>O</t>
        </is>
      </c>
    </row>
    <row r="372">
      <c r="A372" t="inlineStr">
        <is>
          <t>RURAL</t>
        </is>
      </c>
      <c r="B372" t="inlineStr">
        <is>
          <t>SR 1522</t>
        </is>
      </c>
      <c r="C372">
        <v>1.5</v>
      </c>
      <c r="D372" t="inlineStr">
        <is>
          <t>S</t>
        </is>
      </c>
      <c r="E372" t="inlineStr">
        <is>
          <t>SR 1521</t>
        </is>
      </c>
      <c r="F372" t="inlineStr">
        <is>
          <t>SR 1533</t>
        </is>
      </c>
      <c r="G372" t="inlineStr">
        <is>
          <t>SR 1522</t>
        </is>
      </c>
      <c r="H372">
        <v>1.604</v>
      </c>
      <c r="J372" s="604" t="inlineStr">
        <is>
          <t>NIS</t>
        </is>
      </c>
      <c r="K372">
        <v>108414530</v>
      </c>
      <c r="L372" s="2">
        <v>46072</v>
      </c>
      <c r="M372">
        <v>19</v>
      </c>
      <c r="N372">
        <v>2</v>
      </c>
      <c r="O372">
        <v>0</v>
      </c>
      <c r="P372">
        <v>5</v>
      </c>
      <c r="Q372" t="inlineStr">
        <is>
          <t>O</t>
        </is>
      </c>
    </row>
    <row r="373">
      <c r="A373" t="inlineStr">
        <is>
          <t>RURAL</t>
        </is>
      </c>
      <c r="B373" t="inlineStr">
        <is>
          <t>SR 1522</t>
        </is>
      </c>
      <c r="C373">
        <v>0.2</v>
      </c>
      <c r="D373" t="inlineStr">
        <is>
          <t>E</t>
        </is>
      </c>
      <c r="E373" t="inlineStr">
        <is>
          <t>SR 1533</t>
        </is>
      </c>
      <c r="F373" t="inlineStr">
        <is>
          <t>CL-VANCE</t>
        </is>
      </c>
      <c r="G373" t="inlineStr">
        <is>
          <t>SR 1522</t>
        </is>
      </c>
      <c r="H373">
        <v>4.306</v>
      </c>
      <c r="J373" s="604" t="inlineStr">
        <is>
          <t>NIS</t>
        </is>
      </c>
      <c r="K373">
        <v>108411395</v>
      </c>
      <c r="L373" s="2">
        <v>46076</v>
      </c>
      <c r="M373">
        <v>19</v>
      </c>
      <c r="N373">
        <v>1</v>
      </c>
      <c r="O373">
        <v>5</v>
      </c>
      <c r="P373">
        <v>3</v>
      </c>
      <c r="Q373" t="inlineStr">
        <is>
          <t>O</t>
        </is>
      </c>
    </row>
    <row r="374">
      <c r="A374" t="inlineStr">
        <is>
          <t>OXFORD</t>
        </is>
      </c>
      <c r="B374" t="inlineStr">
        <is>
          <t>MARTIN LUTHER KING</t>
        </is>
      </c>
      <c r="C374">
        <v>0.0</v>
      </c>
      <c r="E374" t="inlineStr">
        <is>
          <t>SPRING</t>
        </is>
      </c>
      <c r="F374" t="inlineStr">
        <is>
          <t>MARTIN LUTHER KING</t>
        </is>
      </c>
      <c r="G374" t="inlineStr">
        <is>
          <t>NC 96</t>
        </is>
      </c>
      <c r="H374">
        <v>17.59</v>
      </c>
      <c r="J374" s="604" t="inlineStr">
        <is>
          <t>NIS</t>
        </is>
      </c>
      <c r="K374">
        <v>108410554</v>
      </c>
      <c r="L374" s="2">
        <v>46077</v>
      </c>
      <c r="M374">
        <v>30</v>
      </c>
      <c r="N374">
        <v>1</v>
      </c>
      <c r="O374">
        <v>7</v>
      </c>
      <c r="P374">
        <v>1</v>
      </c>
      <c r="Q374" t="inlineStr">
        <is>
          <t>O</t>
        </is>
      </c>
    </row>
    <row r="375">
      <c r="A375" t="inlineStr">
        <is>
          <t>CREEDMOOR</t>
        </is>
      </c>
      <c r="B375" t="inlineStr">
        <is>
          <t>PVA FAMILY FARE STORE</t>
        </is>
      </c>
      <c r="C375">
        <v>0.0</v>
      </c>
      <c r="E375" t="inlineStr">
        <is>
          <t>MAIN</t>
        </is>
      </c>
      <c r="F375" t="inlineStr">
        <is>
          <t>MAIN</t>
        </is>
      </c>
      <c r="H375">
        <v>999.999</v>
      </c>
      <c r="J375" s="604" t="inlineStr">
        <is>
          <t>NIS</t>
        </is>
      </c>
      <c r="K375">
        <v>108457950</v>
      </c>
      <c r="L375" s="2">
        <v>46087</v>
      </c>
      <c r="M375">
        <v>31</v>
      </c>
      <c r="N375">
        <v>1</v>
      </c>
      <c r="O375">
        <v>0</v>
      </c>
      <c r="P375">
        <v>1</v>
      </c>
      <c r="Q375" t="inlineStr">
        <is>
          <t>O</t>
        </is>
      </c>
    </row>
    <row r="376">
      <c r="A376" t="inlineStr">
        <is>
          <t>RURAL</t>
        </is>
      </c>
      <c r="B376" t="inlineStr">
        <is>
          <t>SR 1521</t>
        </is>
      </c>
      <c r="C376">
        <v>0.0</v>
      </c>
      <c r="D376" t="inlineStr">
        <is>
          <t>N</t>
        </is>
      </c>
      <c r="E376" t="inlineStr">
        <is>
          <t>SR 1522</t>
        </is>
      </c>
      <c r="F376" t="inlineStr">
        <is>
          <t>SR 1520</t>
        </is>
      </c>
      <c r="G376" t="inlineStr">
        <is>
          <t>SR 1521</t>
        </is>
      </c>
      <c r="H376">
        <v>3.289</v>
      </c>
      <c r="J376" s="604" t="inlineStr">
        <is>
          <t>NIS</t>
        </is>
      </c>
      <c r="K376">
        <v>108433634</v>
      </c>
      <c r="L376" s="2">
        <v>46096</v>
      </c>
      <c r="M376">
        <v>17</v>
      </c>
      <c r="N376">
        <v>2</v>
      </c>
      <c r="O376">
        <v>0</v>
      </c>
      <c r="P376">
        <v>5</v>
      </c>
      <c r="Q376" t="inlineStr">
        <is>
          <t>O</t>
        </is>
      </c>
    </row>
    <row r="377">
      <c r="A377" t="inlineStr">
        <is>
          <t>CREEDMOOR</t>
        </is>
      </c>
      <c r="B377" t="inlineStr">
        <is>
          <t>MAIN</t>
        </is>
      </c>
      <c r="C377">
        <v>0.0</v>
      </c>
      <c r="E377" t="inlineStr">
        <is>
          <t>CHURCH</t>
        </is>
      </c>
      <c r="F377" t="inlineStr">
        <is>
          <t>ROGER</t>
        </is>
      </c>
      <c r="G377" t="inlineStr">
        <is>
          <t>NC 50</t>
        </is>
      </c>
      <c r="H377">
        <v>2.868</v>
      </c>
      <c r="J377" s="604" t="inlineStr">
        <is>
          <t>NIS</t>
        </is>
      </c>
      <c r="K377">
        <v>108458258</v>
      </c>
      <c r="L377" s="2">
        <v>46113</v>
      </c>
      <c r="M377">
        <v>30</v>
      </c>
      <c r="N377">
        <v>1</v>
      </c>
      <c r="O377">
        <v>7</v>
      </c>
      <c r="P377">
        <v>1</v>
      </c>
      <c r="Q377" t="inlineStr">
        <is>
          <t>O</t>
        </is>
      </c>
    </row>
    <row r="378">
      <c r="A378" t="inlineStr">
        <is>
          <t>OXFORD</t>
        </is>
      </c>
      <c r="B378" t="inlineStr">
        <is>
          <t>GRANVILLE</t>
        </is>
      </c>
      <c r="C378">
        <v>0.0</v>
      </c>
      <c r="E378" t="inlineStr">
        <is>
          <t>SPRING</t>
        </is>
      </c>
      <c r="F378" t="inlineStr">
        <is>
          <t>SYCAMORE</t>
        </is>
      </c>
      <c r="G378" t="inlineStr">
        <is>
          <t>SPRING</t>
        </is>
      </c>
      <c r="H378">
        <v>0.09</v>
      </c>
      <c r="J378" s="604" t="inlineStr">
        <is>
          <t>NIS</t>
        </is>
      </c>
      <c r="K378">
        <v>108460018</v>
      </c>
      <c r="L378" s="2">
        <v>46115</v>
      </c>
      <c r="M378">
        <v>23</v>
      </c>
      <c r="N378">
        <v>1</v>
      </c>
      <c r="O378">
        <v>7</v>
      </c>
      <c r="P378">
        <v>1</v>
      </c>
      <c r="Q378" t="inlineStr">
        <is>
          <t>C</t>
        </is>
      </c>
    </row>
    <row r="379">
      <c r="A379" t="inlineStr">
        <is>
          <t>OXFORD</t>
        </is>
      </c>
      <c r="B379" t="inlineStr">
        <is>
          <t>MAIN</t>
        </is>
      </c>
      <c r="C379">
        <v>0.0</v>
      </c>
      <c r="E379" t="inlineStr">
        <is>
          <t>COURT</t>
        </is>
      </c>
      <c r="F379" t="inlineStr">
        <is>
          <t>COURT</t>
        </is>
      </c>
      <c r="G379" t="inlineStr">
        <is>
          <t>SR 1602</t>
        </is>
      </c>
      <c r="H379">
        <v>1.477</v>
      </c>
      <c r="J379" s="604" t="inlineStr">
        <is>
          <t>NIS</t>
        </is>
      </c>
      <c r="K379">
        <v>108466832</v>
      </c>
      <c r="L379" s="2">
        <v>46128</v>
      </c>
      <c r="M379">
        <v>3</v>
      </c>
      <c r="N379">
        <v>1</v>
      </c>
      <c r="O379">
        <v>7</v>
      </c>
      <c r="P379">
        <v>1</v>
      </c>
      <c r="Q379" t="inlineStr">
        <is>
          <t>O</t>
        </is>
      </c>
    </row>
    <row r="380">
      <c r="A380" t="inlineStr">
        <is>
          <t>CREEDMOOR</t>
        </is>
      </c>
      <c r="B380" t="inlineStr">
        <is>
          <t>MAIN</t>
        </is>
      </c>
      <c r="C380">
        <v>0.006</v>
      </c>
      <c r="D380" t="inlineStr">
        <is>
          <t>S</t>
        </is>
      </c>
      <c r="E380" t="inlineStr">
        <is>
          <t>NC 56</t>
        </is>
      </c>
      <c r="F380" t="inlineStr">
        <is>
          <t>DOUGLAS</t>
        </is>
      </c>
      <c r="G380" t="inlineStr">
        <is>
          <t>NC 50</t>
        </is>
      </c>
      <c r="H380">
        <v>3.278</v>
      </c>
      <c r="J380" s="604" t="inlineStr">
        <is>
          <t>NIS</t>
        </is>
      </c>
      <c r="K380">
        <v>108484990</v>
      </c>
      <c r="L380" s="2">
        <v>46140</v>
      </c>
      <c r="M380">
        <v>21</v>
      </c>
      <c r="N380">
        <v>1</v>
      </c>
      <c r="O380">
        <v>0</v>
      </c>
      <c r="P380">
        <v>1</v>
      </c>
      <c r="Q380" t="inlineStr">
        <is>
          <t>O</t>
        </is>
      </c>
    </row>
    <row r="381">
      <c r="A381" t="inlineStr">
        <is>
          <t>OXFORD</t>
        </is>
      </c>
      <c r="B381" t="inlineStr">
        <is>
          <t>LEWIS</t>
        </is>
      </c>
      <c r="C381">
        <v>0.0</v>
      </c>
      <c r="E381" t="inlineStr">
        <is>
          <t>SPRING</t>
        </is>
      </c>
      <c r="F381" t="inlineStr">
        <is>
          <t>LEWIS</t>
        </is>
      </c>
      <c r="G381" t="inlineStr">
        <is>
          <t>US 15</t>
        </is>
      </c>
      <c r="H381">
        <v>20.498</v>
      </c>
      <c r="J381" s="604" t="inlineStr">
        <is>
          <t>NIS</t>
        </is>
      </c>
      <c r="K381">
        <v>108498369</v>
      </c>
      <c r="L381" s="2">
        <v>46144</v>
      </c>
      <c r="M381">
        <v>30</v>
      </c>
      <c r="N381">
        <v>1</v>
      </c>
      <c r="O381">
        <v>0</v>
      </c>
      <c r="P381">
        <v>1</v>
      </c>
      <c r="Q381" t="inlineStr">
        <is>
          <t>O</t>
        </is>
      </c>
    </row>
    <row r="382">
      <c r="A382" t="inlineStr">
        <is>
          <t>CREEDMOOR</t>
        </is>
      </c>
      <c r="B382" t="inlineStr">
        <is>
          <t>MAIN</t>
        </is>
      </c>
      <c r="C382">
        <v>0.0</v>
      </c>
      <c r="E382" t="inlineStr">
        <is>
          <t>MAIN</t>
        </is>
      </c>
      <c r="F382" t="inlineStr">
        <is>
          <t>*LCL W SANDERFORD ST</t>
        </is>
      </c>
      <c r="G382" t="inlineStr">
        <is>
          <t>SR 1127</t>
        </is>
      </c>
      <c r="H382">
        <v>5.073</v>
      </c>
      <c r="J382" s="604" t="inlineStr">
        <is>
          <t>NIS</t>
        </is>
      </c>
      <c r="K382">
        <v>108492798</v>
      </c>
      <c r="L382" s="2">
        <v>46148</v>
      </c>
      <c r="M382">
        <v>28</v>
      </c>
      <c r="N382">
        <v>1</v>
      </c>
      <c r="O382">
        <v>0</v>
      </c>
      <c r="P382">
        <v>1</v>
      </c>
      <c r="Q382" t="inlineStr">
        <is>
          <t>O</t>
        </is>
      </c>
    </row>
    <row r="383">
      <c r="A383" t="inlineStr">
        <is>
          <t>CREEDMOOR</t>
        </is>
      </c>
      <c r="B383" t="inlineStr">
        <is>
          <t>MAIN</t>
        </is>
      </c>
      <c r="C383">
        <v>0.0</v>
      </c>
      <c r="E383" t="inlineStr">
        <is>
          <t>*LCL W SANDERFORD ST</t>
        </is>
      </c>
      <c r="F383" t="inlineStr">
        <is>
          <t>MAIN</t>
        </is>
      </c>
      <c r="H383">
        <v>999.999</v>
      </c>
      <c r="J383" s="604" t="inlineStr">
        <is>
          <t>NIS</t>
        </is>
      </c>
      <c r="K383">
        <v>108551459</v>
      </c>
      <c r="L383" s="2">
        <v>46148</v>
      </c>
      <c r="M383">
        <v>28</v>
      </c>
      <c r="N383">
        <v>1</v>
      </c>
      <c r="O383">
        <v>0</v>
      </c>
      <c r="P383">
        <v>1</v>
      </c>
      <c r="Q383" t="inlineStr">
        <is>
          <t>O</t>
        </is>
      </c>
    </row>
    <row r="384">
      <c r="A384" t="inlineStr">
        <is>
          <t>CREEDMOOR</t>
        </is>
      </c>
      <c r="B384" t="inlineStr">
        <is>
          <t>MAIN</t>
        </is>
      </c>
      <c r="C384">
        <v>0.0</v>
      </c>
      <c r="E384" t="inlineStr">
        <is>
          <t>LION</t>
        </is>
      </c>
      <c r="F384" t="inlineStr">
        <is>
          <t>LION</t>
        </is>
      </c>
      <c r="G384" t="inlineStr">
        <is>
          <t>NC 50</t>
        </is>
      </c>
      <c r="H384">
        <v>2.937</v>
      </c>
      <c r="J384" s="604" t="inlineStr">
        <is>
          <t>NIS</t>
        </is>
      </c>
      <c r="K384">
        <v>108506608</v>
      </c>
      <c r="L384" s="2">
        <v>46164</v>
      </c>
      <c r="M384">
        <v>24</v>
      </c>
      <c r="N384">
        <v>2</v>
      </c>
      <c r="O384">
        <v>7</v>
      </c>
      <c r="P384">
        <v>1</v>
      </c>
      <c r="Q384" t="inlineStr">
        <is>
          <t>O</t>
        </is>
      </c>
    </row>
    <row r="385">
      <c r="A385" t="inlineStr">
        <is>
          <t>CREEDMOOR</t>
        </is>
      </c>
      <c r="B385" t="inlineStr">
        <is>
          <t>MAIN</t>
        </is>
      </c>
      <c r="C385">
        <v>0.021</v>
      </c>
      <c r="D385" t="inlineStr">
        <is>
          <t>N</t>
        </is>
      </c>
      <c r="E385" t="inlineStr">
        <is>
          <t>SANDERFORD</t>
        </is>
      </c>
      <c r="F385" t="inlineStr">
        <is>
          <t>MASONIC</t>
        </is>
      </c>
      <c r="G385" t="inlineStr">
        <is>
          <t>NC 50</t>
        </is>
      </c>
      <c r="H385">
        <v>2.987</v>
      </c>
      <c r="J385" s="604" t="inlineStr">
        <is>
          <t>NIS</t>
        </is>
      </c>
      <c r="K385">
        <v>108516973</v>
      </c>
      <c r="L385" s="2">
        <v>46168</v>
      </c>
      <c r="M385">
        <v>28</v>
      </c>
      <c r="N385">
        <v>2</v>
      </c>
      <c r="O385">
        <v>0</v>
      </c>
      <c r="P385">
        <v>1</v>
      </c>
    </row>
    <row r="386">
      <c r="A386" t="inlineStr">
        <is>
          <t>CREEDMOOR</t>
        </is>
      </c>
      <c r="B386" t="inlineStr">
        <is>
          <t>MAIN</t>
        </is>
      </c>
      <c r="C386">
        <v>0.0</v>
      </c>
      <c r="E386" t="inlineStr">
        <is>
          <t>DOUGLAS</t>
        </is>
      </c>
      <c r="F386" t="inlineStr">
        <is>
          <t>NC 56</t>
        </is>
      </c>
      <c r="G386" t="inlineStr">
        <is>
          <t>NC 50</t>
        </is>
      </c>
      <c r="H386">
        <v>3.226</v>
      </c>
      <c r="J386" s="604" t="inlineStr">
        <is>
          <t>NIS</t>
        </is>
      </c>
      <c r="K386">
        <v>108532983</v>
      </c>
      <c r="L386" s="2">
        <v>46178</v>
      </c>
      <c r="M386">
        <v>30</v>
      </c>
      <c r="N386">
        <v>1</v>
      </c>
      <c r="O386">
        <v>0</v>
      </c>
      <c r="P386">
        <v>1</v>
      </c>
      <c r="Q386" t="inlineStr">
        <is>
          <t>O</t>
        </is>
      </c>
    </row>
    <row r="387">
      <c r="A387" t="inlineStr">
        <is>
          <t>RURAL</t>
        </is>
      </c>
      <c r="B387" t="inlineStr">
        <is>
          <t>SR 1522</t>
        </is>
      </c>
      <c r="C387">
        <v>0.29</v>
      </c>
      <c r="D387" t="inlineStr">
        <is>
          <t>E</t>
        </is>
      </c>
      <c r="E387" t="inlineStr">
        <is>
          <t>SR 1521</t>
        </is>
      </c>
      <c r="F387" t="inlineStr">
        <is>
          <t>SR 1533</t>
        </is>
      </c>
      <c r="G387" t="inlineStr">
        <is>
          <t>SR 1522</t>
        </is>
      </c>
      <c r="H387">
        <v>3.394</v>
      </c>
      <c r="J387" s="604" t="inlineStr">
        <is>
          <t>NIS</t>
        </is>
      </c>
      <c r="K387">
        <v>108530730</v>
      </c>
      <c r="L387" s="2">
        <v>46187</v>
      </c>
      <c r="M387">
        <v>19</v>
      </c>
      <c r="N387">
        <v>1</v>
      </c>
      <c r="O387">
        <v>0</v>
      </c>
      <c r="P387">
        <v>1</v>
      </c>
      <c r="Q387" t="inlineStr">
        <is>
          <t>B</t>
        </is>
      </c>
    </row>
    <row r="388">
      <c r="A388" t="inlineStr">
        <is>
          <t>RURAL</t>
        </is>
      </c>
      <c r="B388" t="inlineStr">
        <is>
          <t>SR 1522</t>
        </is>
      </c>
      <c r="C388">
        <v>0.29</v>
      </c>
      <c r="D388" t="inlineStr">
        <is>
          <t>E</t>
        </is>
      </c>
      <c r="E388" t="inlineStr">
        <is>
          <t>SR 1521</t>
        </is>
      </c>
      <c r="F388" t="inlineStr">
        <is>
          <t>SR 1533</t>
        </is>
      </c>
      <c r="G388" t="inlineStr">
        <is>
          <t>SR 1522</t>
        </is>
      </c>
      <c r="H388">
        <v>3.394</v>
      </c>
      <c r="J388" s="604" t="inlineStr">
        <is>
          <t>NIS</t>
        </is>
      </c>
      <c r="K388">
        <v>108532682</v>
      </c>
      <c r="L388" s="2">
        <v>46187</v>
      </c>
      <c r="M388">
        <v>31</v>
      </c>
      <c r="N388">
        <v>1</v>
      </c>
      <c r="O388">
        <v>0</v>
      </c>
      <c r="P388">
        <v>1</v>
      </c>
      <c r="Q388" t="inlineStr">
        <is>
          <t>O</t>
        </is>
      </c>
    </row>
    <row r="389">
      <c r="A389" t="inlineStr">
        <is>
          <t>RURAL</t>
        </is>
      </c>
      <c r="B389" t="inlineStr">
        <is>
          <t>SR 1522</t>
        </is>
      </c>
      <c r="C389">
        <v>0.0</v>
      </c>
      <c r="E389" t="inlineStr">
        <is>
          <t>PVA WRIGHT FUNERAL HOME</t>
        </is>
      </c>
      <c r="F389" t="inlineStr">
        <is>
          <t>SR 1515</t>
        </is>
      </c>
      <c r="H389">
        <v>999.999</v>
      </c>
      <c r="J389" s="604" t="inlineStr">
        <is>
          <t>NIS</t>
        </is>
      </c>
      <c r="K389">
        <v>108556564</v>
      </c>
      <c r="L389" s="2">
        <v>46210</v>
      </c>
      <c r="M389">
        <v>19</v>
      </c>
      <c r="N389">
        <v>2</v>
      </c>
      <c r="O389">
        <v>4</v>
      </c>
      <c r="P389">
        <v>5</v>
      </c>
      <c r="Q389" t="inlineStr">
        <is>
          <t>C</t>
        </is>
      </c>
    </row>
    <row r="390">
      <c r="A390" t="inlineStr">
        <is>
          <t>CREEDMOOR</t>
        </is>
      </c>
      <c r="B390" t="inlineStr">
        <is>
          <t>MAIN</t>
        </is>
      </c>
      <c r="C390">
        <v>0.0</v>
      </c>
      <c r="E390" t="inlineStr">
        <is>
          <t>MASONIC</t>
        </is>
      </c>
      <c r="F390" t="inlineStr">
        <is>
          <t>SANDERFORD</t>
        </is>
      </c>
      <c r="G390" t="inlineStr">
        <is>
          <t>NC 50</t>
        </is>
      </c>
      <c r="H390">
        <v>2.996</v>
      </c>
      <c r="J390" s="604" t="inlineStr">
        <is>
          <t>NIS</t>
        </is>
      </c>
      <c r="K390">
        <v>108553169</v>
      </c>
      <c r="L390" s="2">
        <v>46211</v>
      </c>
      <c r="M390">
        <v>28</v>
      </c>
      <c r="N390">
        <v>1</v>
      </c>
      <c r="O390">
        <v>0</v>
      </c>
      <c r="P390">
        <v>1</v>
      </c>
      <c r="Q390" t="inlineStr">
        <is>
          <t>O</t>
        </is>
      </c>
    </row>
    <row r="391">
      <c r="A391" t="inlineStr">
        <is>
          <t>OXFORD</t>
        </is>
      </c>
      <c r="B391" t="inlineStr">
        <is>
          <t>LEWIS</t>
        </is>
      </c>
      <c r="C391">
        <v>0.0</v>
      </c>
      <c r="E391" t="inlineStr">
        <is>
          <t>SPRING</t>
        </is>
      </c>
      <c r="F391" t="inlineStr">
        <is>
          <t>INDUSTRY</t>
        </is>
      </c>
      <c r="G391" t="inlineStr">
        <is>
          <t>US 15</t>
        </is>
      </c>
      <c r="H391">
        <v>20.498</v>
      </c>
      <c r="J391" s="604" t="inlineStr">
        <is>
          <t>NIS</t>
        </is>
      </c>
      <c r="K391">
        <v>108561053</v>
      </c>
      <c r="L391" s="2">
        <v>46214</v>
      </c>
      <c r="M391">
        <v>32</v>
      </c>
      <c r="N391">
        <v>1</v>
      </c>
      <c r="O391">
        <v>0</v>
      </c>
      <c r="P391">
        <v>1</v>
      </c>
      <c r="Q391" t="inlineStr">
        <is>
          <t>C</t>
        </is>
      </c>
    </row>
  </sheetData>
  <sheetProtection formatCells="0" formatColumns="0" formatRows="0" insertColumns="0" insertRows="0" insertHyperlinks="0" sort="0" autoFilter="0" pivotTables="0"/>
  <sortState xmlns:xlrd2="http://schemas.microsoft.com/office/spreadsheetml/2017/richdata2" ref="A2:AA23">
    <sortCondition ref="L3:L23"/>
  </sortState>
  <hyperlinks>
    <hyperlink ref="U35" r:id="rId1" xr:uid="{57D7CC05-C907-4B2B-90CA-87680E4B01A7}"/>
    <hyperlink ref="U36" r:id="rId2" xr:uid="{EC9E0D6D-C288-4459-A5C4-0BE062717241}"/>
    <hyperlink ref="U42" r:id="rId3" xr:uid="{21AAEFD6-0B2D-4BCA-AA9C-9751E2F77DEB}"/>
    <hyperlink ref="U44" r:id="rId4" xr:uid="{179C5232-4161-427F-BDD7-AEB6A38D0BF4}"/>
    <hyperlink ref="U45" r:id="rId5" xr:uid="{C51E73BD-81D2-49E0-A125-AB1922D46D17}"/>
    <hyperlink ref="U23" r:id="rId6" xr:uid="{ABB7EF93-9487-4FAB-867A-98E500CA5B3A}"/>
    <hyperlink ref="U21" r:id="rId7" xr:uid="{BB3B8327-98AE-406A-9159-76FDE92D35C5}"/>
    <hyperlink ref="U22" r:id="rId8" xr:uid="{D9A23181-182E-4D43-8ADE-624F43E83EB3}"/>
    <hyperlink ref="U19" r:id="rId9" xr:uid="{B8C3D57B-6889-401D-AEDD-2FB4DE182CA1}"/>
    <hyperlink ref="U18" r:id="rId10" xr:uid="{98F86B29-AD8E-4B75-BBB8-B40D2308EC99}"/>
    <hyperlink ref="U46" r:id="rId11" xr:uid="{F45BCC9A-A4E3-476F-A5D1-8F155B197D7A}"/>
    <hyperlink ref="U26" r:id="rId12" xr:uid="{0D3592F2-6D2C-44F9-B921-8DED6B109AFA}"/>
    <hyperlink ref="U49" r:id="rId13" xr:uid="{918E0275-01E8-401F-B116-ED163AC5FCAE}"/>
    <hyperlink ref="U52" r:id="rId14" xr:uid="{3A75077C-A2F3-42D7-B208-49C0451DA79C}"/>
    <hyperlink ref="U144" r:id="rId15" xr:uid="{B9F8D11E-40D7-43ED-BA41-43719013D125}"/>
    <hyperlink ref="U149" r:id="rId16" xr:uid="{86A3A25B-0EFD-44F9-AE15-DEE9B031FA33}"/>
    <hyperlink ref="U57" r:id="rId17" xr:uid="{6A031BDB-2238-43ED-B8FA-4E6C20DF64E5}"/>
    <hyperlink ref="U60" r:id="rId18" xr:uid="{6B3509C4-7862-4B7F-9D5E-9A1DD96C9EB3}"/>
    <hyperlink ref="U158" r:id="rId19" xr:uid="{AC174B43-9D2F-47D7-96F5-1840ADBFF669}"/>
    <hyperlink ref="U66" r:id="rId20" xr:uid="{967D3D52-5DA6-4CCF-BFD2-0E908890038A}"/>
    <hyperlink ref="U20" r:id="rId21" xr:uid="{D94BDE78-9EAD-4C90-806F-0976F670C700}"/>
    <hyperlink ref="U70" r:id="rId22" xr:uid="{05ACF2F0-F5C0-4E49-AB29-1D847E01B54E}"/>
    <hyperlink ref="U74" r:id="rId23" xr:uid="{B57EEBBD-25BC-4ED2-BFC1-4B8DAC6794C2}"/>
    <hyperlink ref="U77" r:id="rId24" xr:uid="{0B3370D2-8132-43C8-B670-DB2678EB2E9B}"/>
    <hyperlink ref="U81" r:id="rId25" xr:uid="{7BA4C0A6-1D8B-4A00-AB7C-9B8112D32529}"/>
    <hyperlink ref="U88" r:id="rId26" xr:uid="{674D437E-A139-40F6-BF63-11288BD9CFCB}"/>
    <hyperlink ref="U91" r:id="rId27" xr:uid="{ECBDE62A-39AE-4B56-A801-A921E4051065}"/>
    <hyperlink ref="U92" r:id="rId28" xr:uid="{A73E8598-0A91-4B31-B149-EB0957BE8EBC}"/>
    <hyperlink ref="U93" r:id="rId29" xr:uid="{C0001639-1078-40BC-AA4F-FB2F7F1A99B2}"/>
    <hyperlink ref="U99" r:id="rId30" xr:uid="{A9BA0C6C-8D25-4B9E-9933-730745C2763F}"/>
    <hyperlink ref="U165" r:id="rId31" xr:uid="{5764EBB8-0890-4AAE-B1F3-D5805A41B960}"/>
    <hyperlink ref="U167" r:id="rId32" xr:uid="{A3C3B590-2690-46BF-B2D5-CB2FC167A028}"/>
    <hyperlink ref="U102" r:id="rId33" xr:uid="{108A5CD0-E544-4905-BC50-E063E53B3717}"/>
    <hyperlink ref="U17" r:id="rId34" xr:uid="{863B1BFF-2BF9-47F7-83F1-DB6B22F5B8EF}"/>
    <hyperlink ref="U112" r:id="rId35" xr:uid="{D78C6F0B-DD12-44C1-B8C1-4CF02FCF66D8}"/>
    <hyperlink ref="U115" r:id="rId36" xr:uid="{5840F1B1-8D9A-4564-BA96-5C47F44CF7D8}"/>
    <hyperlink ref="U116" r:id="rId37" xr:uid="{A4C4BC1D-F790-40F3-A532-2BD00283262F}"/>
    <hyperlink ref="U117" r:id="rId38" xr:uid="{3214A99F-2E00-42FB-87EE-948B0C8FA27D}"/>
    <hyperlink ref="U118" r:id="rId39" xr:uid="{34F02C8C-B8A5-41B0-A25E-A04951C39CFA}"/>
    <hyperlink ref="U119" r:id="rId40" xr:uid="{29D564FB-5E7F-47AC-A8FC-EBFC3C091D2C}"/>
    <hyperlink ref="U121" r:id="rId41" xr:uid="{B9C50D13-39E6-4B47-8764-C3F37707506F}"/>
    <hyperlink ref="U169" r:id="rId42" xr:uid="{617B86D8-6536-4DF0-8A8E-7ACB26256DC6}"/>
    <hyperlink ref="U172" r:id="rId43" xr:uid="{16D8A65F-C6E6-4746-9161-59CE79935706}"/>
    <hyperlink ref="U174" r:id="rId44" xr:uid="{BB610878-B7D5-4CF4-B1AC-6B16FD04C254}"/>
    <hyperlink ref="U176" r:id="rId45" xr:uid="{AF8B9571-5F49-4280-BBD7-D5E2FE92DEB0}"/>
    <hyperlink ref="U179" r:id="rId46" xr:uid="{0F11FD85-1EE7-443F-9685-1710A464AFF9}"/>
    <hyperlink ref="U183" r:id="rId47" xr:uid="{99A75285-1807-4884-B99F-DE1EC2208731}"/>
    <hyperlink ref="U122" r:id="rId48" xr:uid="{26D9443D-F985-4574-983F-A76ED6E70AE7}"/>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D5DF6-C14B-4A9C-AF8D-BE77476CB822}">
  <sheetPr codeName="Sheet11"/>
  <dimension ref="A1:AS1010"/>
  <sheetViews>
    <sheetView workbookViewId="0">
      <selection sqref="A1:N1"/>
    </sheetView>
  </sheetViews>
  <sheetFormatPr defaultColWidth="9.15625" defaultRowHeight="14.4"/>
  <cols>
    <col min="1" max="1" width="10" style="207" bestFit="1" customWidth="1"/>
    <col min="2" max="2" width="10.734375" style="322" bestFit="1" customWidth="1"/>
    <col min="3" max="7" width="3.5234375" style="207" customWidth="1"/>
    <col min="8" max="8" width="11" style="98" customWidth="1"/>
    <col min="9" max="10" width="9.47265625" style="98" customWidth="1"/>
    <col min="11" max="11" width="8.47265625" style="98" customWidth="1"/>
    <col min="12" max="12" width="9.15625" style="323"/>
    <col min="13" max="13" width="9.15625" style="324"/>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2" width="11.734375" style="98" customWidth="1"/>
    <col min="33" max="33" width="13.26171875" style="98" customWidth="1"/>
    <col min="34" max="35" width="9.15625" style="98"/>
    <col min="36" max="43" width="9.15625" style="98" customWidth="1"/>
    <col min="44" max="45" width="9.15625" hidden="1" customWidth="1"/>
    <col min="46" max="16384" width="9.15625" style="98"/>
  </cols>
  <sheetData>
    <row r="1" spans="1:45" ht="37.5" customHeight="1" thickBot="1">
      <c r="A1" s="754" t="s">
        <v>129</v>
      </c>
      <c r="B1" s="755"/>
      <c r="C1" s="755"/>
      <c r="D1" s="755"/>
      <c r="E1" s="755"/>
      <c r="F1" s="755"/>
      <c r="G1" s="755"/>
      <c r="H1" s="755"/>
      <c r="I1" s="755"/>
      <c r="J1" s="755"/>
      <c r="K1" s="755"/>
      <c r="L1" s="755"/>
      <c r="M1" s="755"/>
      <c r="N1" s="755"/>
      <c r="O1" s="265"/>
      <c r="P1" s="756" t="s">
        <v>130</v>
      </c>
      <c r="Q1" s="757"/>
      <c r="R1" s="757"/>
      <c r="S1" s="757"/>
      <c r="T1" s="757"/>
      <c r="U1" s="757"/>
      <c r="V1" s="757"/>
      <c r="W1" s="757"/>
      <c r="X1" s="757"/>
      <c r="Y1" s="758"/>
      <c r="Z1" s="758"/>
      <c r="AA1" s="758"/>
      <c r="AB1" s="758"/>
      <c r="AC1" s="758"/>
      <c r="AD1" s="758"/>
      <c r="AE1" s="758"/>
      <c r="AF1" s="758"/>
      <c r="AG1" s="759"/>
    </row>
    <row r="2" spans="1:45" s="97" customFormat="1" ht="18" customHeight="1" thickBot="1">
      <c r="A2" s="748" t="str">
        <f>"Before Period ("&amp;TEXT('Evaluation Set-up'!D9, "mm/dd/yy")&amp;" - "&amp;TEXT('Evaluation Set-up'!E9, "mm/dd/yy")&amp;")"</f>
        <v>Before Period (03/01/17 - 09/30/21)</v>
      </c>
      <c r="B2" s="749"/>
      <c r="C2" s="749"/>
      <c r="D2" s="749"/>
      <c r="E2" s="749"/>
      <c r="F2" s="749"/>
      <c r="G2" s="749"/>
      <c r="H2" s="749"/>
      <c r="I2" s="749"/>
      <c r="J2" s="749"/>
      <c r="K2" s="749"/>
      <c r="L2" s="749"/>
      <c r="M2" s="749"/>
      <c r="N2" s="266"/>
      <c r="O2" s="267"/>
      <c r="P2" s="750" t="s">
        <v>11</v>
      </c>
      <c r="Q2" s="752" t="s">
        <v>30</v>
      </c>
      <c r="R2" s="752" t="s">
        <v>12</v>
      </c>
      <c r="S2" s="752" t="s">
        <v>50</v>
      </c>
      <c r="T2" s="752" t="s">
        <v>51</v>
      </c>
      <c r="U2" s="752" t="s">
        <v>52</v>
      </c>
      <c r="V2" s="752" t="s">
        <v>53</v>
      </c>
      <c r="W2" s="752" t="s">
        <v>368</v>
      </c>
      <c r="X2" s="760" t="s">
        <v>53</v>
      </c>
      <c r="Y2" s="268"/>
      <c r="AR2" s="257"/>
      <c r="AS2" s="257"/>
    </row>
    <row r="3" spans="1:45" ht="14.7" thickBot="1">
      <c r="A3" s="269" t="s">
        <v>0</v>
      </c>
      <c r="B3" s="271" t="s">
        <v>1</v>
      </c>
      <c r="C3" s="271" t="s">
        <v>2</v>
      </c>
      <c r="D3" s="271" t="s">
        <v>3</v>
      </c>
      <c r="E3" s="271" t="s">
        <v>4</v>
      </c>
      <c r="F3" s="271" t="s">
        <v>5</v>
      </c>
      <c r="G3" s="272" t="s">
        <v>6</v>
      </c>
      <c r="H3" s="269" t="s">
        <v>853</v>
      </c>
      <c r="I3" s="269" t="s">
        <v>854</v>
      </c>
      <c r="J3" s="269" t="s">
        <v>855</v>
      </c>
      <c r="K3" s="269" t="s">
        <v>716</v>
      </c>
      <c r="L3" s="273" t="s">
        <v>57</v>
      </c>
      <c r="M3" s="274" t="s">
        <v>58</v>
      </c>
      <c r="N3" s="275" t="s">
        <v>369</v>
      </c>
      <c r="O3" s="276"/>
      <c r="P3" s="751"/>
      <c r="Q3" s="753"/>
      <c r="R3" s="753"/>
      <c r="S3" s="753"/>
      <c r="T3" s="753"/>
      <c r="U3" s="753"/>
      <c r="V3" s="753"/>
      <c r="W3" s="753"/>
      <c r="X3" s="761"/>
      <c r="Y3" s="277"/>
      <c r="AB3" s="278" t="s">
        <v>13</v>
      </c>
      <c r="AC3" s="279" t="s">
        <v>47</v>
      </c>
      <c r="AD3" s="280" t="s">
        <v>49</v>
      </c>
      <c r="AE3" s="281" t="s">
        <v>370</v>
      </c>
      <c r="AF3" s="282" t="s">
        <v>60</v>
      </c>
      <c r="AR3" t="s">
        <v>11</v>
      </c>
      <c r="AS3" t="s">
        <v>62</v>
      </c>
    </row>
    <row r="4" spans="1:45">
      <c r="A4" s="283">
        <v>105172416</v>
      </c>
      <c r="B4" s="284">
        <v>42935</v>
      </c>
      <c r="C4" s="285">
        <v>31</v>
      </c>
      <c r="D4" s="285">
        <v>1</v>
      </c>
      <c r="E4" s="285">
        <v>0</v>
      </c>
      <c r="F4" s="285">
        <v>1</v>
      </c>
      <c r="G4" s="286" t="inlineStr">
        <is>
          <t>O</t>
        </is>
      </c>
      <c r="H4" s="288" t="inlineStr">
        <is>
          <t>Other</t>
        </is>
      </c>
      <c r="I4" s="287" t="inlineStr">
        <is>
          <t>EBT</t>
        </is>
      </c>
      <c r="J4" s="287" t="inlineStr">
        <is>
          <t>Unk</t>
        </is>
      </c>
      <c r="K4" s="288" t="inlineStr">
        <is>
          <t>V2</t>
        </is>
      </c>
      <c r="L4" s="289"/>
      <c r="M4" s="290"/>
      <c r="N4" s="291"/>
      <c r="P4" s="193" t="n">
        <f>IF(R4 = "", "", COUNT(R$4:$R4))</f>
        <v>1</v>
      </c>
      <c r="Q4" s="193" t="n">
        <f t="shared" ref="Q4:Q67" si="0">IF(C4 &gt; 0, YEAR(B4), "")</f>
        <v>2017</v>
      </c>
      <c r="R4" s="194" t="n">
        <f t="shared" ref="R4:R67" si="1">IF(A4="", "", IF(G4="",1,IF(G4="O",1,IF(G4="C",8.4,IF(G4="B",8.4,IF(G4="A",76.8,IF(G4="K",76.8,"ERR")))))))</f>
        <v>1</v>
      </c>
      <c r="S4" s="195" t="str">
        <f>IF(L4&lt;&gt;"",R4,"")</f>
        <v/>
      </c>
      <c r="T4" s="196" t="str">
        <f>IF(IF(L4&lt;&gt;"",G4,"")=0, "O", IF(L4&lt;&gt;"",G4,""))</f>
        <v/>
      </c>
      <c r="U4" s="197" t="str">
        <f>IF(M4&lt;&gt;"",R4,"")</f>
        <v/>
      </c>
      <c r="V4" s="198" t="str">
        <f t="shared" ref="V4:V67" si="2">IF(IF(M4&lt;&gt;"",G4,"")=0, "O", IF(M4&lt;&gt;"",G4,""))</f>
        <v/>
      </c>
      <c r="W4" s="339" t="str">
        <f>IF(N4&lt;&gt;"",R4,"")</f>
        <v/>
      </c>
      <c r="X4" s="341" t="str">
        <f>IF(IF(N4&lt;&gt;"",G4,"")=0, "O", IF(N4&lt;&gt;"",G4,""))</f>
        <v/>
      </c>
      <c r="Y4" s="277"/>
      <c r="AA4" s="293" t="s">
        <v>9</v>
      </c>
      <c r="AB4" s="326" t="n">
        <f>COUNTIF($G$4:$G$1048576,$AA4)</f>
        <v>0</v>
      </c>
      <c r="AC4" s="327" t="n">
        <f>COUNTIF($T$4:$T$1048576,$AA4)</f>
        <v>0</v>
      </c>
      <c r="AD4" s="328" t="n">
        <f>COUNTIF($V$4:$V$1048576,$AA4)</f>
        <v>0</v>
      </c>
      <c r="AE4" s="329" t="n">
        <f>COUNTIF($X$4:$X$1048576,$AA4)</f>
        <v>0</v>
      </c>
      <c r="AF4" s="330" t="n">
        <f>COUNTIF($T:$T, AA4)+COUNTIF($V:$V, AA4)+COUNTIF($X:$X, AA4)-COUNTIFS($T:$T, AA4, $V:$V, AA4,$X:$X,AA4)</f>
        <v>0</v>
      </c>
      <c r="AR4" t="n">
        <f>IF(P4&gt;0, P4, "")</f>
        <v>1</v>
      </c>
      <c r="AS4" t="str">
        <f>IF(OR(L4="Y",M4="Y",N4="Y"),"Y","")</f>
        <v/>
      </c>
    </row>
    <row r="5" spans="1:45">
      <c r="A5" s="294">
        <v>105273794</v>
      </c>
      <c r="B5" s="295">
        <v>43041</v>
      </c>
      <c r="C5" s="296">
        <v>31</v>
      </c>
      <c r="D5" s="296">
        <v>1</v>
      </c>
      <c r="E5" s="296">
        <v>0</v>
      </c>
      <c r="F5" s="296">
        <v>1</v>
      </c>
      <c r="G5" s="297" t="inlineStr">
        <is>
          <t>O</t>
        </is>
      </c>
      <c r="H5" s="288" t="inlineStr">
        <is>
          <t>Other</t>
        </is>
      </c>
      <c r="I5" s="298" t="inlineStr">
        <is>
          <t>Unk</t>
        </is>
      </c>
      <c r="J5" s="287" t="inlineStr">
        <is>
          <t>EBT</t>
        </is>
      </c>
      <c r="K5" s="299" t="inlineStr">
        <is>
          <t>V1</t>
        </is>
      </c>
      <c r="L5" s="289"/>
      <c r="M5" s="300"/>
      <c r="N5" s="301"/>
      <c r="P5" s="193" t="n">
        <f>IF(R5 = "", "", COUNT(R$4:$R5))</f>
        <v>2</v>
      </c>
      <c r="Q5" s="193" t="n">
        <f t="shared" si="0"/>
        <v>2017</v>
      </c>
      <c r="R5" s="194" t="n">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t="n">
        <f>COUNTIF($G$4:$G$1048576,$AA5)</f>
        <v>0</v>
      </c>
      <c r="AC5" s="327" t="n">
        <f>COUNTIF($T$4:$T$1048576,$AA5)</f>
        <v>0</v>
      </c>
      <c r="AD5" s="328" t="n">
        <f>COUNTIF($V$4:$V$1048576,$AA5)</f>
        <v>0</v>
      </c>
      <c r="AE5" s="329" t="n">
        <f>COUNTIF($X$4:$X$1048576,$AA5)</f>
        <v>0</v>
      </c>
      <c r="AF5" s="330" t="n">
        <f t="shared" ref="AF5:AF8" si="8">COUNTIF($T:$T, AA5)+COUNTIF($V:$V, AA5)+COUNTIF($X:$X, AA5)-COUNTIFS($T:$T, AA5, $V:$V, AA5,$X:$X,AA5)</f>
        <v>0</v>
      </c>
      <c r="AR5" t="n">
        <f t="shared" ref="AR5:AR68" si="9">IF(P5&gt;0, P5, "")</f>
        <v>2</v>
      </c>
      <c r="AS5" t="str">
        <f t="shared" ref="AS5:AS68" si="10">IF(OR(L5="Y",M5="Y",N5="Y"),"Y","")</f>
        <v/>
      </c>
    </row>
    <row r="6" spans="1:45">
      <c r="A6" s="294">
        <v>105329673</v>
      </c>
      <c r="B6" s="295">
        <v>43089</v>
      </c>
      <c r="C6" s="296">
        <v>30</v>
      </c>
      <c r="D6" s="296">
        <v>2</v>
      </c>
      <c r="E6" s="296">
        <v>7</v>
      </c>
      <c r="F6" s="296">
        <v>1</v>
      </c>
      <c r="G6" s="297" t="inlineStr">
        <is>
          <t>O</t>
        </is>
      </c>
      <c r="H6" s="288" t="inlineStr">
        <is>
          <t>Angle</t>
        </is>
      </c>
      <c r="I6" s="298" t="inlineStr">
        <is>
          <t>NBT</t>
        </is>
      </c>
      <c r="J6" s="298" t="inlineStr">
        <is>
          <t>EBT</t>
        </is>
      </c>
      <c r="K6" s="299" t="inlineStr">
        <is>
          <t>V2</t>
        </is>
      </c>
      <c r="L6" s="289" t="inlineStr">
        <is>
          <t>Y</t>
        </is>
      </c>
      <c r="M6" s="300"/>
      <c r="N6" s="301"/>
      <c r="P6" s="193" t="n">
        <f>IF(R6 = "", "", COUNT(R$4:$R6))</f>
        <v>3</v>
      </c>
      <c r="Q6" s="193" t="n">
        <f t="shared" si="0"/>
        <v>2017</v>
      </c>
      <c r="R6" s="194" t="n">
        <f t="shared" si="1"/>
        <v>1</v>
      </c>
      <c r="S6" s="195" t="n">
        <f t="shared" si="3"/>
        <v>1</v>
      </c>
      <c r="T6" s="196" t="str">
        <f t="shared" si="4"/>
        <v>O</v>
      </c>
      <c r="U6" s="197" t="str">
        <f t="shared" si="5"/>
        <v/>
      </c>
      <c r="V6" s="198" t="str">
        <f t="shared" si="2"/>
        <v/>
      </c>
      <c r="W6" s="339" t="str">
        <f t="shared" si="6"/>
        <v/>
      </c>
      <c r="X6" s="341" t="str">
        <f t="shared" si="7"/>
        <v/>
      </c>
      <c r="Y6" s="277"/>
      <c r="AA6" s="293" t="s">
        <v>8</v>
      </c>
      <c r="AB6" s="326" t="n">
        <f>COUNTIF($G$4:$G$1048576,$AA6)</f>
        <v>0</v>
      </c>
      <c r="AC6" s="327" t="n">
        <f>COUNTIF($T$4:$T$1048576,$AA6)</f>
        <v>0</v>
      </c>
      <c r="AD6" s="328" t="n">
        <f>COUNTIF($V$4:$V$1048576,$AA6)</f>
        <v>0</v>
      </c>
      <c r="AE6" s="329" t="n">
        <f>COUNTIF($X$4:$X$1048576,$AA6)</f>
        <v>0</v>
      </c>
      <c r="AF6" s="330" t="n">
        <f t="shared" si="8"/>
        <v>0</v>
      </c>
      <c r="AR6" t="n">
        <f t="shared" si="9"/>
        <v>3</v>
      </c>
      <c r="AS6" t="str">
        <f t="shared" si="10"/>
        <v>Y</v>
      </c>
    </row>
    <row r="7" spans="1:45">
      <c r="A7" s="294">
        <v>105532814</v>
      </c>
      <c r="B7" s="295">
        <v>43284</v>
      </c>
      <c r="C7" s="296">
        <v>32</v>
      </c>
      <c r="D7" s="296">
        <v>1</v>
      </c>
      <c r="E7" s="296">
        <v>0</v>
      </c>
      <c r="F7" s="296">
        <v>1</v>
      </c>
      <c r="G7" s="297" t="inlineStr">
        <is>
          <t>O</t>
        </is>
      </c>
      <c r="H7" s="299" t="inlineStr">
        <is>
          <t>RTDR</t>
        </is>
      </c>
      <c r="I7" s="298" t="inlineStr">
        <is>
          <t>SBR</t>
        </is>
      </c>
      <c r="J7" s="298" t="inlineStr">
        <is>
          <t>WBT</t>
        </is>
      </c>
      <c r="K7" s="299" t="inlineStr">
        <is>
          <t>V2</t>
        </is>
      </c>
      <c r="L7" s="289" t="inlineStr">
        <is>
          <t>Y</t>
        </is>
      </c>
      <c r="M7" s="300"/>
      <c r="N7" s="301"/>
      <c r="P7" s="193" t="n">
        <f>IF(R7 = "", "", COUNT(R$4:$R7))</f>
        <v>4</v>
      </c>
      <c r="Q7" s="193" t="n">
        <f t="shared" si="0"/>
        <v>2018</v>
      </c>
      <c r="R7" s="194" t="n">
        <f t="shared" si="1"/>
        <v>1</v>
      </c>
      <c r="S7" s="195" t="n">
        <f>IF(L7&lt;&gt;"",R7,"")</f>
        <v>1</v>
      </c>
      <c r="T7" s="196" t="str">
        <f t="shared" si="4"/>
        <v>O</v>
      </c>
      <c r="U7" s="197" t="str">
        <f t="shared" si="5"/>
        <v/>
      </c>
      <c r="V7" s="198" t="str">
        <f t="shared" si="2"/>
        <v/>
      </c>
      <c r="W7" s="339" t="str">
        <f t="shared" si="6"/>
        <v/>
      </c>
      <c r="X7" s="341" t="str">
        <f t="shared" si="7"/>
        <v/>
      </c>
      <c r="Y7" s="277"/>
      <c r="AA7" s="293" t="s">
        <v>3</v>
      </c>
      <c r="AB7" s="326" t="n">
        <f>COUNTIF($G$4:$G$1048576,$AA7)</f>
        <v>1</v>
      </c>
      <c r="AC7" s="327" t="n">
        <f>COUNTIF($T$4:$T$1048576,$AA7)</f>
        <v>0</v>
      </c>
      <c r="AD7" s="328" t="n">
        <f>COUNTIF($V$4:$V$1048576,$AA7)</f>
        <v>0</v>
      </c>
      <c r="AE7" s="329" t="n">
        <f>COUNTIF($X$4:$X$1048576,$AA7)</f>
        <v>0</v>
      </c>
      <c r="AF7" s="330" t="n">
        <f t="shared" si="8"/>
        <v>0</v>
      </c>
      <c r="AR7" t="n">
        <f t="shared" si="9"/>
        <v>4</v>
      </c>
      <c r="AS7" t="str">
        <f t="shared" si="10"/>
        <v>Y</v>
      </c>
    </row>
    <row r="8" spans="1:45">
      <c r="A8" s="294">
        <v>106097127</v>
      </c>
      <c r="B8" s="295">
        <v>43805</v>
      </c>
      <c r="C8" s="296">
        <v>21</v>
      </c>
      <c r="D8" s="296">
        <v>1</v>
      </c>
      <c r="E8" s="296">
        <v>7</v>
      </c>
      <c r="F8" s="296">
        <v>4</v>
      </c>
      <c r="G8" s="297" t="inlineStr">
        <is>
          <t>C</t>
        </is>
      </c>
      <c r="H8" s="288" t="inlineStr">
        <is>
          <t>RE</t>
        </is>
      </c>
      <c r="I8" s="298" t="inlineStr">
        <is>
          <t>WBT</t>
        </is>
      </c>
      <c r="J8" s="298" t="inlineStr">
        <is>
          <t>WBT</t>
        </is>
      </c>
      <c r="K8" s="299" t="inlineStr">
        <is>
          <t>V1</t>
        </is>
      </c>
      <c r="L8" s="289"/>
      <c r="M8" s="300"/>
      <c r="N8" s="301"/>
      <c r="P8" s="193" t="n">
        <f>IF(R8 = "", "", COUNT(R$4:$R8))</f>
        <v>5</v>
      </c>
      <c r="Q8" s="193" t="n">
        <f t="shared" si="0"/>
        <v>2019</v>
      </c>
      <c r="R8" s="194" t="n">
        <f t="shared" si="1"/>
        <v>8.4</v>
      </c>
      <c r="S8" s="195" t="str">
        <f t="shared" si="3"/>
        <v/>
      </c>
      <c r="T8" s="196" t="str">
        <f t="shared" si="4"/>
        <v/>
      </c>
      <c r="U8" s="197" t="str">
        <f t="shared" si="5"/>
        <v/>
      </c>
      <c r="V8" s="198" t="str">
        <f t="shared" si="2"/>
        <v/>
      </c>
      <c r="W8" s="339" t="str">
        <f t="shared" si="6"/>
        <v/>
      </c>
      <c r="X8" s="341" t="str">
        <f t="shared" si="7"/>
        <v/>
      </c>
      <c r="Y8" s="277"/>
      <c r="AA8" s="293" t="s">
        <v>7</v>
      </c>
      <c r="AB8" s="326" t="n">
        <f>COUNTIF($G$4:$G$1048576,$AA8)+COUNTIFS($G$4:$G$1048576, "", $P$4:$P$1048576, "&gt;0")</f>
        <v>6</v>
      </c>
      <c r="AC8" s="327" t="n">
        <f>COUNTIF($T$4:$T$1048576,$AA8)</f>
        <v>3</v>
      </c>
      <c r="AD8" s="328" t="n">
        <f>COUNTIF($V$4:$V$1048576,$AA8)</f>
        <v>0</v>
      </c>
      <c r="AE8" s="329" t="n">
        <f>COUNTIF($X$4:$X$1048576,$AA8)</f>
        <v>0</v>
      </c>
      <c r="AF8" s="330" t="n">
        <f t="shared" si="8"/>
        <v>3</v>
      </c>
      <c r="AR8" t="n">
        <f t="shared" si="9"/>
        <v>5</v>
      </c>
      <c r="AS8" t="str">
        <f t="shared" si="10"/>
        <v/>
      </c>
    </row>
    <row r="9" spans="1:45">
      <c r="A9" s="294">
        <v>106412908</v>
      </c>
      <c r="B9" s="295">
        <v>44152</v>
      </c>
      <c r="C9" s="296">
        <v>20</v>
      </c>
      <c r="D9" s="296">
        <v>1</v>
      </c>
      <c r="E9" s="296">
        <v>0</v>
      </c>
      <c r="F9" s="296">
        <v>1</v>
      </c>
      <c r="G9" s="297"/>
      <c r="H9" s="299" t="inlineStr">
        <is>
          <t>Other</t>
        </is>
      </c>
      <c r="I9" s="298" t="inlineStr">
        <is>
          <t>WBT</t>
        </is>
      </c>
      <c r="J9" s="298"/>
      <c r="K9" s="299" t="inlineStr">
        <is>
          <t>V1</t>
        </is>
      </c>
      <c r="L9" s="289"/>
      <c r="M9" s="300"/>
      <c r="N9" s="301"/>
      <c r="P9" s="193" t="n">
        <f>IF(R9 = "", "", COUNT(R$4:$R9))</f>
        <v>6</v>
      </c>
      <c r="Q9" s="193" t="n">
        <f t="shared" si="0"/>
        <v>2020</v>
      </c>
      <c r="R9" s="194" t="n">
        <f t="shared" si="1"/>
        <v>1</v>
      </c>
      <c r="S9" s="195" t="str">
        <f t="shared" si="3"/>
        <v/>
      </c>
      <c r="T9" s="196" t="str">
        <f t="shared" si="4"/>
        <v/>
      </c>
      <c r="U9" s="197" t="str">
        <f t="shared" si="5"/>
        <v/>
      </c>
      <c r="V9" s="198" t="str">
        <f t="shared" si="2"/>
        <v/>
      </c>
      <c r="W9" s="339" t="str">
        <f t="shared" si="6"/>
        <v/>
      </c>
      <c r="X9" s="341" t="str">
        <f t="shared" si="7"/>
        <v/>
      </c>
      <c r="Y9" s="277"/>
      <c r="AA9" s="293" t="s">
        <v>13</v>
      </c>
      <c r="AB9" s="326" t="n">
        <f>COUNTIF(P4:P1048576, "&gt;0")</f>
        <v>7</v>
      </c>
      <c r="AC9" s="327" t="n">
        <f>COUNT(S4:S1048576)</f>
        <v>3</v>
      </c>
      <c r="AD9" s="328" t="n">
        <f>COUNT(U4:U1048576)</f>
        <v>0</v>
      </c>
      <c r="AE9" s="329" t="n">
        <f>COUNT(W4:W1048576)</f>
        <v>0</v>
      </c>
      <c r="AF9" s="330" t="n">
        <f>SUM(AF4:AF8)</f>
        <v>3</v>
      </c>
      <c r="AR9" t="n">
        <f t="shared" si="9"/>
        <v>6</v>
      </c>
      <c r="AS9" t="str">
        <f t="shared" si="10"/>
        <v/>
      </c>
    </row>
    <row r="10" spans="1:45">
      <c r="A10" s="294">
        <v>106594525</v>
      </c>
      <c r="B10" s="295">
        <v>44342</v>
      </c>
      <c r="C10" s="296">
        <v>23</v>
      </c>
      <c r="D10" s="296">
        <v>1</v>
      </c>
      <c r="E10" s="296">
        <v>8</v>
      </c>
      <c r="F10" s="296">
        <v>1</v>
      </c>
      <c r="G10" s="297" t="inlineStr">
        <is>
          <t>O</t>
        </is>
      </c>
      <c r="H10" s="299" t="inlineStr">
        <is>
          <t>LTSR</t>
        </is>
      </c>
      <c r="I10" s="298" t="inlineStr">
        <is>
          <t>WBT</t>
        </is>
      </c>
      <c r="J10" s="298" t="inlineStr">
        <is>
          <t>EBL</t>
        </is>
      </c>
      <c r="K10" s="299" t="inlineStr">
        <is>
          <t>V2</t>
        </is>
      </c>
      <c r="L10" s="289" t="inlineStr">
        <is>
          <t>Y</t>
        </is>
      </c>
      <c r="M10" s="300"/>
      <c r="N10" s="301"/>
      <c r="P10" s="193" t="n">
        <f>IF(R10 = "", "", COUNT(R$4:$R10))</f>
        <v>7</v>
      </c>
      <c r="Q10" s="193" t="n">
        <f t="shared" si="0"/>
        <v>2021</v>
      </c>
      <c r="R10" s="194" t="n">
        <f t="shared" si="1"/>
        <v>1</v>
      </c>
      <c r="S10" s="195" t="n">
        <f t="shared" si="3"/>
        <v>1</v>
      </c>
      <c r="T10" s="196" t="str">
        <f t="shared" si="4"/>
        <v>O</v>
      </c>
      <c r="U10" s="197" t="str">
        <f t="shared" si="5"/>
        <v/>
      </c>
      <c r="V10" s="198" t="str">
        <f t="shared" si="2"/>
        <v/>
      </c>
      <c r="W10" s="339" t="str">
        <f t="shared" si="6"/>
        <v/>
      </c>
      <c r="X10" s="341" t="str">
        <f t="shared" si="7"/>
        <v/>
      </c>
      <c r="Y10" s="277"/>
      <c r="AA10" s="293" t="s">
        <v>14</v>
      </c>
      <c r="AB10" s="331" t="n">
        <f>IFERROR(AVERAGE(R4:R1048576), 0)</f>
        <v>2.05714285714286</v>
      </c>
      <c r="AC10" s="332" t="n">
        <f>IFERROR(AVERAGE(S4:S1048576),0)</f>
        <v>1</v>
      </c>
      <c r="AD10" s="333" t="n">
        <f>IFERROR(AVERAGE(U4:U1048576),0)</f>
        <v>0</v>
      </c>
      <c r="AE10" s="334" t="n">
        <f>IFERROR(AVERAGE(W4:W1048576),0)</f>
        <v>0</v>
      </c>
      <c r="AF10" s="335" t="n">
        <f>IFERROR(AVERAGEIF($AS$4:$AS$1048576,"Y", R4:R1048576 ),0)</f>
        <v>1</v>
      </c>
      <c r="AR10" t="n">
        <f t="shared" si="9"/>
        <v>7</v>
      </c>
      <c r="AS10" t="str">
        <f t="shared" si="10"/>
        <v>Y</v>
      </c>
    </row>
    <row r="11" spans="1:45">
      <c r="A11" s="294"/>
      <c r="B11" s="295"/>
      <c r="C11" s="296"/>
      <c r="D11" s="296"/>
      <c r="E11" s="296"/>
      <c r="F11" s="296"/>
      <c r="G11" s="297"/>
      <c r="H11" s="299"/>
      <c r="I11" s="298"/>
      <c r="J11" s="298"/>
      <c r="K11" s="299"/>
      <c r="L11" s="289"/>
      <c r="M11" s="300"/>
      <c r="N11" s="301"/>
      <c r="P11" s="193" t="str">
        <f>IF(R11 = "", "", COUNT(R$4:$R11))</f>
        <v/>
      </c>
      <c r="Q11" s="193" t="str">
        <f t="shared" si="0"/>
        <v/>
      </c>
      <c r="R11" s="194" t="str">
        <f t="shared" si="1"/>
        <v/>
      </c>
      <c r="S11" s="195" t="str">
        <f t="shared" si="3"/>
        <v/>
      </c>
      <c r="T11" s="196" t="str">
        <f t="shared" si="4"/>
        <v/>
      </c>
      <c r="U11" s="197" t="str">
        <f t="shared" si="5"/>
        <v/>
      </c>
      <c r="V11" s="198" t="str">
        <f t="shared" si="2"/>
        <v/>
      </c>
      <c r="W11" s="339" t="str">
        <f t="shared" si="6"/>
        <v/>
      </c>
      <c r="X11" s="341" t="str">
        <f t="shared" si="7"/>
        <v/>
      </c>
      <c r="Y11" s="277"/>
      <c r="AR11" t="str">
        <f t="shared" si="9"/>
        <v/>
      </c>
      <c r="AS11" t="str">
        <f t="shared" si="10"/>
        <v/>
      </c>
    </row>
    <row r="12" spans="1:45">
      <c r="A12" s="294"/>
      <c r="B12" s="295"/>
      <c r="C12" s="296"/>
      <c r="D12" s="296"/>
      <c r="E12" s="296"/>
      <c r="F12" s="296"/>
      <c r="G12" s="297"/>
      <c r="H12" s="299"/>
      <c r="I12" s="298"/>
      <c r="J12" s="298"/>
      <c r="K12" s="299"/>
      <c r="L12" s="289"/>
      <c r="M12" s="300"/>
      <c r="N12" s="301"/>
      <c r="P12" s="193" t="str">
        <f>IF(R12 = "", "", COUNT(R$4:$R12))</f>
        <v/>
      </c>
      <c r="Q12" s="193" t="str">
        <f t="shared" si="0"/>
        <v/>
      </c>
      <c r="R12" s="194" t="str">
        <f t="shared" si="1"/>
        <v/>
      </c>
      <c r="S12" s="195" t="str">
        <f t="shared" si="3"/>
        <v/>
      </c>
      <c r="T12" s="196" t="str">
        <f t="shared" si="4"/>
        <v/>
      </c>
      <c r="U12" s="197" t="str">
        <f t="shared" si="5"/>
        <v/>
      </c>
      <c r="V12" s="198" t="str">
        <f t="shared" si="2"/>
        <v/>
      </c>
      <c r="W12" s="339" t="str">
        <f t="shared" si="6"/>
        <v/>
      </c>
      <c r="X12" s="341" t="str">
        <f t="shared" si="7"/>
        <v/>
      </c>
      <c r="Y12" s="277"/>
      <c r="AR12" t="str">
        <f t="shared" si="9"/>
        <v/>
      </c>
      <c r="AS12" t="str">
        <f t="shared" si="10"/>
        <v/>
      </c>
    </row>
    <row r="13" spans="1:45" ht="14.7" thickBot="1">
      <c r="A13" s="294"/>
      <c r="B13" s="295"/>
      <c r="C13" s="296"/>
      <c r="D13" s="296"/>
      <c r="E13" s="296"/>
      <c r="F13" s="296"/>
      <c r="G13" s="297"/>
      <c r="H13" s="299"/>
      <c r="I13" s="298"/>
      <c r="J13" s="298"/>
      <c r="K13" s="299"/>
      <c r="L13" s="289"/>
      <c r="M13" s="300"/>
      <c r="N13" s="301"/>
      <c r="P13" s="193" t="str">
        <f>IF(R13 = "", "", COUNT(R$4:$R13))</f>
        <v/>
      </c>
      <c r="Q13" s="193" t="str">
        <f t="shared" si="0"/>
        <v/>
      </c>
      <c r="R13" s="194" t="str">
        <f t="shared" si="1"/>
        <v/>
      </c>
      <c r="S13" s="195" t="str">
        <f t="shared" si="3"/>
        <v/>
      </c>
      <c r="T13" s="196" t="str">
        <f t="shared" si="4"/>
        <v/>
      </c>
      <c r="U13" s="197" t="str">
        <f t="shared" si="5"/>
        <v/>
      </c>
      <c r="V13" s="198" t="str">
        <f t="shared" si="2"/>
        <v/>
      </c>
      <c r="W13" s="339" t="str">
        <f t="shared" si="6"/>
        <v/>
      </c>
      <c r="X13" s="341" t="str">
        <f t="shared" si="7"/>
        <v/>
      </c>
      <c r="Y13" s="277"/>
      <c r="AR13" t="str">
        <f t="shared" si="9"/>
        <v/>
      </c>
      <c r="AS13" t="str">
        <f t="shared" si="10"/>
        <v/>
      </c>
    </row>
    <row r="14" spans="1:45" ht="14.7" thickBot="1">
      <c r="A14" s="294"/>
      <c r="B14" s="295"/>
      <c r="C14" s="296"/>
      <c r="D14" s="296"/>
      <c r="E14" s="296"/>
      <c r="F14" s="296"/>
      <c r="G14" s="297"/>
      <c r="H14" s="288"/>
      <c r="I14" s="298"/>
      <c r="J14" s="298"/>
      <c r="K14" s="299"/>
      <c r="L14" s="289"/>
      <c r="M14" s="300"/>
      <c r="N14" s="301"/>
      <c r="P14" s="193" t="str">
        <f>IF(R14 = "", "", COUNT(R$4:$R14))</f>
        <v/>
      </c>
      <c r="Q14" s="193" t="str">
        <f t="shared" si="0"/>
        <v/>
      </c>
      <c r="R14" s="194" t="str">
        <f t="shared" si="1"/>
        <v/>
      </c>
      <c r="S14" s="195" t="str">
        <f t="shared" si="3"/>
        <v/>
      </c>
      <c r="T14" s="196" t="str">
        <f t="shared" si="4"/>
        <v/>
      </c>
      <c r="U14" s="197" t="str">
        <f t="shared" si="5"/>
        <v/>
      </c>
      <c r="V14" s="198" t="str">
        <f t="shared" si="2"/>
        <v/>
      </c>
      <c r="W14" s="339" t="str">
        <f t="shared" si="6"/>
        <v/>
      </c>
      <c r="X14" s="341" t="str">
        <f t="shared" si="7"/>
        <v/>
      </c>
      <c r="Y14" s="277"/>
      <c r="Z14" s="762" t="s">
        <v>40</v>
      </c>
      <c r="AA14" s="763"/>
      <c r="AB14" s="763"/>
      <c r="AC14" s="763"/>
      <c r="AD14" s="763"/>
      <c r="AE14" s="763"/>
      <c r="AF14" s="763"/>
      <c r="AG14" s="764"/>
      <c r="AR14" t="str">
        <f t="shared" si="9"/>
        <v/>
      </c>
      <c r="AS14" t="str">
        <f t="shared" si="10"/>
        <v/>
      </c>
    </row>
    <row r="15" spans="1:45" ht="15" customHeight="1">
      <c r="A15" s="294"/>
      <c r="B15" s="295"/>
      <c r="C15" s="296"/>
      <c r="D15" s="296"/>
      <c r="E15" s="296"/>
      <c r="F15" s="296"/>
      <c r="G15" s="297"/>
      <c r="H15" s="299"/>
      <c r="I15" s="298"/>
      <c r="J15" s="298"/>
      <c r="K15" s="299"/>
      <c r="L15" s="289"/>
      <c r="M15" s="300"/>
      <c r="N15" s="301"/>
      <c r="P15" s="193" t="str">
        <f>IF(R15 = "", "", COUNT(R$4:$R15))</f>
        <v/>
      </c>
      <c r="Q15" s="193" t="str">
        <f t="shared" si="0"/>
        <v/>
      </c>
      <c r="R15" s="194" t="str">
        <f t="shared" si="1"/>
        <v/>
      </c>
      <c r="S15" s="195" t="str">
        <f t="shared" si="3"/>
        <v/>
      </c>
      <c r="T15" s="196" t="str">
        <f t="shared" si="4"/>
        <v/>
      </c>
      <c r="U15" s="197" t="str">
        <f t="shared" si="5"/>
        <v/>
      </c>
      <c r="V15" s="198" t="str">
        <f t="shared" si="2"/>
        <v/>
      </c>
      <c r="W15" s="339" t="str">
        <f t="shared" si="6"/>
        <v/>
      </c>
      <c r="X15" s="341" t="str">
        <f t="shared" si="7"/>
        <v/>
      </c>
      <c r="Y15" s="277"/>
      <c r="Z15" s="770">
        <v>1</v>
      </c>
      <c r="AA15" s="765" t="s">
        <v>728</v>
      </c>
      <c r="AB15" s="766"/>
      <c r="AC15" s="766"/>
      <c r="AD15" s="766"/>
      <c r="AE15" s="766"/>
      <c r="AF15" s="766"/>
      <c r="AG15" s="767"/>
      <c r="AR15" t="str">
        <f t="shared" si="9"/>
        <v/>
      </c>
      <c r="AS15" t="str">
        <f t="shared" si="10"/>
        <v/>
      </c>
    </row>
    <row r="16" spans="1:45" ht="15" customHeight="1">
      <c r="A16" s="294"/>
      <c r="B16" s="295"/>
      <c r="C16" s="296"/>
      <c r="D16" s="296"/>
      <c r="E16" s="296"/>
      <c r="F16" s="296"/>
      <c r="G16" s="297"/>
      <c r="H16" s="299"/>
      <c r="I16" s="298"/>
      <c r="J16" s="298"/>
      <c r="K16" s="299"/>
      <c r="L16" s="289"/>
      <c r="M16" s="300"/>
      <c r="N16" s="301"/>
      <c r="P16" s="193" t="str">
        <f>IF(R16 = "", "", COUNT(R$4:$R16))</f>
        <v/>
      </c>
      <c r="Q16" s="193" t="str">
        <f t="shared" si="0"/>
        <v/>
      </c>
      <c r="R16" s="194" t="str">
        <f t="shared" si="1"/>
        <v/>
      </c>
      <c r="S16" s="195" t="str">
        <f t="shared" si="3"/>
        <v/>
      </c>
      <c r="T16" s="196" t="str">
        <f t="shared" si="4"/>
        <v/>
      </c>
      <c r="U16" s="197" t="str">
        <f t="shared" si="5"/>
        <v/>
      </c>
      <c r="V16" s="198" t="str">
        <f t="shared" si="2"/>
        <v/>
      </c>
      <c r="W16" s="339" t="str">
        <f t="shared" si="6"/>
        <v/>
      </c>
      <c r="X16" s="341" t="str">
        <f t="shared" si="7"/>
        <v/>
      </c>
      <c r="Y16" s="277"/>
      <c r="Z16" s="771"/>
      <c r="AA16" s="768"/>
      <c r="AB16" s="677"/>
      <c r="AC16" s="677"/>
      <c r="AD16" s="677"/>
      <c r="AE16" s="677"/>
      <c r="AF16" s="677"/>
      <c r="AG16" s="769"/>
      <c r="AR16" t="str">
        <f t="shared" si="9"/>
        <v/>
      </c>
      <c r="AS16" t="str">
        <f t="shared" si="10"/>
        <v/>
      </c>
    </row>
    <row r="17" spans="1:45">
      <c r="A17" s="294"/>
      <c r="B17" s="295"/>
      <c r="C17" s="296"/>
      <c r="D17" s="296"/>
      <c r="E17" s="296"/>
      <c r="F17" s="296"/>
      <c r="G17" s="297"/>
      <c r="H17" s="299"/>
      <c r="I17" s="298"/>
      <c r="J17" s="298"/>
      <c r="K17" s="299"/>
      <c r="L17" s="289"/>
      <c r="M17" s="300"/>
      <c r="N17" s="301"/>
      <c r="P17" s="193" t="str">
        <f>IF(R17 = "", "", COUNT(R$4:$R17))</f>
        <v/>
      </c>
      <c r="Q17" s="193" t="str">
        <f t="shared" si="0"/>
        <v/>
      </c>
      <c r="R17" s="194" t="str">
        <f t="shared" si="1"/>
        <v/>
      </c>
      <c r="S17" s="195" t="str">
        <f t="shared" si="3"/>
        <v/>
      </c>
      <c r="T17" s="196" t="str">
        <f t="shared" si="4"/>
        <v/>
      </c>
      <c r="U17" s="197" t="str">
        <f t="shared" si="5"/>
        <v/>
      </c>
      <c r="V17" s="198" t="str">
        <f t="shared" si="2"/>
        <v/>
      </c>
      <c r="W17" s="339" t="str">
        <f t="shared" si="6"/>
        <v/>
      </c>
      <c r="X17" s="341" t="str">
        <f t="shared" si="7"/>
        <v/>
      </c>
      <c r="Y17" s="277"/>
      <c r="Z17" s="771"/>
      <c r="AA17" s="768"/>
      <c r="AB17" s="677"/>
      <c r="AC17" s="677"/>
      <c r="AD17" s="677"/>
      <c r="AE17" s="677"/>
      <c r="AF17" s="677"/>
      <c r="AG17" s="769"/>
      <c r="AR17" t="str">
        <f t="shared" si="9"/>
        <v/>
      </c>
      <c r="AS17" t="str">
        <f t="shared" si="10"/>
        <v/>
      </c>
    </row>
    <row r="18" spans="1:45" ht="15" customHeight="1">
      <c r="A18" s="294"/>
      <c r="B18" s="295"/>
      <c r="C18" s="296"/>
      <c r="D18" s="296"/>
      <c r="E18" s="296"/>
      <c r="F18" s="296"/>
      <c r="G18" s="297"/>
      <c r="H18" s="299"/>
      <c r="I18" s="298"/>
      <c r="J18" s="298"/>
      <c r="K18" s="299"/>
      <c r="L18" s="289"/>
      <c r="M18" s="300"/>
      <c r="N18" s="301"/>
      <c r="P18" s="193" t="str">
        <f>IF(R18 = "", "", COUNT(R$4:$R18))</f>
        <v/>
      </c>
      <c r="Q18" s="193" t="str">
        <f t="shared" si="0"/>
        <v/>
      </c>
      <c r="R18" s="194" t="str">
        <f t="shared" si="1"/>
        <v/>
      </c>
      <c r="S18" s="195" t="str">
        <f t="shared" si="3"/>
        <v/>
      </c>
      <c r="T18" s="196" t="str">
        <f t="shared" si="4"/>
        <v/>
      </c>
      <c r="U18" s="197" t="str">
        <f t="shared" si="5"/>
        <v/>
      </c>
      <c r="V18" s="198" t="str">
        <f t="shared" si="2"/>
        <v/>
      </c>
      <c r="W18" s="339" t="str">
        <f t="shared" si="6"/>
        <v/>
      </c>
      <c r="X18" s="341" t="str">
        <f t="shared" si="7"/>
        <v/>
      </c>
      <c r="Y18" s="277"/>
      <c r="Z18" s="771"/>
      <c r="AA18" s="768"/>
      <c r="AB18" s="677"/>
      <c r="AC18" s="677"/>
      <c r="AD18" s="677"/>
      <c r="AE18" s="677"/>
      <c r="AF18" s="677"/>
      <c r="AG18" s="769"/>
      <c r="AR18" t="str">
        <f t="shared" si="9"/>
        <v/>
      </c>
      <c r="AS18" t="str">
        <f t="shared" si="10"/>
        <v/>
      </c>
    </row>
    <row r="19" spans="1:45">
      <c r="A19" s="294"/>
      <c r="B19" s="295"/>
      <c r="C19" s="296"/>
      <c r="D19" s="296"/>
      <c r="E19" s="296"/>
      <c r="F19" s="296"/>
      <c r="G19" s="297"/>
      <c r="H19" s="299"/>
      <c r="I19" s="298"/>
      <c r="J19" s="298"/>
      <c r="K19" s="299"/>
      <c r="L19" s="289"/>
      <c r="M19" s="300"/>
      <c r="N19" s="301"/>
      <c r="P19" s="193" t="str">
        <f>IF(R19 = "", "", COUNT(R$4:$R19))</f>
        <v/>
      </c>
      <c r="Q19" s="193" t="str">
        <f t="shared" si="0"/>
        <v/>
      </c>
      <c r="R19" s="194" t="str">
        <f t="shared" si="1"/>
        <v/>
      </c>
      <c r="S19" s="195" t="str">
        <f t="shared" si="3"/>
        <v/>
      </c>
      <c r="T19" s="196" t="str">
        <f t="shared" si="4"/>
        <v/>
      </c>
      <c r="U19" s="197" t="str">
        <f t="shared" si="5"/>
        <v/>
      </c>
      <c r="V19" s="198" t="str">
        <f t="shared" si="2"/>
        <v/>
      </c>
      <c r="W19" s="339" t="str">
        <f t="shared" si="6"/>
        <v/>
      </c>
      <c r="X19" s="341" t="str">
        <f t="shared" si="7"/>
        <v/>
      </c>
      <c r="Y19" s="277"/>
      <c r="Z19" s="771"/>
      <c r="AA19" s="302" t="s">
        <v>45</v>
      </c>
      <c r="AB19" s="677" t="s">
        <v>704</v>
      </c>
      <c r="AC19" s="677"/>
      <c r="AD19" s="677"/>
      <c r="AE19" s="677"/>
      <c r="AF19" s="677"/>
      <c r="AG19" s="769"/>
      <c r="AR19" t="str">
        <f t="shared" si="9"/>
        <v/>
      </c>
      <c r="AS19" t="str">
        <f t="shared" si="10"/>
        <v/>
      </c>
    </row>
    <row r="20" spans="1:45" ht="15" customHeight="1">
      <c r="A20" s="294"/>
      <c r="B20" s="295"/>
      <c r="C20" s="296"/>
      <c r="D20" s="296"/>
      <c r="E20" s="296"/>
      <c r="F20" s="296"/>
      <c r="G20" s="297"/>
      <c r="H20" s="299"/>
      <c r="I20" s="298"/>
      <c r="J20" s="298"/>
      <c r="K20" s="299"/>
      <c r="L20" s="289"/>
      <c r="M20" s="300"/>
      <c r="N20" s="301"/>
      <c r="P20" s="193" t="str">
        <f>IF(R20 = "", "", COUNT(R$4:$R20))</f>
        <v/>
      </c>
      <c r="Q20" s="193" t="str">
        <f t="shared" si="0"/>
        <v/>
      </c>
      <c r="R20" s="194" t="str">
        <f t="shared" si="1"/>
        <v/>
      </c>
      <c r="S20" s="195" t="str">
        <f t="shared" si="3"/>
        <v/>
      </c>
      <c r="T20" s="196" t="str">
        <f t="shared" si="4"/>
        <v/>
      </c>
      <c r="U20" s="197" t="str">
        <f t="shared" si="5"/>
        <v/>
      </c>
      <c r="V20" s="198" t="str">
        <f t="shared" si="2"/>
        <v/>
      </c>
      <c r="W20" s="339" t="str">
        <f t="shared" si="6"/>
        <v/>
      </c>
      <c r="X20" s="341" t="str">
        <f t="shared" si="7"/>
        <v/>
      </c>
      <c r="Y20" s="277"/>
      <c r="Z20" s="771"/>
      <c r="AA20" s="302"/>
      <c r="AB20" s="677"/>
      <c r="AC20" s="677"/>
      <c r="AD20" s="677"/>
      <c r="AE20" s="677"/>
      <c r="AF20" s="677"/>
      <c r="AG20" s="769"/>
      <c r="AR20" t="str">
        <f t="shared" si="9"/>
        <v/>
      </c>
      <c r="AS20" t="str">
        <f t="shared" si="10"/>
        <v/>
      </c>
    </row>
    <row r="21" spans="1:45" ht="15" customHeight="1">
      <c r="A21" s="294"/>
      <c r="B21" s="295"/>
      <c r="C21" s="296"/>
      <c r="D21" s="296"/>
      <c r="E21" s="296"/>
      <c r="F21" s="296"/>
      <c r="G21" s="297"/>
      <c r="H21" s="299"/>
      <c r="I21" s="298"/>
      <c r="J21" s="298"/>
      <c r="K21" s="299"/>
      <c r="L21" s="304"/>
      <c r="M21" s="300"/>
      <c r="N21" s="301"/>
      <c r="P21" s="193" t="str">
        <f>IF(R21 = "", "", COUNT(R$4:$R21))</f>
        <v/>
      </c>
      <c r="Q21" s="193" t="str">
        <f t="shared" si="0"/>
        <v/>
      </c>
      <c r="R21" s="194" t="str">
        <f t="shared" si="1"/>
        <v/>
      </c>
      <c r="S21" s="195" t="str">
        <f t="shared" si="3"/>
        <v/>
      </c>
      <c r="T21" s="196" t="str">
        <f t="shared" si="4"/>
        <v/>
      </c>
      <c r="U21" s="197" t="str">
        <f t="shared" si="5"/>
        <v/>
      </c>
      <c r="V21" s="198" t="str">
        <f t="shared" si="2"/>
        <v/>
      </c>
      <c r="W21" s="339" t="str">
        <f t="shared" si="6"/>
        <v/>
      </c>
      <c r="X21" s="341" t="str">
        <f t="shared" si="7"/>
        <v/>
      </c>
      <c r="Y21" s="277"/>
      <c r="Z21" s="771"/>
      <c r="AA21" s="305"/>
      <c r="AB21" s="677"/>
      <c r="AC21" s="677"/>
      <c r="AD21" s="677"/>
      <c r="AE21" s="677"/>
      <c r="AF21" s="677"/>
      <c r="AG21" s="769"/>
      <c r="AR21" t="str">
        <f t="shared" si="9"/>
        <v/>
      </c>
      <c r="AS21" t="str">
        <f t="shared" si="10"/>
        <v/>
      </c>
    </row>
    <row r="22" spans="1:45" ht="15" customHeight="1">
      <c r="A22" s="294"/>
      <c r="B22" s="295"/>
      <c r="C22" s="296"/>
      <c r="D22" s="296"/>
      <c r="E22" s="296"/>
      <c r="F22" s="296"/>
      <c r="G22" s="297"/>
      <c r="H22" s="299"/>
      <c r="I22" s="298"/>
      <c r="J22" s="298"/>
      <c r="K22" s="299"/>
      <c r="L22" s="304"/>
      <c r="M22" s="300"/>
      <c r="N22" s="301"/>
      <c r="P22" s="193" t="str">
        <f>IF(R22 = "", "", COUNT(R$4:$R22))</f>
        <v/>
      </c>
      <c r="Q22" s="193" t="str">
        <f t="shared" si="0"/>
        <v/>
      </c>
      <c r="R22" s="194" t="str">
        <f t="shared" si="1"/>
        <v/>
      </c>
      <c r="S22" s="195" t="str">
        <f t="shared" si="3"/>
        <v/>
      </c>
      <c r="T22" s="196" t="str">
        <f t="shared" si="4"/>
        <v/>
      </c>
      <c r="U22" s="197" t="str">
        <f t="shared" si="5"/>
        <v/>
      </c>
      <c r="V22" s="198" t="str">
        <f t="shared" si="2"/>
        <v/>
      </c>
      <c r="W22" s="339" t="str">
        <f t="shared" si="6"/>
        <v/>
      </c>
      <c r="X22" s="341" t="str">
        <f t="shared" si="7"/>
        <v/>
      </c>
      <c r="Y22" s="277"/>
      <c r="Z22" s="771"/>
      <c r="AA22" s="306"/>
      <c r="AB22" s="677"/>
      <c r="AC22" s="677"/>
      <c r="AD22" s="677"/>
      <c r="AE22" s="677"/>
      <c r="AF22" s="677"/>
      <c r="AG22" s="769"/>
      <c r="AR22" t="str">
        <f t="shared" si="9"/>
        <v/>
      </c>
      <c r="AS22" t="str">
        <f t="shared" si="10"/>
        <v/>
      </c>
    </row>
    <row r="23" spans="1:45" ht="15" customHeight="1">
      <c r="A23" s="294"/>
      <c r="B23" s="295"/>
      <c r="C23" s="296"/>
      <c r="D23" s="296"/>
      <c r="E23" s="296"/>
      <c r="F23" s="296"/>
      <c r="G23" s="297"/>
      <c r="H23" s="299"/>
      <c r="I23" s="298"/>
      <c r="J23" s="298"/>
      <c r="K23" s="299"/>
      <c r="L23" s="304"/>
      <c r="M23" s="300"/>
      <c r="N23" s="301"/>
      <c r="P23" s="193" t="str">
        <f>IF(R23 = "", "", COUNT(R$4:$R23))</f>
        <v/>
      </c>
      <c r="Q23" s="193" t="str">
        <f t="shared" si="0"/>
        <v/>
      </c>
      <c r="R23" s="194" t="str">
        <f t="shared" si="1"/>
        <v/>
      </c>
      <c r="S23" s="195" t="str">
        <f t="shared" si="3"/>
        <v/>
      </c>
      <c r="T23" s="196" t="str">
        <f t="shared" si="4"/>
        <v/>
      </c>
      <c r="U23" s="197" t="str">
        <f t="shared" si="5"/>
        <v/>
      </c>
      <c r="V23" s="198" t="str">
        <f t="shared" si="2"/>
        <v/>
      </c>
      <c r="W23" s="339" t="str">
        <f t="shared" si="6"/>
        <v/>
      </c>
      <c r="X23" s="341" t="str">
        <f t="shared" si="7"/>
        <v/>
      </c>
      <c r="Y23" s="277"/>
      <c r="Z23" s="771"/>
      <c r="AA23" s="306"/>
      <c r="AB23" s="677"/>
      <c r="AC23" s="677"/>
      <c r="AD23" s="677"/>
      <c r="AE23" s="677"/>
      <c r="AF23" s="677"/>
      <c r="AG23" s="769"/>
      <c r="AR23" t="str">
        <f t="shared" si="9"/>
        <v/>
      </c>
      <c r="AS23" t="str">
        <f t="shared" si="10"/>
        <v/>
      </c>
    </row>
    <row r="24" spans="1:45" ht="15" customHeight="1">
      <c r="A24" s="294"/>
      <c r="B24" s="295"/>
      <c r="C24" s="296"/>
      <c r="D24" s="296"/>
      <c r="E24" s="296"/>
      <c r="F24" s="296"/>
      <c r="G24" s="297"/>
      <c r="H24" s="299"/>
      <c r="I24" s="298"/>
      <c r="J24" s="298"/>
      <c r="K24" s="299"/>
      <c r="L24" s="304"/>
      <c r="M24" s="300"/>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71"/>
      <c r="AA24" s="302" t="s">
        <v>45</v>
      </c>
      <c r="AB24" s="677" t="s">
        <v>702</v>
      </c>
      <c r="AC24" s="677"/>
      <c r="AD24" s="677"/>
      <c r="AE24" s="677"/>
      <c r="AF24" s="677"/>
      <c r="AG24" s="769"/>
      <c r="AR24" t="str">
        <f t="shared" si="9"/>
        <v/>
      </c>
      <c r="AS24" t="str">
        <f t="shared" si="10"/>
        <v/>
      </c>
    </row>
    <row r="25" spans="1:45" ht="15" customHeight="1">
      <c r="A25" s="294"/>
      <c r="B25" s="295"/>
      <c r="C25" s="296"/>
      <c r="D25" s="296"/>
      <c r="E25" s="296"/>
      <c r="F25" s="296"/>
      <c r="G25" s="297"/>
      <c r="H25" s="299"/>
      <c r="I25" s="298"/>
      <c r="J25" s="298"/>
      <c r="K25" s="299"/>
      <c r="L25" s="304"/>
      <c r="M25" s="300"/>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71"/>
      <c r="AA25" s="302"/>
      <c r="AB25" s="677"/>
      <c r="AC25" s="677"/>
      <c r="AD25" s="677"/>
      <c r="AE25" s="677"/>
      <c r="AF25" s="677"/>
      <c r="AG25" s="769"/>
      <c r="AR25" t="str">
        <f t="shared" si="9"/>
        <v/>
      </c>
      <c r="AS25" t="str">
        <f t="shared" si="10"/>
        <v/>
      </c>
    </row>
    <row r="26" spans="1:45">
      <c r="A26" s="294"/>
      <c r="B26" s="295"/>
      <c r="C26" s="296"/>
      <c r="D26" s="296"/>
      <c r="E26" s="296"/>
      <c r="F26" s="296"/>
      <c r="G26" s="297"/>
      <c r="H26" s="299"/>
      <c r="I26" s="298"/>
      <c r="J26" s="298"/>
      <c r="K26" s="299"/>
      <c r="L26" s="304"/>
      <c r="M26" s="300"/>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71"/>
      <c r="AA26" s="306"/>
      <c r="AB26" s="677"/>
      <c r="AC26" s="677"/>
      <c r="AD26" s="677"/>
      <c r="AE26" s="677"/>
      <c r="AF26" s="677"/>
      <c r="AG26" s="769"/>
      <c r="AR26" t="str">
        <f t="shared" si="9"/>
        <v/>
      </c>
      <c r="AS26" t="str">
        <f t="shared" si="10"/>
        <v/>
      </c>
    </row>
    <row r="27" spans="1:45" ht="15" customHeight="1">
      <c r="A27" s="294"/>
      <c r="B27" s="295"/>
      <c r="C27" s="296"/>
      <c r="D27" s="296"/>
      <c r="E27" s="296"/>
      <c r="F27" s="296"/>
      <c r="G27" s="297"/>
      <c r="H27" s="299"/>
      <c r="I27" s="298"/>
      <c r="J27" s="298"/>
      <c r="K27" s="299"/>
      <c r="L27" s="304"/>
      <c r="M27" s="300"/>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71"/>
      <c r="AA27" s="307"/>
      <c r="AB27" s="677"/>
      <c r="AC27" s="677"/>
      <c r="AD27" s="677"/>
      <c r="AE27" s="677"/>
      <c r="AF27" s="677"/>
      <c r="AG27" s="769"/>
      <c r="AR27" t="str">
        <f t="shared" si="9"/>
        <v/>
      </c>
      <c r="AS27" t="str">
        <f t="shared" si="10"/>
        <v/>
      </c>
    </row>
    <row r="28" spans="1:45" ht="15" customHeight="1">
      <c r="A28" s="294"/>
      <c r="B28" s="295"/>
      <c r="C28" s="296"/>
      <c r="D28" s="296"/>
      <c r="E28" s="296"/>
      <c r="F28" s="296"/>
      <c r="G28" s="297"/>
      <c r="H28" s="299"/>
      <c r="I28" s="298"/>
      <c r="J28" s="298"/>
      <c r="K28" s="299"/>
      <c r="L28" s="304"/>
      <c r="M28" s="300"/>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33">
        <v>2</v>
      </c>
      <c r="AA28" s="739" t="s">
        <v>131</v>
      </c>
      <c r="AB28" s="739"/>
      <c r="AC28" s="739"/>
      <c r="AD28" s="739"/>
      <c r="AE28" s="739"/>
      <c r="AF28" s="739"/>
      <c r="AG28" s="740"/>
      <c r="AR28" t="str">
        <f t="shared" si="9"/>
        <v/>
      </c>
      <c r="AS28" t="str">
        <f t="shared" si="10"/>
        <v/>
      </c>
    </row>
    <row r="29" spans="1:45">
      <c r="A29" s="294"/>
      <c r="B29" s="295"/>
      <c r="C29" s="296"/>
      <c r="D29" s="296"/>
      <c r="E29" s="296"/>
      <c r="F29" s="296"/>
      <c r="G29" s="297"/>
      <c r="H29" s="299"/>
      <c r="I29" s="298"/>
      <c r="J29" s="298"/>
      <c r="K29" s="299"/>
      <c r="L29" s="304"/>
      <c r="M29" s="300"/>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46"/>
      <c r="AA29" s="218" t="s">
        <v>45</v>
      </c>
      <c r="AB29" s="114" t="s">
        <v>132</v>
      </c>
      <c r="AC29" s="114"/>
      <c r="AD29" s="114"/>
      <c r="AE29" s="114"/>
      <c r="AF29" s="114"/>
      <c r="AG29" s="115"/>
      <c r="AR29" t="str">
        <f t="shared" si="9"/>
        <v/>
      </c>
      <c r="AS29" t="str">
        <f t="shared" si="10"/>
        <v/>
      </c>
    </row>
    <row r="30" spans="1:45" ht="15" customHeight="1">
      <c r="A30" s="294"/>
      <c r="B30" s="295"/>
      <c r="C30" s="296"/>
      <c r="D30" s="296"/>
      <c r="E30" s="296"/>
      <c r="F30" s="296"/>
      <c r="G30" s="297"/>
      <c r="H30" s="299"/>
      <c r="I30" s="298"/>
      <c r="J30" s="298"/>
      <c r="K30" s="299"/>
      <c r="L30" s="304"/>
      <c r="M30" s="300"/>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46"/>
      <c r="AA30" s="218" t="s">
        <v>45</v>
      </c>
      <c r="AB30" s="114" t="s">
        <v>133</v>
      </c>
      <c r="AC30" s="114"/>
      <c r="AD30" s="114"/>
      <c r="AE30" s="114"/>
      <c r="AF30" s="114"/>
      <c r="AG30" s="115"/>
      <c r="AR30" t="str">
        <f t="shared" si="9"/>
        <v/>
      </c>
      <c r="AS30" t="str">
        <f t="shared" si="10"/>
        <v/>
      </c>
    </row>
    <row r="31" spans="1:45">
      <c r="A31" s="294"/>
      <c r="B31" s="295"/>
      <c r="C31" s="296"/>
      <c r="D31" s="296"/>
      <c r="E31" s="296"/>
      <c r="F31" s="296"/>
      <c r="G31" s="297"/>
      <c r="H31" s="299"/>
      <c r="I31" s="298"/>
      <c r="J31" s="298"/>
      <c r="K31" s="299"/>
      <c r="L31" s="304"/>
      <c r="M31" s="300"/>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46"/>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304"/>
      <c r="M32" s="300"/>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46"/>
      <c r="AA32" s="218" t="s">
        <v>45</v>
      </c>
      <c r="AB32" s="741" t="s">
        <v>181</v>
      </c>
      <c r="AC32" s="741"/>
      <c r="AD32" s="741"/>
      <c r="AE32" s="741"/>
      <c r="AF32" s="741"/>
      <c r="AG32" s="742"/>
      <c r="AR32" t="str">
        <f t="shared" si="9"/>
        <v/>
      </c>
      <c r="AS32" t="str">
        <f t="shared" si="10"/>
        <v/>
      </c>
    </row>
    <row r="33" spans="1:45">
      <c r="A33" s="294"/>
      <c r="B33" s="295"/>
      <c r="C33" s="296"/>
      <c r="D33" s="296"/>
      <c r="E33" s="296"/>
      <c r="F33" s="296"/>
      <c r="G33" s="297"/>
      <c r="H33" s="299"/>
      <c r="I33" s="298"/>
      <c r="J33" s="298"/>
      <c r="K33" s="299"/>
      <c r="L33" s="304"/>
      <c r="M33" s="300"/>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46"/>
      <c r="AA33" s="114"/>
      <c r="AB33" s="741"/>
      <c r="AC33" s="741"/>
      <c r="AD33" s="741"/>
      <c r="AE33" s="741"/>
      <c r="AF33" s="741"/>
      <c r="AG33" s="742"/>
      <c r="AR33" t="str">
        <f t="shared" si="9"/>
        <v/>
      </c>
      <c r="AS33" t="str">
        <f t="shared" si="10"/>
        <v/>
      </c>
    </row>
    <row r="34" spans="1:45">
      <c r="A34" s="294"/>
      <c r="B34" s="295"/>
      <c r="C34" s="296"/>
      <c r="D34" s="296"/>
      <c r="E34" s="296"/>
      <c r="F34" s="296"/>
      <c r="G34" s="297"/>
      <c r="H34" s="299"/>
      <c r="I34" s="298"/>
      <c r="J34" s="298"/>
      <c r="K34" s="299"/>
      <c r="L34" s="304"/>
      <c r="M34" s="300"/>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46"/>
      <c r="AA34" s="114"/>
      <c r="AB34" s="741"/>
      <c r="AC34" s="741"/>
      <c r="AD34" s="741"/>
      <c r="AE34" s="741"/>
      <c r="AF34" s="741"/>
      <c r="AG34" s="742"/>
      <c r="AR34" t="str">
        <f t="shared" si="9"/>
        <v/>
      </c>
      <c r="AS34" t="str">
        <f t="shared" si="10"/>
        <v/>
      </c>
    </row>
    <row r="35" spans="1:45">
      <c r="A35" s="294"/>
      <c r="B35" s="295"/>
      <c r="C35" s="296"/>
      <c r="D35" s="296"/>
      <c r="E35" s="296"/>
      <c r="F35" s="296"/>
      <c r="G35" s="297"/>
      <c r="H35" s="288"/>
      <c r="I35" s="298"/>
      <c r="J35" s="298"/>
      <c r="K35" s="299"/>
      <c r="L35" s="304"/>
      <c r="M35" s="300"/>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46"/>
      <c r="AA35" s="114"/>
      <c r="AB35" s="741"/>
      <c r="AC35" s="741"/>
      <c r="AD35" s="741"/>
      <c r="AE35" s="741"/>
      <c r="AF35" s="741"/>
      <c r="AG35" s="742"/>
      <c r="AR35" t="str">
        <f t="shared" si="9"/>
        <v/>
      </c>
      <c r="AS35" t="str">
        <f t="shared" si="10"/>
        <v/>
      </c>
    </row>
    <row r="36" spans="1:45">
      <c r="A36" s="294"/>
      <c r="B36" s="295"/>
      <c r="C36" s="296"/>
      <c r="D36" s="296"/>
      <c r="E36" s="296"/>
      <c r="F36" s="296"/>
      <c r="G36" s="297"/>
      <c r="H36" s="299"/>
      <c r="I36" s="298"/>
      <c r="J36" s="298"/>
      <c r="K36" s="299"/>
      <c r="L36" s="304"/>
      <c r="M36" s="300"/>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46"/>
      <c r="AA36" s="218" t="s">
        <v>45</v>
      </c>
      <c r="AB36" s="685" t="s">
        <v>703</v>
      </c>
      <c r="AC36" s="685"/>
      <c r="AD36" s="685"/>
      <c r="AE36" s="685"/>
      <c r="AF36" s="685"/>
      <c r="AG36" s="743"/>
      <c r="AR36" t="str">
        <f t="shared" si="9"/>
        <v/>
      </c>
      <c r="AS36" t="str">
        <f t="shared" si="10"/>
        <v/>
      </c>
    </row>
    <row r="37" spans="1:45" ht="14.5" customHeight="1">
      <c r="A37" s="294"/>
      <c r="B37" s="295"/>
      <c r="C37" s="296"/>
      <c r="D37" s="296"/>
      <c r="E37" s="296"/>
      <c r="F37" s="296"/>
      <c r="G37" s="297"/>
      <c r="H37" s="288"/>
      <c r="I37" s="298"/>
      <c r="J37" s="298"/>
      <c r="K37" s="299"/>
      <c r="L37" s="304"/>
      <c r="M37" s="300"/>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46"/>
      <c r="AA37" s="114"/>
      <c r="AB37" s="685"/>
      <c r="AC37" s="685"/>
      <c r="AD37" s="685"/>
      <c r="AE37" s="685"/>
      <c r="AF37" s="685"/>
      <c r="AG37" s="743"/>
      <c r="AR37" t="str">
        <f t="shared" si="9"/>
        <v/>
      </c>
      <c r="AS37" t="str">
        <f t="shared" si="10"/>
        <v/>
      </c>
    </row>
    <row r="38" spans="1:45">
      <c r="A38" s="294"/>
      <c r="B38" s="295"/>
      <c r="C38" s="296"/>
      <c r="D38" s="296"/>
      <c r="E38" s="296"/>
      <c r="F38" s="296"/>
      <c r="G38" s="297"/>
      <c r="H38" s="299"/>
      <c r="I38" s="298"/>
      <c r="J38" s="298"/>
      <c r="K38" s="299"/>
      <c r="L38" s="304"/>
      <c r="M38" s="300"/>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46"/>
      <c r="AA38" s="218" t="s">
        <v>45</v>
      </c>
      <c r="AB38" s="685" t="s">
        <v>705</v>
      </c>
      <c r="AC38" s="685"/>
      <c r="AD38" s="685"/>
      <c r="AE38" s="685"/>
      <c r="AF38" s="685"/>
      <c r="AG38" s="743"/>
      <c r="AR38" t="str">
        <f t="shared" si="9"/>
        <v/>
      </c>
      <c r="AS38" t="str">
        <f t="shared" si="10"/>
        <v/>
      </c>
    </row>
    <row r="39" spans="1:45">
      <c r="A39" s="294"/>
      <c r="B39" s="295"/>
      <c r="C39" s="296"/>
      <c r="D39" s="296"/>
      <c r="E39" s="296"/>
      <c r="F39" s="296"/>
      <c r="G39" s="297"/>
      <c r="H39" s="299"/>
      <c r="I39" s="298"/>
      <c r="J39" s="298"/>
      <c r="K39" s="299"/>
      <c r="L39" s="304"/>
      <c r="M39" s="300"/>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47"/>
      <c r="AA39" s="308"/>
      <c r="AB39" s="744"/>
      <c r="AC39" s="744"/>
      <c r="AD39" s="744"/>
      <c r="AE39" s="744"/>
      <c r="AF39" s="744"/>
      <c r="AG39" s="745"/>
      <c r="AR39" t="str">
        <f t="shared" si="9"/>
        <v/>
      </c>
      <c r="AS39" t="str">
        <f t="shared" si="10"/>
        <v/>
      </c>
    </row>
    <row r="40" spans="1:45">
      <c r="A40" s="294"/>
      <c r="B40" s="295"/>
      <c r="C40" s="296"/>
      <c r="D40" s="296"/>
      <c r="E40" s="296"/>
      <c r="F40" s="296"/>
      <c r="G40" s="297"/>
      <c r="H40" s="288"/>
      <c r="I40" s="298"/>
      <c r="J40" s="298"/>
      <c r="K40" s="299"/>
      <c r="L40" s="304"/>
      <c r="M40" s="300"/>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33">
        <v>4</v>
      </c>
      <c r="AA40" s="735" t="s">
        <v>706</v>
      </c>
      <c r="AB40" s="735"/>
      <c r="AC40" s="735"/>
      <c r="AD40" s="735"/>
      <c r="AE40" s="735"/>
      <c r="AF40" s="735"/>
      <c r="AG40" s="736"/>
      <c r="AR40" t="str">
        <f t="shared" si="9"/>
        <v/>
      </c>
      <c r="AS40" t="str">
        <f t="shared" si="10"/>
        <v/>
      </c>
    </row>
    <row r="41" spans="1:45" ht="15" customHeight="1" thickBot="1">
      <c r="A41" s="294"/>
      <c r="B41" s="295"/>
      <c r="C41" s="296"/>
      <c r="D41" s="296"/>
      <c r="E41" s="296"/>
      <c r="F41" s="296"/>
      <c r="G41" s="297"/>
      <c r="H41" s="299"/>
      <c r="I41" s="298"/>
      <c r="J41" s="298"/>
      <c r="K41" s="299"/>
      <c r="L41" s="304"/>
      <c r="M41" s="300"/>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34"/>
      <c r="AA41" s="737"/>
      <c r="AB41" s="737"/>
      <c r="AC41" s="737"/>
      <c r="AD41" s="737"/>
      <c r="AE41" s="737"/>
      <c r="AF41" s="737"/>
      <c r="AG41" s="738"/>
      <c r="AR41" t="str">
        <f t="shared" si="9"/>
        <v/>
      </c>
      <c r="AS41" t="str">
        <f t="shared" si="10"/>
        <v/>
      </c>
    </row>
    <row r="42" spans="1:45">
      <c r="A42" s="294"/>
      <c r="B42" s="295"/>
      <c r="C42" s="296"/>
      <c r="D42" s="296"/>
      <c r="E42" s="296"/>
      <c r="F42" s="296"/>
      <c r="G42" s="297"/>
      <c r="H42" s="299"/>
      <c r="I42" s="298"/>
      <c r="J42" s="298"/>
      <c r="K42" s="299"/>
      <c r="L42" s="304"/>
      <c r="M42" s="300"/>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304"/>
      <c r="M43" s="300"/>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304"/>
      <c r="M44" s="300"/>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88"/>
      <c r="I45" s="298"/>
      <c r="J45" s="298"/>
      <c r="K45" s="299"/>
      <c r="L45" s="304"/>
      <c r="M45" s="300"/>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304"/>
      <c r="M46" s="300"/>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304"/>
      <c r="M47" s="300"/>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88"/>
      <c r="I48" s="298"/>
      <c r="J48" s="298"/>
      <c r="K48" s="299"/>
      <c r="L48" s="304"/>
      <c r="M48" s="300"/>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304"/>
      <c r="M49" s="300"/>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304"/>
      <c r="M50" s="300"/>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304"/>
      <c r="M51" s="300"/>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304"/>
      <c r="M52" s="300"/>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304"/>
      <c r="M53" s="300"/>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304"/>
      <c r="M54" s="300"/>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88"/>
      <c r="I55" s="298"/>
      <c r="J55" s="298"/>
      <c r="K55" s="299"/>
      <c r="L55" s="304"/>
      <c r="M55" s="300"/>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88"/>
      <c r="I56" s="298"/>
      <c r="J56" s="298"/>
      <c r="K56" s="299"/>
      <c r="L56" s="304"/>
      <c r="M56" s="300"/>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88"/>
      <c r="I57" s="298"/>
      <c r="J57" s="298"/>
      <c r="K57" s="299"/>
      <c r="L57" s="304"/>
      <c r="M57" s="300"/>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304"/>
      <c r="M58" s="300"/>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304"/>
      <c r="M59" s="300"/>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304"/>
      <c r="M60" s="300"/>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304"/>
      <c r="M61" s="300"/>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304"/>
      <c r="M62" s="300"/>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304"/>
      <c r="M63" s="300"/>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304"/>
      <c r="M64" s="300"/>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304"/>
      <c r="M65" s="300"/>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304"/>
      <c r="M66" s="300"/>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303"/>
      <c r="I67" s="298"/>
      <c r="J67" s="298"/>
      <c r="K67" s="299"/>
      <c r="L67" s="304"/>
      <c r="M67" s="300"/>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303"/>
      <c r="I68" s="298"/>
      <c r="J68" s="298"/>
      <c r="K68" s="299"/>
      <c r="L68" s="304"/>
      <c r="M68" s="300"/>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303"/>
      <c r="I69" s="298"/>
      <c r="J69" s="298"/>
      <c r="K69" s="299"/>
      <c r="L69" s="304"/>
      <c r="M69" s="300"/>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303"/>
      <c r="I70" s="298"/>
      <c r="J70" s="298"/>
      <c r="K70" s="299"/>
      <c r="L70" s="304"/>
      <c r="M70" s="300"/>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303"/>
      <c r="I71" s="298"/>
      <c r="J71" s="298"/>
      <c r="K71" s="299"/>
      <c r="L71" s="304"/>
      <c r="M71" s="300"/>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303"/>
      <c r="I72" s="298"/>
      <c r="J72" s="298"/>
      <c r="K72" s="299"/>
      <c r="L72" s="304"/>
      <c r="M72" s="300"/>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303"/>
      <c r="I73" s="298"/>
      <c r="J73" s="298"/>
      <c r="K73" s="299"/>
      <c r="L73" s="304"/>
      <c r="M73" s="300"/>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303"/>
      <c r="I74" s="298"/>
      <c r="J74" s="298"/>
      <c r="K74" s="299"/>
      <c r="L74" s="304"/>
      <c r="M74" s="300"/>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303"/>
      <c r="I75" s="298"/>
      <c r="J75" s="298"/>
      <c r="K75" s="299"/>
      <c r="L75" s="304"/>
      <c r="M75" s="300"/>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303"/>
      <c r="I76" s="298"/>
      <c r="J76" s="298"/>
      <c r="K76" s="299"/>
      <c r="L76" s="304"/>
      <c r="M76" s="300"/>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303"/>
      <c r="I77" s="298"/>
      <c r="J77" s="298"/>
      <c r="K77" s="299"/>
      <c r="L77" s="304"/>
      <c r="M77" s="300"/>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303"/>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303"/>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s="321" customFormat="1">
      <c r="A1004" s="316"/>
      <c r="B1004" s="317"/>
      <c r="C1004" s="316"/>
      <c r="D1004" s="316"/>
      <c r="E1004" s="316"/>
      <c r="F1004" s="316"/>
      <c r="G1004" s="316"/>
      <c r="H1004" s="316"/>
      <c r="I1004" s="316"/>
      <c r="J1004" s="316"/>
      <c r="K1004" s="316"/>
      <c r="L1004" s="318"/>
      <c r="M1004" s="319"/>
      <c r="N1004" s="320"/>
      <c r="O1004" s="292"/>
      <c r="P1004" s="316"/>
      <c r="Q1004" s="316"/>
      <c r="R1004" s="316"/>
      <c r="S1004" s="316"/>
      <c r="T1004" s="316"/>
      <c r="U1004" s="316"/>
      <c r="V1004" s="316"/>
      <c r="W1004" s="316"/>
      <c r="X1004" s="316"/>
      <c r="Y1004" s="316"/>
      <c r="Z1004" s="98"/>
      <c r="AA1004" s="98"/>
      <c r="AB1004" s="98"/>
      <c r="AC1004" s="98"/>
      <c r="AD1004" s="98"/>
      <c r="AE1004" s="98"/>
      <c r="AF1004" s="98"/>
      <c r="AG1004" s="98"/>
      <c r="AH1004" s="98"/>
      <c r="AI1004" s="98"/>
      <c r="AJ1004" s="98"/>
      <c r="AR1004" s="336"/>
      <c r="AS1004" s="336"/>
    </row>
    <row r="1005" spans="1:45">
      <c r="H1005" s="207"/>
      <c r="I1005" s="207"/>
      <c r="J1005" s="207"/>
      <c r="K1005" s="207"/>
    </row>
    <row r="1006" spans="1:45">
      <c r="H1006" s="207"/>
      <c r="I1006" s="207"/>
      <c r="J1006" s="207"/>
      <c r="K1006" s="207"/>
    </row>
    <row r="1007" spans="1:45">
      <c r="H1007" s="207"/>
      <c r="I1007" s="207"/>
      <c r="J1007" s="207"/>
      <c r="K1007" s="207"/>
    </row>
    <row r="1008" spans="1:45">
      <c r="H1008" s="207"/>
      <c r="I1008" s="207"/>
      <c r="J1008" s="207"/>
      <c r="K1008" s="207"/>
    </row>
    <row r="1009" spans="8:11">
      <c r="H1009" s="207"/>
      <c r="I1009" s="207"/>
      <c r="J1009" s="207"/>
      <c r="K1009" s="207"/>
    </row>
    <row r="1010" spans="8:11">
      <c r="H1010" s="207"/>
      <c r="I1010" s="207"/>
      <c r="J1010" s="207"/>
      <c r="K1010" s="207"/>
    </row>
  </sheetData>
  <autoFilter ref="A3:M66" xr:uid="{243D5DF6-C14B-4A9C-AF8D-BE77476CB822}"/>
  <mergeCells count="24">
    <mergeCell ref="Z14:AG14"/>
    <mergeCell ref="AA15:AG18"/>
    <mergeCell ref="AB19:AG23"/>
    <mergeCell ref="AB24:AG27"/>
    <mergeCell ref="Z15:Z27"/>
    <mergeCell ref="S2:S3"/>
    <mergeCell ref="T2:T3"/>
    <mergeCell ref="U2:U3"/>
    <mergeCell ref="P1:AG1"/>
    <mergeCell ref="V2:V3"/>
    <mergeCell ref="W2:W3"/>
    <mergeCell ref="X2:X3"/>
    <mergeCell ref="A2:M2"/>
    <mergeCell ref="P2:P3"/>
    <mergeCell ref="Q2:Q3"/>
    <mergeCell ref="R2:R3"/>
    <mergeCell ref="A1:N1"/>
    <mergeCell ref="Z40:Z41"/>
    <mergeCell ref="AA40:AG41"/>
    <mergeCell ref="AA28:AG28"/>
    <mergeCell ref="AB32:AG35"/>
    <mergeCell ref="AB36:AG37"/>
    <mergeCell ref="AB38:AG39"/>
    <mergeCell ref="Z28:Z39"/>
  </mergeCells>
  <conditionalFormatting sqref="D4:D1003">
    <cfRule type="cellIs" dxfId="13" priority="2" operator="between">
      <formula>4</formula>
      <formula>6</formula>
    </cfRule>
    <cfRule type="cellIs" dxfId="12" priority="3" operator="between">
      <formula>2</formula>
      <formula>3</formula>
    </cfRule>
  </conditionalFormatting>
  <conditionalFormatting sqref="F4:F1003">
    <cfRule type="cellIs" dxfId="11"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09B212D7-34AF-4204-82CE-C545F372C807}">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804AE052-26BC-48FB-BBE1-400CBA5523A9}">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5251163B-6118-44C2-9389-BF39A557D09B}">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F6032C13-D74F-46CC-BE7C-6730D3BB65FD}">
      <formula1>CrashTypeList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3CE95-186C-43BE-B639-843E26C47CE2}">
  <sheetPr codeName="Sheet12"/>
  <dimension ref="A1:AS1004"/>
  <sheetViews>
    <sheetView workbookViewId="0">
      <selection sqref="A1:N1"/>
    </sheetView>
  </sheetViews>
  <sheetFormatPr defaultColWidth="9.15625" defaultRowHeight="14.4"/>
  <cols>
    <col min="1" max="1" width="10" style="98" bestFit="1" customWidth="1"/>
    <col min="2" max="2" width="10.734375" style="337" bestFit="1" customWidth="1"/>
    <col min="3" max="7" width="3.5234375" style="207" customWidth="1"/>
    <col min="8" max="8" width="11" style="98" customWidth="1"/>
    <col min="9" max="10" width="9.47265625" style="98" customWidth="1"/>
    <col min="11" max="11" width="8.47265625" style="98" customWidth="1"/>
    <col min="12" max="12" width="10.26171875" style="323" customWidth="1"/>
    <col min="13" max="13" width="10.26171875" style="338" customWidth="1"/>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3" width="11.734375" style="98" customWidth="1"/>
    <col min="34" max="35" width="9.15625" style="98"/>
    <col min="36" max="43" width="9.15625" style="98" customWidth="1"/>
    <col min="44" max="45" width="9.15625" hidden="1" customWidth="1"/>
    <col min="46" max="16384" width="9.15625" style="98"/>
  </cols>
  <sheetData>
    <row r="1" spans="1:45" ht="37.5" customHeight="1" thickBot="1">
      <c r="A1" s="772" t="s">
        <v>129</v>
      </c>
      <c r="B1" s="773"/>
      <c r="C1" s="773"/>
      <c r="D1" s="773"/>
      <c r="E1" s="773"/>
      <c r="F1" s="773"/>
      <c r="G1" s="773"/>
      <c r="H1" s="773"/>
      <c r="I1" s="773"/>
      <c r="J1" s="773"/>
      <c r="K1" s="773"/>
      <c r="L1" s="773"/>
      <c r="M1" s="773"/>
      <c r="N1" s="773"/>
      <c r="O1" s="265"/>
      <c r="P1" s="774" t="s">
        <v>130</v>
      </c>
      <c r="Q1" s="758"/>
      <c r="R1" s="758"/>
      <c r="S1" s="758"/>
      <c r="T1" s="758"/>
      <c r="U1" s="758"/>
      <c r="V1" s="758"/>
      <c r="W1" s="758"/>
      <c r="X1" s="758"/>
      <c r="Y1" s="758"/>
      <c r="Z1" s="758"/>
      <c r="AA1" s="758"/>
      <c r="AB1" s="758"/>
      <c r="AC1" s="758"/>
      <c r="AD1" s="758"/>
      <c r="AE1" s="758"/>
      <c r="AF1" s="758"/>
      <c r="AG1" s="759"/>
    </row>
    <row r="2" spans="1:45" s="97" customFormat="1" ht="18" customHeight="1" thickBot="1">
      <c r="A2" s="748" t="str">
        <f>"After Period ("&amp;TEXT('Evaluation Set-up'!D11, "mm/dd/yy")&amp;" - "&amp;TEXT('Evaluation Set-up'!E11, "mm/dd/yy")&amp;")"</f>
        <v>After Period (01/01/22 - 07/31/26)</v>
      </c>
      <c r="B2" s="749"/>
      <c r="C2" s="749"/>
      <c r="D2" s="749"/>
      <c r="E2" s="749"/>
      <c r="F2" s="749"/>
      <c r="G2" s="749"/>
      <c r="H2" s="749"/>
      <c r="I2" s="749"/>
      <c r="J2" s="749"/>
      <c r="K2" s="749"/>
      <c r="L2" s="749"/>
      <c r="M2" s="749"/>
      <c r="N2" s="749"/>
      <c r="O2" s="267"/>
      <c r="P2" s="750" t="s">
        <v>11</v>
      </c>
      <c r="Q2" s="752" t="s">
        <v>30</v>
      </c>
      <c r="R2" s="752" t="s">
        <v>12</v>
      </c>
      <c r="S2" s="752" t="s">
        <v>50</v>
      </c>
      <c r="T2" s="752" t="s">
        <v>51</v>
      </c>
      <c r="U2" s="752" t="s">
        <v>52</v>
      </c>
      <c r="V2" s="752" t="s">
        <v>53</v>
      </c>
      <c r="W2" s="752" t="s">
        <v>368</v>
      </c>
      <c r="X2" s="760" t="s">
        <v>371</v>
      </c>
      <c r="Y2" s="268"/>
      <c r="AR2" s="257"/>
      <c r="AS2" s="257"/>
    </row>
    <row r="3" spans="1:45" ht="14.7" thickBot="1">
      <c r="A3" s="269" t="s">
        <v>0</v>
      </c>
      <c r="B3" s="270" t="s">
        <v>1</v>
      </c>
      <c r="C3" s="271" t="s">
        <v>2</v>
      </c>
      <c r="D3" s="271" t="s">
        <v>3</v>
      </c>
      <c r="E3" s="271" t="s">
        <v>4</v>
      </c>
      <c r="F3" s="271" t="s">
        <v>5</v>
      </c>
      <c r="G3" s="272" t="s">
        <v>6</v>
      </c>
      <c r="H3" s="269" t="s">
        <v>853</v>
      </c>
      <c r="I3" s="269" t="s">
        <v>854</v>
      </c>
      <c r="J3" s="269" t="s">
        <v>855</v>
      </c>
      <c r="K3" s="269" t="s">
        <v>716</v>
      </c>
      <c r="L3" s="273" t="s">
        <v>57</v>
      </c>
      <c r="M3" s="274" t="s">
        <v>58</v>
      </c>
      <c r="N3" s="275" t="s">
        <v>369</v>
      </c>
      <c r="O3" s="276"/>
      <c r="P3" s="751"/>
      <c r="Q3" s="753"/>
      <c r="R3" s="753"/>
      <c r="S3" s="753"/>
      <c r="T3" s="753"/>
      <c r="U3" s="753"/>
      <c r="V3" s="753"/>
      <c r="W3" s="753"/>
      <c r="X3" s="761"/>
      <c r="Y3" s="277"/>
      <c r="AB3" s="278" t="s">
        <v>13</v>
      </c>
      <c r="AC3" s="279" t="s">
        <v>47</v>
      </c>
      <c r="AD3" s="280" t="s">
        <v>49</v>
      </c>
      <c r="AE3" s="281" t="s">
        <v>370</v>
      </c>
      <c r="AF3" s="282" t="s">
        <v>60</v>
      </c>
      <c r="AR3" t="s">
        <v>11</v>
      </c>
      <c r="AS3" t="s">
        <v>62</v>
      </c>
    </row>
    <row r="4" spans="1:45">
      <c r="A4" s="283">
        <v>106899135</v>
      </c>
      <c r="B4" s="284">
        <v>44606</v>
      </c>
      <c r="C4" s="285">
        <v>30</v>
      </c>
      <c r="D4" s="285">
        <v>1</v>
      </c>
      <c r="E4" s="285">
        <v>0</v>
      </c>
      <c r="F4" s="285">
        <v>1</v>
      </c>
      <c r="G4" s="286" t="inlineStr">
        <is>
          <t>O</t>
        </is>
      </c>
      <c r="H4" s="288" t="inlineStr">
        <is>
          <t>Angle</t>
        </is>
      </c>
      <c r="I4" s="287" t="inlineStr">
        <is>
          <t>WBT</t>
        </is>
      </c>
      <c r="J4" s="298" t="inlineStr">
        <is>
          <t>SBT</t>
        </is>
      </c>
      <c r="K4" s="288" t="inlineStr">
        <is>
          <t>V1</t>
        </is>
      </c>
      <c r="L4" s="590" t="inlineStr">
        <is>
          <t>Y</t>
        </is>
      </c>
      <c r="M4" s="591"/>
      <c r="N4" s="291"/>
      <c r="P4" s="193" t="n">
        <f>IF(R4 = "", "", COUNT(R$4:$R4))</f>
        <v>1</v>
      </c>
      <c r="Q4" s="193" t="n">
        <f t="shared" ref="Q4:Q67" si="0">IF(C4 &gt; 0, YEAR(B4), "")</f>
        <v>2022</v>
      </c>
      <c r="R4" s="194" t="n">
        <f t="shared" ref="R4:R67" si="1">IF(A4="", "", IF(G4="",1,IF(G4="O",1,IF(G4="C",8.4,IF(G4="B",8.4,IF(G4="A",76.8,IF(G4="K",76.8,"ERR")))))))</f>
        <v>1</v>
      </c>
      <c r="S4" s="195" t="n">
        <f>IF(L4&lt;&gt;"",R4,"")</f>
        <v>1</v>
      </c>
      <c r="T4" s="196" t="str">
        <f>IF(IF(L4&lt;&gt;"",G4,"")=0, "O", IF(L4&lt;&gt;"",G4,""))</f>
        <v>O</v>
      </c>
      <c r="U4" s="197" t="str">
        <f>IF(M4&lt;&gt;"",R4,"")</f>
        <v/>
      </c>
      <c r="V4" s="198" t="str">
        <f t="shared" ref="V4:V67" si="2">IF(IF(M4&lt;&gt;"",G4,"")=0, "O", IF(M4&lt;&gt;"",G4,""))</f>
        <v/>
      </c>
      <c r="W4" s="339" t="str">
        <f>IF(N4="Y",R4,"")</f>
        <v/>
      </c>
      <c r="X4" s="340" t="str">
        <f>IF(IF(N4="Y",F4,"")=0, "O", IF(N4="Y",F4,""))</f>
        <v/>
      </c>
      <c r="Y4" s="277"/>
      <c r="AA4" s="293" t="s">
        <v>9</v>
      </c>
      <c r="AB4" s="326" t="n">
        <f>COUNTIF($G$4:$G$1048576,$AA4)</f>
        <v>0</v>
      </c>
      <c r="AC4" s="327" t="n">
        <f>COUNTIF($T$4:$T$1048576,$AA4)</f>
        <v>0</v>
      </c>
      <c r="AD4" s="328" t="n">
        <f>COUNTIF($V$4:$V$1048576,$AA4)</f>
        <v>0</v>
      </c>
      <c r="AE4" s="329" t="n">
        <f>COUNTIF($X$4:$X$1048576,$AA4)</f>
        <v>0</v>
      </c>
      <c r="AF4" s="330" t="n">
        <f>COUNTIF($T:$T, AA4)+COUNTIF($V:$V, AA4)+COUNTIF($X:$X, AA4)-COUNTIFS($T:$T, AA4, $V:$V, AA4,$X:$X,AA4)</f>
        <v>0</v>
      </c>
      <c r="AR4" t="n">
        <f>IF(P4&gt;0, P4, "")</f>
        <v>1</v>
      </c>
      <c r="AS4" t="str">
        <f>IF(OR(L4="Y",M4="Y",N4="Y"),"Y","")</f>
        <v>Y</v>
      </c>
    </row>
    <row r="5" spans="1:45">
      <c r="A5" s="294">
        <v>107863132</v>
      </c>
      <c r="B5" s="295">
        <v>45555</v>
      </c>
      <c r="C5" s="296">
        <v>28</v>
      </c>
      <c r="D5" s="296">
        <v>1</v>
      </c>
      <c r="E5" s="296">
        <v>10</v>
      </c>
      <c r="F5" s="296">
        <v>1</v>
      </c>
      <c r="G5" s="297" t="inlineStr">
        <is>
          <t>O</t>
        </is>
      </c>
      <c r="H5" s="288" t="inlineStr">
        <is>
          <t>SSSD</t>
        </is>
      </c>
      <c r="I5" s="298" t="inlineStr">
        <is>
          <t>SBT</t>
        </is>
      </c>
      <c r="J5" s="298" t="inlineStr">
        <is>
          <t>SBT</t>
        </is>
      </c>
      <c r="K5" s="299" t="inlineStr">
        <is>
          <t>V1</t>
        </is>
      </c>
      <c r="L5" s="592"/>
      <c r="M5" s="593"/>
      <c r="N5" s="301"/>
      <c r="P5" s="193" t="n">
        <f>IF(R5 = "", "", COUNT(R$4:$R5))</f>
        <v>2</v>
      </c>
      <c r="Q5" s="193" t="n">
        <f t="shared" si="0"/>
        <v>2024</v>
      </c>
      <c r="R5" s="194" t="n">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t="n">
        <f>COUNTIF($G$4:$G$1048576,$AA5)</f>
        <v>0</v>
      </c>
      <c r="AC5" s="327" t="n">
        <f>COUNTIF($T$4:$T$1048576,$AA5)</f>
        <v>0</v>
      </c>
      <c r="AD5" s="328" t="n">
        <f>COUNTIF($V$4:$V$1048576,$AA5)</f>
        <v>0</v>
      </c>
      <c r="AE5" s="329" t="n">
        <f>COUNTIF($X$4:$X$1048576,$AA5)</f>
        <v>0</v>
      </c>
      <c r="AF5" s="330" t="n">
        <f t="shared" ref="AF5:AF8" si="8">COUNTIF($T:$T, AA5)+COUNTIF($V:$V, AA5)+COUNTIF($X:$X, AA5)-COUNTIFS($T:$T, AA5, $V:$V, AA5,$X:$X,AA5)</f>
        <v>0</v>
      </c>
      <c r="AR5" t="n">
        <f t="shared" ref="AR5:AR68" si="9">IF(P5&gt;0, P5, "")</f>
        <v>2</v>
      </c>
      <c r="AS5" t="str">
        <f t="shared" ref="AS5:AS68" si="10">IF(OR(L5="Y",M5="Y",N5="Y"),"Y","")</f>
        <v/>
      </c>
    </row>
    <row r="6" spans="1:45">
      <c r="A6" s="294">
        <v>107982237</v>
      </c>
      <c r="B6" s="295">
        <v>45665</v>
      </c>
      <c r="C6" s="296">
        <v>26</v>
      </c>
      <c r="D6" s="296">
        <v>1</v>
      </c>
      <c r="E6" s="296">
        <v>10</v>
      </c>
      <c r="F6" s="296">
        <v>1</v>
      </c>
      <c r="G6" s="297"/>
      <c r="H6" s="288" t="inlineStr">
        <is>
          <t>RTDR</t>
        </is>
      </c>
      <c r="I6" s="298" t="inlineStr">
        <is>
          <t>NBT</t>
        </is>
      </c>
      <c r="J6" s="298" t="inlineStr">
        <is>
          <t>WBR</t>
        </is>
      </c>
      <c r="K6" s="299" t="inlineStr">
        <is>
          <t>V2</t>
        </is>
      </c>
      <c r="L6" s="592" t="inlineStr">
        <is>
          <t>Y</t>
        </is>
      </c>
      <c r="M6" s="593"/>
      <c r="N6" s="301"/>
      <c r="P6" s="193" t="n">
        <f>IF(R6 = "", "", COUNT(R$4:$R6))</f>
        <v>3</v>
      </c>
      <c r="Q6" s="193" t="n">
        <f t="shared" si="0"/>
        <v>2025</v>
      </c>
      <c r="R6" s="194" t="n">
        <f t="shared" si="1"/>
        <v>1</v>
      </c>
      <c r="S6" s="195" t="n">
        <f t="shared" si="3"/>
        <v>1</v>
      </c>
      <c r="T6" s="196" t="str">
        <f t="shared" si="4"/>
        <v>O</v>
      </c>
      <c r="U6" s="197" t="str">
        <f t="shared" si="5"/>
        <v/>
      </c>
      <c r="V6" s="198" t="str">
        <f t="shared" si="2"/>
        <v/>
      </c>
      <c r="W6" s="339" t="str">
        <f t="shared" si="6"/>
        <v/>
      </c>
      <c r="X6" s="341" t="str">
        <f t="shared" si="7"/>
        <v/>
      </c>
      <c r="Y6" s="277"/>
      <c r="AA6" s="293" t="s">
        <v>8</v>
      </c>
      <c r="AB6" s="326" t="n">
        <f>COUNTIF($G$4:$G$1048576,$AA6)</f>
        <v>0</v>
      </c>
      <c r="AC6" s="327" t="n">
        <f>COUNTIF($T$4:$T$1048576,$AA6)</f>
        <v>0</v>
      </c>
      <c r="AD6" s="328" t="n">
        <f>COUNTIF($V$4:$V$1048576,$AA6)</f>
        <v>0</v>
      </c>
      <c r="AE6" s="329" t="n">
        <f>COUNTIF($X$4:$X$1048576,$AA6)</f>
        <v>0</v>
      </c>
      <c r="AF6" s="330" t="n">
        <f t="shared" si="8"/>
        <v>0</v>
      </c>
      <c r="AR6" t="n">
        <f t="shared" si="9"/>
        <v>3</v>
      </c>
      <c r="AS6" t="str">
        <f t="shared" si="10"/>
        <v>Y</v>
      </c>
    </row>
    <row r="7" spans="1:45">
      <c r="A7" s="294"/>
      <c r="B7" s="295"/>
      <c r="C7" s="296"/>
      <c r="D7" s="296"/>
      <c r="E7" s="296"/>
      <c r="F7" s="296"/>
      <c r="G7" s="297"/>
      <c r="H7" s="299"/>
      <c r="I7" s="298"/>
      <c r="J7" s="298"/>
      <c r="K7" s="299"/>
      <c r="L7" s="592"/>
      <c r="M7" s="593"/>
      <c r="N7" s="301"/>
      <c r="P7" s="193" t="str">
        <f>IF(R7 = "", "", COUNT(R$4:$R7))</f>
        <v/>
      </c>
      <c r="Q7" s="193" t="str">
        <f t="shared" si="0"/>
        <v/>
      </c>
      <c r="R7" s="194" t="str">
        <f t="shared" si="1"/>
        <v/>
      </c>
      <c r="S7" s="195" t="str">
        <f>IF(L7&lt;&gt;"",R7,"")</f>
        <v/>
      </c>
      <c r="T7" s="196" t="str">
        <f t="shared" si="4"/>
        <v/>
      </c>
      <c r="U7" s="197" t="str">
        <f t="shared" si="5"/>
        <v/>
      </c>
      <c r="V7" s="198" t="str">
        <f t="shared" si="2"/>
        <v/>
      </c>
      <c r="W7" s="339" t="str">
        <f t="shared" si="6"/>
        <v/>
      </c>
      <c r="X7" s="341" t="str">
        <f t="shared" si="7"/>
        <v/>
      </c>
      <c r="Y7" s="277"/>
      <c r="AA7" s="293" t="s">
        <v>3</v>
      </c>
      <c r="AB7" s="326" t="n">
        <f>COUNTIF($G$4:$G$1048576,$AA7)</f>
        <v>0</v>
      </c>
      <c r="AC7" s="327" t="n">
        <f>COUNTIF($T$4:$T$1048576,$AA7)</f>
        <v>0</v>
      </c>
      <c r="AD7" s="328" t="n">
        <f>COUNTIF($V$4:$V$1048576,$AA7)</f>
        <v>0</v>
      </c>
      <c r="AE7" s="329" t="n">
        <f>COUNTIF($X$4:$X$1048576,$AA7)</f>
        <v>0</v>
      </c>
      <c r="AF7" s="330" t="n">
        <f t="shared" si="8"/>
        <v>0</v>
      </c>
      <c r="AR7" t="str">
        <f t="shared" si="9"/>
        <v/>
      </c>
      <c r="AS7" t="str">
        <f t="shared" si="10"/>
        <v/>
      </c>
    </row>
    <row r="8" spans="1:45">
      <c r="A8" s="294"/>
      <c r="B8" s="295"/>
      <c r="C8" s="296"/>
      <c r="D8" s="296"/>
      <c r="E8" s="296"/>
      <c r="F8" s="296"/>
      <c r="G8" s="297"/>
      <c r="H8" s="288"/>
      <c r="I8" s="298"/>
      <c r="J8" s="298"/>
      <c r="K8" s="299"/>
      <c r="L8" s="592"/>
      <c r="M8" s="593"/>
      <c r="N8" s="301"/>
      <c r="P8" s="193" t="str">
        <f>IF(R8 = "", "", COUNT(R$4:$R8))</f>
        <v/>
      </c>
      <c r="Q8" s="193" t="str">
        <f t="shared" si="0"/>
        <v/>
      </c>
      <c r="R8" s="194" t="str">
        <f t="shared" si="1"/>
        <v/>
      </c>
      <c r="S8" s="195" t="str">
        <f t="shared" si="3"/>
        <v/>
      </c>
      <c r="T8" s="196" t="str">
        <f t="shared" si="4"/>
        <v/>
      </c>
      <c r="U8" s="197" t="str">
        <f t="shared" si="5"/>
        <v/>
      </c>
      <c r="V8" s="198" t="str">
        <f t="shared" si="2"/>
        <v/>
      </c>
      <c r="W8" s="339" t="str">
        <f t="shared" si="6"/>
        <v/>
      </c>
      <c r="X8" s="341" t="str">
        <f t="shared" si="7"/>
        <v/>
      </c>
      <c r="Y8" s="277"/>
      <c r="AA8" s="293" t="s">
        <v>7</v>
      </c>
      <c r="AB8" s="326" t="n">
        <f>COUNTIF($G$4:$G$1048576,$AA8)+COUNTIFS($G$4:$G$1048576, "", $P$4:$P$1048576, "&gt;0")</f>
        <v>3</v>
      </c>
      <c r="AC8" s="327" t="n">
        <f>COUNTIF($T$4:$T$1048576,$AA8)</f>
        <v>2</v>
      </c>
      <c r="AD8" s="328" t="n">
        <f>COUNTIF($V$4:$V$1048576,$AA8)</f>
        <v>0</v>
      </c>
      <c r="AE8" s="329" t="n">
        <f>COUNTIF($X$4:$X$1048576,$AA8)</f>
        <v>0</v>
      </c>
      <c r="AF8" s="330" t="n">
        <f t="shared" si="8"/>
        <v>2</v>
      </c>
      <c r="AR8" t="str">
        <f t="shared" si="9"/>
        <v/>
      </c>
      <c r="AS8" t="str">
        <f t="shared" si="10"/>
        <v/>
      </c>
    </row>
    <row r="9" spans="1:45">
      <c r="A9" s="294"/>
      <c r="B9" s="295"/>
      <c r="C9" s="296"/>
      <c r="D9" s="296"/>
      <c r="E9" s="296"/>
      <c r="F9" s="296"/>
      <c r="G9" s="297"/>
      <c r="H9" s="288"/>
      <c r="I9" s="298"/>
      <c r="J9" s="298"/>
      <c r="K9" s="299"/>
      <c r="L9" s="592"/>
      <c r="M9" s="593"/>
      <c r="N9" s="301"/>
      <c r="P9" s="193" t="str">
        <f>IF(R9 = "", "", COUNT(R$4:$R9))</f>
        <v/>
      </c>
      <c r="Q9" s="193" t="str">
        <f t="shared" si="0"/>
        <v/>
      </c>
      <c r="R9" s="194" t="str">
        <f t="shared" si="1"/>
        <v/>
      </c>
      <c r="S9" s="195" t="str">
        <f t="shared" si="3"/>
        <v/>
      </c>
      <c r="T9" s="196" t="str">
        <f t="shared" si="4"/>
        <v/>
      </c>
      <c r="U9" s="197" t="str">
        <f t="shared" si="5"/>
        <v/>
      </c>
      <c r="V9" s="198" t="str">
        <f t="shared" si="2"/>
        <v/>
      </c>
      <c r="W9" s="339" t="str">
        <f t="shared" si="6"/>
        <v/>
      </c>
      <c r="X9" s="341" t="str">
        <f t="shared" si="7"/>
        <v/>
      </c>
      <c r="Y9" s="277"/>
      <c r="AA9" s="293" t="s">
        <v>13</v>
      </c>
      <c r="AB9" s="326" t="n">
        <f>COUNTIF(P4:P1048576, "&gt;0")</f>
        <v>3</v>
      </c>
      <c r="AC9" s="327" t="n">
        <f>COUNT(S4:S1048576)</f>
        <v>2</v>
      </c>
      <c r="AD9" s="328" t="n">
        <f>COUNT(U4:U1048576)</f>
        <v>0</v>
      </c>
      <c r="AE9" s="329" t="n">
        <f>COUNT(W4:W1048576)</f>
        <v>0</v>
      </c>
      <c r="AF9" s="330" t="n">
        <f>SUM(AF4:AF8)</f>
        <v>2</v>
      </c>
      <c r="AR9" t="str">
        <f t="shared" si="9"/>
        <v/>
      </c>
      <c r="AS9" t="str">
        <f t="shared" si="10"/>
        <v/>
      </c>
    </row>
    <row r="10" spans="1:45">
      <c r="A10" s="294"/>
      <c r="B10" s="295"/>
      <c r="C10" s="296"/>
      <c r="D10" s="296"/>
      <c r="E10" s="296"/>
      <c r="F10" s="296"/>
      <c r="G10" s="297"/>
      <c r="H10" s="288"/>
      <c r="I10" s="298"/>
      <c r="J10" s="298"/>
      <c r="K10" s="299"/>
      <c r="L10" s="592"/>
      <c r="M10" s="593"/>
      <c r="N10" s="301"/>
      <c r="P10" s="193" t="str">
        <f>IF(R10 = "", "", COUNT(R$4:$R10))</f>
        <v/>
      </c>
      <c r="Q10" s="193" t="str">
        <f t="shared" si="0"/>
        <v/>
      </c>
      <c r="R10" s="194" t="str">
        <f t="shared" si="1"/>
        <v/>
      </c>
      <c r="S10" s="195" t="str">
        <f t="shared" si="3"/>
        <v/>
      </c>
      <c r="T10" s="196" t="str">
        <f t="shared" si="4"/>
        <v/>
      </c>
      <c r="U10" s="197" t="str">
        <f t="shared" si="5"/>
        <v/>
      </c>
      <c r="V10" s="198" t="str">
        <f t="shared" si="2"/>
        <v/>
      </c>
      <c r="W10" s="339" t="str">
        <f t="shared" si="6"/>
        <v/>
      </c>
      <c r="X10" s="341" t="str">
        <f t="shared" si="7"/>
        <v/>
      </c>
      <c r="Y10" s="277"/>
      <c r="AA10" s="293" t="s">
        <v>14</v>
      </c>
      <c r="AB10" s="331" t="n">
        <f>IFERROR(AVERAGE(R4:R1048576), 0)</f>
        <v>1</v>
      </c>
      <c r="AC10" s="332" t="n">
        <f>IFERROR(AVERAGE(S4:S1048576),0)</f>
        <v>1</v>
      </c>
      <c r="AD10" s="333" t="n">
        <f>IFERROR(AVERAGE(U4:U1048576),0)</f>
        <v>0</v>
      </c>
      <c r="AE10" s="334" t="n">
        <f>IFERROR(AVERAGE(W4:W1048576),0)</f>
        <v>0</v>
      </c>
      <c r="AF10" s="335" t="n">
        <f>IFERROR(AVERAGEIF($AS$4:$AS$1048576,"Y", R4:R1048576 ),0)</f>
        <v>1</v>
      </c>
      <c r="AR10" t="str">
        <f t="shared" si="9"/>
        <v/>
      </c>
      <c r="AS10" t="str">
        <f t="shared" si="10"/>
        <v/>
      </c>
    </row>
    <row r="11" spans="1:45">
      <c r="A11" s="294"/>
      <c r="B11" s="295"/>
      <c r="C11" s="296"/>
      <c r="D11" s="296"/>
      <c r="E11" s="296"/>
      <c r="F11" s="296"/>
      <c r="G11" s="297"/>
      <c r="H11" s="288"/>
      <c r="I11" s="298"/>
      <c r="J11" s="298"/>
      <c r="K11" s="299"/>
      <c r="L11" s="592"/>
      <c r="M11" s="593"/>
      <c r="N11" s="301"/>
      <c r="P11" s="193" t="str">
        <f>IF(R11 = "", "", COUNT(R$4:$R11))</f>
        <v/>
      </c>
      <c r="Q11" s="193" t="str">
        <f t="shared" si="0"/>
        <v/>
      </c>
      <c r="R11" s="194" t="str">
        <f t="shared" si="1"/>
        <v/>
      </c>
      <c r="S11" s="195" t="str">
        <f t="shared" si="3"/>
        <v/>
      </c>
      <c r="T11" s="196" t="str">
        <f t="shared" si="4"/>
        <v/>
      </c>
      <c r="U11" s="197" t="str">
        <f t="shared" si="5"/>
        <v/>
      </c>
      <c r="V11" s="198" t="str">
        <f t="shared" si="2"/>
        <v/>
      </c>
      <c r="W11" s="339" t="str">
        <f t="shared" si="6"/>
        <v/>
      </c>
      <c r="X11" s="341" t="str">
        <f t="shared" si="7"/>
        <v/>
      </c>
      <c r="Y11" s="277"/>
      <c r="AR11" t="str">
        <f t="shared" si="9"/>
        <v/>
      </c>
      <c r="AS11" t="str">
        <f t="shared" si="10"/>
        <v/>
      </c>
    </row>
    <row r="12" spans="1:45">
      <c r="A12" s="294"/>
      <c r="B12" s="295"/>
      <c r="C12" s="296"/>
      <c r="D12" s="296"/>
      <c r="E12" s="296"/>
      <c r="F12" s="296"/>
      <c r="G12" s="297"/>
      <c r="H12" s="288"/>
      <c r="I12" s="298"/>
      <c r="J12" s="298"/>
      <c r="K12" s="299"/>
      <c r="L12" s="592"/>
      <c r="M12" s="593"/>
      <c r="N12" s="301"/>
      <c r="P12" s="193" t="str">
        <f>IF(R12 = "", "", COUNT(R$4:$R12))</f>
        <v/>
      </c>
      <c r="Q12" s="193" t="str">
        <f t="shared" si="0"/>
        <v/>
      </c>
      <c r="R12" s="194" t="str">
        <f t="shared" si="1"/>
        <v/>
      </c>
      <c r="S12" s="195" t="str">
        <f t="shared" si="3"/>
        <v/>
      </c>
      <c r="T12" s="196" t="str">
        <f t="shared" si="4"/>
        <v/>
      </c>
      <c r="U12" s="197" t="str">
        <f t="shared" si="5"/>
        <v/>
      </c>
      <c r="V12" s="198" t="str">
        <f t="shared" si="2"/>
        <v/>
      </c>
      <c r="W12" s="339" t="str">
        <f t="shared" si="6"/>
        <v/>
      </c>
      <c r="X12" s="341" t="str">
        <f t="shared" si="7"/>
        <v/>
      </c>
      <c r="Y12" s="277"/>
      <c r="AR12" t="str">
        <f t="shared" si="9"/>
        <v/>
      </c>
      <c r="AS12" t="str">
        <f t="shared" si="10"/>
        <v/>
      </c>
    </row>
    <row r="13" spans="1:45" ht="14.7" thickBot="1">
      <c r="A13" s="294"/>
      <c r="B13" s="295"/>
      <c r="C13" s="296"/>
      <c r="D13" s="296"/>
      <c r="E13" s="296"/>
      <c r="F13" s="296"/>
      <c r="G13" s="297"/>
      <c r="H13" s="288"/>
      <c r="I13" s="298"/>
      <c r="J13" s="298"/>
      <c r="K13" s="299"/>
      <c r="L13" s="592"/>
      <c r="M13" s="593"/>
      <c r="N13" s="301"/>
      <c r="P13" s="193" t="str">
        <f>IF(R13 = "", "", COUNT(R$4:$R13))</f>
        <v/>
      </c>
      <c r="Q13" s="193" t="str">
        <f t="shared" si="0"/>
        <v/>
      </c>
      <c r="R13" s="194" t="str">
        <f t="shared" si="1"/>
        <v/>
      </c>
      <c r="S13" s="195" t="str">
        <f t="shared" si="3"/>
        <v/>
      </c>
      <c r="T13" s="196" t="str">
        <f t="shared" si="4"/>
        <v/>
      </c>
      <c r="U13" s="197" t="str">
        <f t="shared" si="5"/>
        <v/>
      </c>
      <c r="V13" s="198" t="str">
        <f t="shared" si="2"/>
        <v/>
      </c>
      <c r="W13" s="339" t="str">
        <f t="shared" si="6"/>
        <v/>
      </c>
      <c r="X13" s="341" t="str">
        <f t="shared" si="7"/>
        <v/>
      </c>
      <c r="Y13" s="277"/>
      <c r="AR13" t="str">
        <f t="shared" si="9"/>
        <v/>
      </c>
      <c r="AS13" t="str">
        <f t="shared" si="10"/>
        <v/>
      </c>
    </row>
    <row r="14" spans="1:45" ht="14.7" thickBot="1">
      <c r="A14" s="294"/>
      <c r="B14" s="295"/>
      <c r="C14" s="296"/>
      <c r="D14" s="296"/>
      <c r="E14" s="296"/>
      <c r="F14" s="296"/>
      <c r="G14" s="297"/>
      <c r="H14" s="299"/>
      <c r="I14" s="298"/>
      <c r="J14" s="298"/>
      <c r="K14" s="299"/>
      <c r="L14" s="592"/>
      <c r="M14" s="593"/>
      <c r="N14" s="301"/>
      <c r="P14" s="193" t="str">
        <f>IF(R14 = "", "", COUNT(R$4:$R14))</f>
        <v/>
      </c>
      <c r="Q14" s="193" t="str">
        <f t="shared" si="0"/>
        <v/>
      </c>
      <c r="R14" s="194" t="str">
        <f t="shared" si="1"/>
        <v/>
      </c>
      <c r="S14" s="195" t="str">
        <f t="shared" si="3"/>
        <v/>
      </c>
      <c r="T14" s="196" t="str">
        <f t="shared" si="4"/>
        <v/>
      </c>
      <c r="U14" s="197" t="str">
        <f t="shared" si="5"/>
        <v/>
      </c>
      <c r="V14" s="198" t="str">
        <f t="shared" si="2"/>
        <v/>
      </c>
      <c r="W14" s="339" t="str">
        <f t="shared" si="6"/>
        <v/>
      </c>
      <c r="X14" s="341" t="str">
        <f t="shared" si="7"/>
        <v/>
      </c>
      <c r="Y14" s="277"/>
      <c r="Z14" s="762" t="s">
        <v>40</v>
      </c>
      <c r="AA14" s="763"/>
      <c r="AB14" s="763"/>
      <c r="AC14" s="763"/>
      <c r="AD14" s="763"/>
      <c r="AE14" s="763"/>
      <c r="AF14" s="763"/>
      <c r="AG14" s="764"/>
      <c r="AR14" t="str">
        <f t="shared" si="9"/>
        <v/>
      </c>
      <c r="AS14" t="str">
        <f t="shared" si="10"/>
        <v/>
      </c>
    </row>
    <row r="15" spans="1:45" ht="15" customHeight="1">
      <c r="A15" s="294"/>
      <c r="B15" s="295"/>
      <c r="C15" s="296"/>
      <c r="D15" s="296"/>
      <c r="E15" s="296"/>
      <c r="F15" s="296"/>
      <c r="G15" s="297"/>
      <c r="H15" s="299"/>
      <c r="I15" s="298"/>
      <c r="J15" s="298"/>
      <c r="K15" s="299"/>
      <c r="L15" s="592"/>
      <c r="M15" s="593"/>
      <c r="N15" s="301"/>
      <c r="P15" s="193" t="str">
        <f>IF(R15 = "", "", COUNT(R$4:$R15))</f>
        <v/>
      </c>
      <c r="Q15" s="193" t="str">
        <f t="shared" si="0"/>
        <v/>
      </c>
      <c r="R15" s="194" t="str">
        <f t="shared" si="1"/>
        <v/>
      </c>
      <c r="S15" s="195" t="str">
        <f t="shared" si="3"/>
        <v/>
      </c>
      <c r="T15" s="196" t="str">
        <f t="shared" si="4"/>
        <v/>
      </c>
      <c r="U15" s="197" t="str">
        <f t="shared" si="5"/>
        <v/>
      </c>
      <c r="V15" s="198" t="str">
        <f t="shared" si="2"/>
        <v/>
      </c>
      <c r="W15" s="339" t="str">
        <f t="shared" si="6"/>
        <v/>
      </c>
      <c r="X15" s="341" t="str">
        <f t="shared" si="7"/>
        <v/>
      </c>
      <c r="Y15" s="277"/>
      <c r="Z15" s="770">
        <v>1</v>
      </c>
      <c r="AA15" s="765" t="s">
        <v>728</v>
      </c>
      <c r="AB15" s="766"/>
      <c r="AC15" s="766"/>
      <c r="AD15" s="766"/>
      <c r="AE15" s="766"/>
      <c r="AF15" s="766"/>
      <c r="AG15" s="767"/>
      <c r="AR15" t="str">
        <f t="shared" si="9"/>
        <v/>
      </c>
      <c r="AS15" t="str">
        <f t="shared" si="10"/>
        <v/>
      </c>
    </row>
    <row r="16" spans="1:45" ht="15" customHeight="1">
      <c r="A16" s="294"/>
      <c r="B16" s="295"/>
      <c r="C16" s="296"/>
      <c r="D16" s="296"/>
      <c r="E16" s="296"/>
      <c r="F16" s="296"/>
      <c r="G16" s="297"/>
      <c r="H16" s="299"/>
      <c r="I16" s="298"/>
      <c r="J16" s="298"/>
      <c r="K16" s="299"/>
      <c r="L16" s="592"/>
      <c r="M16" s="593"/>
      <c r="N16" s="301"/>
      <c r="P16" s="193" t="str">
        <f>IF(R16 = "", "", COUNT(R$4:$R16))</f>
        <v/>
      </c>
      <c r="Q16" s="193" t="str">
        <f t="shared" si="0"/>
        <v/>
      </c>
      <c r="R16" s="194" t="str">
        <f t="shared" si="1"/>
        <v/>
      </c>
      <c r="S16" s="195" t="str">
        <f t="shared" si="3"/>
        <v/>
      </c>
      <c r="T16" s="196" t="str">
        <f t="shared" si="4"/>
        <v/>
      </c>
      <c r="U16" s="197" t="str">
        <f t="shared" si="5"/>
        <v/>
      </c>
      <c r="V16" s="198" t="str">
        <f t="shared" si="2"/>
        <v/>
      </c>
      <c r="W16" s="339" t="str">
        <f t="shared" si="6"/>
        <v/>
      </c>
      <c r="X16" s="341" t="str">
        <f t="shared" si="7"/>
        <v/>
      </c>
      <c r="Y16" s="277"/>
      <c r="Z16" s="771"/>
      <c r="AA16" s="768"/>
      <c r="AB16" s="677"/>
      <c r="AC16" s="677"/>
      <c r="AD16" s="677"/>
      <c r="AE16" s="677"/>
      <c r="AF16" s="677"/>
      <c r="AG16" s="769"/>
      <c r="AR16" t="str">
        <f t="shared" si="9"/>
        <v/>
      </c>
      <c r="AS16" t="str">
        <f t="shared" si="10"/>
        <v/>
      </c>
    </row>
    <row r="17" spans="1:45">
      <c r="A17" s="294"/>
      <c r="B17" s="295"/>
      <c r="C17" s="296"/>
      <c r="D17" s="296"/>
      <c r="E17" s="296"/>
      <c r="F17" s="296"/>
      <c r="G17" s="297"/>
      <c r="H17" s="299"/>
      <c r="I17" s="298"/>
      <c r="J17" s="298"/>
      <c r="K17" s="299"/>
      <c r="L17" s="592"/>
      <c r="M17" s="593"/>
      <c r="N17" s="301"/>
      <c r="P17" s="193" t="str">
        <f>IF(R17 = "", "", COUNT(R$4:$R17))</f>
        <v/>
      </c>
      <c r="Q17" s="193" t="str">
        <f t="shared" si="0"/>
        <v/>
      </c>
      <c r="R17" s="194" t="str">
        <f t="shared" si="1"/>
        <v/>
      </c>
      <c r="S17" s="195" t="str">
        <f t="shared" si="3"/>
        <v/>
      </c>
      <c r="T17" s="196" t="str">
        <f t="shared" si="4"/>
        <v/>
      </c>
      <c r="U17" s="197" t="str">
        <f t="shared" si="5"/>
        <v/>
      </c>
      <c r="V17" s="198" t="str">
        <f t="shared" si="2"/>
        <v/>
      </c>
      <c r="W17" s="339" t="str">
        <f t="shared" si="6"/>
        <v/>
      </c>
      <c r="X17" s="341" t="str">
        <f t="shared" si="7"/>
        <v/>
      </c>
      <c r="Y17" s="277"/>
      <c r="Z17" s="771"/>
      <c r="AA17" s="768"/>
      <c r="AB17" s="677"/>
      <c r="AC17" s="677"/>
      <c r="AD17" s="677"/>
      <c r="AE17" s="677"/>
      <c r="AF17" s="677"/>
      <c r="AG17" s="769"/>
      <c r="AR17" t="str">
        <f t="shared" si="9"/>
        <v/>
      </c>
      <c r="AS17" t="str">
        <f t="shared" si="10"/>
        <v/>
      </c>
    </row>
    <row r="18" spans="1:45" ht="15" customHeight="1">
      <c r="A18" s="294"/>
      <c r="B18" s="295"/>
      <c r="C18" s="296"/>
      <c r="D18" s="296"/>
      <c r="E18" s="296"/>
      <c r="F18" s="296"/>
      <c r="G18" s="297"/>
      <c r="H18" s="299"/>
      <c r="I18" s="298"/>
      <c r="J18" s="298"/>
      <c r="K18" s="299"/>
      <c r="L18" s="592"/>
      <c r="M18" s="593"/>
      <c r="N18" s="301"/>
      <c r="P18" s="193" t="str">
        <f>IF(R18 = "", "", COUNT(R$4:$R18))</f>
        <v/>
      </c>
      <c r="Q18" s="193" t="str">
        <f t="shared" si="0"/>
        <v/>
      </c>
      <c r="R18" s="194" t="str">
        <f t="shared" si="1"/>
        <v/>
      </c>
      <c r="S18" s="195" t="str">
        <f t="shared" si="3"/>
        <v/>
      </c>
      <c r="T18" s="196" t="str">
        <f t="shared" si="4"/>
        <v/>
      </c>
      <c r="U18" s="197" t="str">
        <f t="shared" si="5"/>
        <v/>
      </c>
      <c r="V18" s="198" t="str">
        <f t="shared" si="2"/>
        <v/>
      </c>
      <c r="W18" s="339" t="str">
        <f t="shared" si="6"/>
        <v/>
      </c>
      <c r="X18" s="341" t="str">
        <f t="shared" si="7"/>
        <v/>
      </c>
      <c r="Y18" s="277"/>
      <c r="Z18" s="771"/>
      <c r="AA18" s="768"/>
      <c r="AB18" s="677"/>
      <c r="AC18" s="677"/>
      <c r="AD18" s="677"/>
      <c r="AE18" s="677"/>
      <c r="AF18" s="677"/>
      <c r="AG18" s="769"/>
      <c r="AR18" t="str">
        <f t="shared" si="9"/>
        <v/>
      </c>
      <c r="AS18" t="str">
        <f t="shared" si="10"/>
        <v/>
      </c>
    </row>
    <row r="19" spans="1:45">
      <c r="A19" s="294"/>
      <c r="B19" s="295"/>
      <c r="C19" s="296"/>
      <c r="D19" s="296"/>
      <c r="E19" s="296"/>
      <c r="F19" s="296"/>
      <c r="G19" s="297"/>
      <c r="H19" s="299"/>
      <c r="I19" s="298"/>
      <c r="J19" s="298"/>
      <c r="K19" s="299"/>
      <c r="L19" s="592"/>
      <c r="M19" s="593"/>
      <c r="N19" s="301"/>
      <c r="P19" s="193" t="str">
        <f>IF(R19 = "", "", COUNT(R$4:$R19))</f>
        <v/>
      </c>
      <c r="Q19" s="193" t="str">
        <f t="shared" si="0"/>
        <v/>
      </c>
      <c r="R19" s="194" t="str">
        <f t="shared" si="1"/>
        <v/>
      </c>
      <c r="S19" s="195" t="str">
        <f t="shared" si="3"/>
        <v/>
      </c>
      <c r="T19" s="196" t="str">
        <f t="shared" si="4"/>
        <v/>
      </c>
      <c r="U19" s="197" t="str">
        <f t="shared" si="5"/>
        <v/>
      </c>
      <c r="V19" s="198" t="str">
        <f t="shared" si="2"/>
        <v/>
      </c>
      <c r="W19" s="339" t="str">
        <f t="shared" si="6"/>
        <v/>
      </c>
      <c r="X19" s="341" t="str">
        <f t="shared" si="7"/>
        <v/>
      </c>
      <c r="Y19" s="277"/>
      <c r="Z19" s="771"/>
      <c r="AA19" s="302" t="s">
        <v>45</v>
      </c>
      <c r="AB19" s="677" t="s">
        <v>704</v>
      </c>
      <c r="AC19" s="677"/>
      <c r="AD19" s="677"/>
      <c r="AE19" s="677"/>
      <c r="AF19" s="677"/>
      <c r="AG19" s="769"/>
      <c r="AR19" t="str">
        <f t="shared" si="9"/>
        <v/>
      </c>
      <c r="AS19" t="str">
        <f t="shared" si="10"/>
        <v/>
      </c>
    </row>
    <row r="20" spans="1:45" ht="14.5" customHeight="1">
      <c r="A20" s="294"/>
      <c r="B20" s="295"/>
      <c r="C20" s="296"/>
      <c r="D20" s="296"/>
      <c r="E20" s="296"/>
      <c r="F20" s="296"/>
      <c r="G20" s="297"/>
      <c r="H20" s="299"/>
      <c r="I20" s="298"/>
      <c r="J20" s="298"/>
      <c r="K20" s="299"/>
      <c r="L20" s="592"/>
      <c r="M20" s="593"/>
      <c r="N20" s="301"/>
      <c r="P20" s="193" t="str">
        <f>IF(R20 = "", "", COUNT(R$4:$R20))</f>
        <v/>
      </c>
      <c r="Q20" s="193" t="str">
        <f t="shared" si="0"/>
        <v/>
      </c>
      <c r="R20" s="194" t="str">
        <f t="shared" si="1"/>
        <v/>
      </c>
      <c r="S20" s="195" t="str">
        <f t="shared" si="3"/>
        <v/>
      </c>
      <c r="T20" s="196" t="str">
        <f t="shared" si="4"/>
        <v/>
      </c>
      <c r="U20" s="197" t="str">
        <f t="shared" si="5"/>
        <v/>
      </c>
      <c r="V20" s="198" t="str">
        <f t="shared" si="2"/>
        <v/>
      </c>
      <c r="W20" s="339" t="str">
        <f t="shared" si="6"/>
        <v/>
      </c>
      <c r="X20" s="341" t="str">
        <f t="shared" si="7"/>
        <v/>
      </c>
      <c r="Y20" s="277"/>
      <c r="Z20" s="771"/>
      <c r="AA20" s="302"/>
      <c r="AB20" s="677"/>
      <c r="AC20" s="677"/>
      <c r="AD20" s="677"/>
      <c r="AE20" s="677"/>
      <c r="AF20" s="677"/>
      <c r="AG20" s="769"/>
      <c r="AR20" t="str">
        <f t="shared" si="9"/>
        <v/>
      </c>
      <c r="AS20" t="str">
        <f t="shared" si="10"/>
        <v/>
      </c>
    </row>
    <row r="21" spans="1:45" ht="15" customHeight="1">
      <c r="A21" s="294"/>
      <c r="B21" s="295"/>
      <c r="C21" s="296"/>
      <c r="D21" s="296"/>
      <c r="E21" s="296"/>
      <c r="F21" s="296"/>
      <c r="G21" s="297"/>
      <c r="H21" s="299"/>
      <c r="I21" s="298"/>
      <c r="J21" s="298"/>
      <c r="K21" s="299"/>
      <c r="L21" s="592"/>
      <c r="M21" s="593"/>
      <c r="N21" s="301"/>
      <c r="P21" s="193" t="str">
        <f>IF(R21 = "", "", COUNT(R$4:$R21))</f>
        <v/>
      </c>
      <c r="Q21" s="193" t="str">
        <f t="shared" si="0"/>
        <v/>
      </c>
      <c r="R21" s="194" t="str">
        <f t="shared" si="1"/>
        <v/>
      </c>
      <c r="S21" s="195" t="str">
        <f t="shared" si="3"/>
        <v/>
      </c>
      <c r="T21" s="196" t="str">
        <f t="shared" si="4"/>
        <v/>
      </c>
      <c r="U21" s="197" t="str">
        <f t="shared" si="5"/>
        <v/>
      </c>
      <c r="V21" s="198" t="str">
        <f t="shared" si="2"/>
        <v/>
      </c>
      <c r="W21" s="339" t="str">
        <f t="shared" si="6"/>
        <v/>
      </c>
      <c r="X21" s="341" t="str">
        <f t="shared" si="7"/>
        <v/>
      </c>
      <c r="Y21" s="277"/>
      <c r="Z21" s="771"/>
      <c r="AA21" s="305"/>
      <c r="AB21" s="677"/>
      <c r="AC21" s="677"/>
      <c r="AD21" s="677"/>
      <c r="AE21" s="677"/>
      <c r="AF21" s="677"/>
      <c r="AG21" s="769"/>
      <c r="AR21" t="str">
        <f t="shared" si="9"/>
        <v/>
      </c>
      <c r="AS21" t="str">
        <f t="shared" si="10"/>
        <v/>
      </c>
    </row>
    <row r="22" spans="1:45">
      <c r="A22" s="294"/>
      <c r="B22" s="295"/>
      <c r="C22" s="296"/>
      <c r="D22" s="296"/>
      <c r="E22" s="296"/>
      <c r="F22" s="296"/>
      <c r="G22" s="297"/>
      <c r="H22" s="299"/>
      <c r="I22" s="298"/>
      <c r="J22" s="298"/>
      <c r="K22" s="299"/>
      <c r="L22" s="592"/>
      <c r="M22" s="593"/>
      <c r="N22" s="301"/>
      <c r="P22" s="193" t="str">
        <f>IF(R22 = "", "", COUNT(R$4:$R22))</f>
        <v/>
      </c>
      <c r="Q22" s="193" t="str">
        <f t="shared" si="0"/>
        <v/>
      </c>
      <c r="R22" s="194" t="str">
        <f t="shared" si="1"/>
        <v/>
      </c>
      <c r="S22" s="195" t="str">
        <f t="shared" si="3"/>
        <v/>
      </c>
      <c r="T22" s="196" t="str">
        <f t="shared" si="4"/>
        <v/>
      </c>
      <c r="U22" s="197" t="str">
        <f t="shared" si="5"/>
        <v/>
      </c>
      <c r="V22" s="198" t="str">
        <f t="shared" si="2"/>
        <v/>
      </c>
      <c r="W22" s="339" t="str">
        <f t="shared" si="6"/>
        <v/>
      </c>
      <c r="X22" s="341" t="str">
        <f t="shared" si="7"/>
        <v/>
      </c>
      <c r="Y22" s="277"/>
      <c r="Z22" s="771"/>
      <c r="AA22" s="306"/>
      <c r="AB22" s="677"/>
      <c r="AC22" s="677"/>
      <c r="AD22" s="677"/>
      <c r="AE22" s="677"/>
      <c r="AF22" s="677"/>
      <c r="AG22" s="769"/>
      <c r="AR22" t="str">
        <f t="shared" si="9"/>
        <v/>
      </c>
      <c r="AS22" t="str">
        <f t="shared" si="10"/>
        <v/>
      </c>
    </row>
    <row r="23" spans="1:45" ht="15" customHeight="1">
      <c r="A23" s="294"/>
      <c r="B23" s="295"/>
      <c r="C23" s="296"/>
      <c r="D23" s="296"/>
      <c r="E23" s="296"/>
      <c r="F23" s="296"/>
      <c r="G23" s="297"/>
      <c r="H23" s="299"/>
      <c r="I23" s="298"/>
      <c r="J23" s="298"/>
      <c r="K23" s="299"/>
      <c r="L23" s="592"/>
      <c r="M23" s="593"/>
      <c r="N23" s="301"/>
      <c r="P23" s="193" t="str">
        <f>IF(R23 = "", "", COUNT(R$4:$R23))</f>
        <v/>
      </c>
      <c r="Q23" s="193" t="str">
        <f t="shared" si="0"/>
        <v/>
      </c>
      <c r="R23" s="194" t="str">
        <f t="shared" si="1"/>
        <v/>
      </c>
      <c r="S23" s="195" t="str">
        <f t="shared" si="3"/>
        <v/>
      </c>
      <c r="T23" s="196" t="str">
        <f t="shared" si="4"/>
        <v/>
      </c>
      <c r="U23" s="197" t="str">
        <f t="shared" si="5"/>
        <v/>
      </c>
      <c r="V23" s="198" t="str">
        <f t="shared" si="2"/>
        <v/>
      </c>
      <c r="W23" s="339" t="str">
        <f t="shared" si="6"/>
        <v/>
      </c>
      <c r="X23" s="341" t="str">
        <f t="shared" si="7"/>
        <v/>
      </c>
      <c r="Y23" s="277"/>
      <c r="Z23" s="771"/>
      <c r="AA23" s="306"/>
      <c r="AB23" s="677"/>
      <c r="AC23" s="677"/>
      <c r="AD23" s="677"/>
      <c r="AE23" s="677"/>
      <c r="AF23" s="677"/>
      <c r="AG23" s="769"/>
      <c r="AR23" t="str">
        <f t="shared" si="9"/>
        <v/>
      </c>
      <c r="AS23" t="str">
        <f t="shared" si="10"/>
        <v/>
      </c>
    </row>
    <row r="24" spans="1:45">
      <c r="A24" s="294"/>
      <c r="B24" s="295"/>
      <c r="C24" s="296"/>
      <c r="D24" s="296"/>
      <c r="E24" s="296"/>
      <c r="F24" s="296"/>
      <c r="G24" s="297"/>
      <c r="H24" s="299"/>
      <c r="I24" s="298"/>
      <c r="J24" s="298"/>
      <c r="K24" s="299"/>
      <c r="L24" s="592"/>
      <c r="M24" s="593"/>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71"/>
      <c r="AA24" s="302" t="s">
        <v>45</v>
      </c>
      <c r="AB24" s="677" t="s">
        <v>702</v>
      </c>
      <c r="AC24" s="677"/>
      <c r="AD24" s="677"/>
      <c r="AE24" s="677"/>
      <c r="AF24" s="677"/>
      <c r="AG24" s="769"/>
      <c r="AR24" t="str">
        <f t="shared" si="9"/>
        <v/>
      </c>
      <c r="AS24" t="str">
        <f t="shared" si="10"/>
        <v/>
      </c>
    </row>
    <row r="25" spans="1:45" ht="14.5" customHeight="1">
      <c r="A25" s="294"/>
      <c r="B25" s="295"/>
      <c r="C25" s="296"/>
      <c r="D25" s="296"/>
      <c r="E25" s="296"/>
      <c r="F25" s="296"/>
      <c r="G25" s="297"/>
      <c r="H25" s="299"/>
      <c r="I25" s="298"/>
      <c r="J25" s="298"/>
      <c r="K25" s="299"/>
      <c r="L25" s="592"/>
      <c r="M25" s="593"/>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71"/>
      <c r="AA25" s="302"/>
      <c r="AB25" s="677"/>
      <c r="AC25" s="677"/>
      <c r="AD25" s="677"/>
      <c r="AE25" s="677"/>
      <c r="AF25" s="677"/>
      <c r="AG25" s="769"/>
      <c r="AR25" t="str">
        <f t="shared" si="9"/>
        <v/>
      </c>
      <c r="AS25" t="str">
        <f t="shared" si="10"/>
        <v/>
      </c>
    </row>
    <row r="26" spans="1:45" ht="15" customHeight="1">
      <c r="A26" s="294"/>
      <c r="B26" s="295"/>
      <c r="C26" s="296"/>
      <c r="D26" s="296"/>
      <c r="E26" s="296"/>
      <c r="F26" s="296"/>
      <c r="G26" s="297"/>
      <c r="H26" s="299"/>
      <c r="I26" s="298"/>
      <c r="J26" s="298"/>
      <c r="K26" s="299"/>
      <c r="L26" s="592"/>
      <c r="M26" s="593"/>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71"/>
      <c r="AA26" s="306"/>
      <c r="AB26" s="677"/>
      <c r="AC26" s="677"/>
      <c r="AD26" s="677"/>
      <c r="AE26" s="677"/>
      <c r="AF26" s="677"/>
      <c r="AG26" s="769"/>
      <c r="AR26" t="str">
        <f t="shared" si="9"/>
        <v/>
      </c>
      <c r="AS26" t="str">
        <f t="shared" si="10"/>
        <v/>
      </c>
    </row>
    <row r="27" spans="1:45" ht="14.5" customHeight="1">
      <c r="A27" s="294"/>
      <c r="B27" s="295"/>
      <c r="C27" s="296"/>
      <c r="D27" s="296"/>
      <c r="E27" s="296"/>
      <c r="F27" s="296"/>
      <c r="G27" s="297"/>
      <c r="H27" s="299"/>
      <c r="I27" s="298"/>
      <c r="J27" s="298"/>
      <c r="K27" s="299"/>
      <c r="L27" s="592"/>
      <c r="M27" s="593"/>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71"/>
      <c r="AA27" s="307"/>
      <c r="AB27" s="677"/>
      <c r="AC27" s="677"/>
      <c r="AD27" s="677"/>
      <c r="AE27" s="677"/>
      <c r="AF27" s="677"/>
      <c r="AG27" s="769"/>
      <c r="AR27" t="str">
        <f t="shared" si="9"/>
        <v/>
      </c>
      <c r="AS27" t="str">
        <f t="shared" si="10"/>
        <v/>
      </c>
    </row>
    <row r="28" spans="1:45" ht="15" customHeight="1">
      <c r="A28" s="294"/>
      <c r="B28" s="295"/>
      <c r="C28" s="296"/>
      <c r="D28" s="296"/>
      <c r="E28" s="296"/>
      <c r="F28" s="296"/>
      <c r="G28" s="297"/>
      <c r="H28" s="299"/>
      <c r="I28" s="298"/>
      <c r="J28" s="298"/>
      <c r="K28" s="299"/>
      <c r="L28" s="592"/>
      <c r="M28" s="593"/>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33">
        <v>2</v>
      </c>
      <c r="AA28" s="739" t="s">
        <v>131</v>
      </c>
      <c r="AB28" s="739"/>
      <c r="AC28" s="739"/>
      <c r="AD28" s="739"/>
      <c r="AE28" s="739"/>
      <c r="AF28" s="739"/>
      <c r="AG28" s="740"/>
      <c r="AR28" t="str">
        <f t="shared" si="9"/>
        <v/>
      </c>
      <c r="AS28" t="str">
        <f t="shared" si="10"/>
        <v/>
      </c>
    </row>
    <row r="29" spans="1:45">
      <c r="A29" s="294"/>
      <c r="B29" s="295"/>
      <c r="C29" s="296"/>
      <c r="D29" s="296"/>
      <c r="E29" s="296"/>
      <c r="F29" s="296"/>
      <c r="G29" s="297"/>
      <c r="H29" s="299"/>
      <c r="I29" s="298"/>
      <c r="J29" s="298"/>
      <c r="K29" s="299"/>
      <c r="L29" s="592"/>
      <c r="M29" s="593"/>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46"/>
      <c r="AA29" s="218" t="s">
        <v>45</v>
      </c>
      <c r="AB29" s="114" t="s">
        <v>132</v>
      </c>
      <c r="AC29" s="114"/>
      <c r="AD29" s="114"/>
      <c r="AE29" s="114"/>
      <c r="AF29" s="114"/>
      <c r="AG29" s="115"/>
      <c r="AR29" t="str">
        <f t="shared" si="9"/>
        <v/>
      </c>
      <c r="AS29" t="str">
        <f t="shared" si="10"/>
        <v/>
      </c>
    </row>
    <row r="30" spans="1:45" ht="14.5" customHeight="1">
      <c r="A30" s="294"/>
      <c r="B30" s="295"/>
      <c r="C30" s="296"/>
      <c r="D30" s="296"/>
      <c r="E30" s="296"/>
      <c r="F30" s="296"/>
      <c r="G30" s="297"/>
      <c r="H30" s="299"/>
      <c r="I30" s="298"/>
      <c r="J30" s="298"/>
      <c r="K30" s="299"/>
      <c r="L30" s="592"/>
      <c r="M30" s="593"/>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46"/>
      <c r="AA30" s="218" t="s">
        <v>45</v>
      </c>
      <c r="AB30" s="114" t="s">
        <v>133</v>
      </c>
      <c r="AC30" s="114"/>
      <c r="AD30" s="114"/>
      <c r="AE30" s="114"/>
      <c r="AF30" s="114"/>
      <c r="AG30" s="115"/>
      <c r="AR30" t="str">
        <f t="shared" si="9"/>
        <v/>
      </c>
      <c r="AS30" t="str">
        <f t="shared" si="10"/>
        <v/>
      </c>
    </row>
    <row r="31" spans="1:45" ht="15" customHeight="1">
      <c r="A31" s="294"/>
      <c r="B31" s="295"/>
      <c r="C31" s="296"/>
      <c r="D31" s="296"/>
      <c r="E31" s="296"/>
      <c r="F31" s="296"/>
      <c r="G31" s="297"/>
      <c r="H31" s="299"/>
      <c r="I31" s="298"/>
      <c r="J31" s="298"/>
      <c r="K31" s="299"/>
      <c r="L31" s="592"/>
      <c r="M31" s="593"/>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46"/>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592"/>
      <c r="M32" s="593"/>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46"/>
      <c r="AA32" s="218" t="s">
        <v>45</v>
      </c>
      <c r="AB32" s="741" t="s">
        <v>181</v>
      </c>
      <c r="AC32" s="741"/>
      <c r="AD32" s="741"/>
      <c r="AE32" s="741"/>
      <c r="AF32" s="741"/>
      <c r="AG32" s="742"/>
      <c r="AR32" t="str">
        <f t="shared" si="9"/>
        <v/>
      </c>
      <c r="AS32" t="str">
        <f t="shared" si="10"/>
        <v/>
      </c>
    </row>
    <row r="33" spans="1:45">
      <c r="A33" s="294"/>
      <c r="B33" s="295"/>
      <c r="C33" s="296"/>
      <c r="D33" s="296"/>
      <c r="E33" s="296"/>
      <c r="F33" s="296"/>
      <c r="G33" s="297"/>
      <c r="H33" s="299"/>
      <c r="I33" s="298"/>
      <c r="J33" s="298"/>
      <c r="K33" s="299"/>
      <c r="L33" s="592"/>
      <c r="M33" s="593"/>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46"/>
      <c r="AA33" s="114"/>
      <c r="AB33" s="741"/>
      <c r="AC33" s="741"/>
      <c r="AD33" s="741"/>
      <c r="AE33" s="741"/>
      <c r="AF33" s="741"/>
      <c r="AG33" s="742"/>
      <c r="AR33" t="str">
        <f t="shared" si="9"/>
        <v/>
      </c>
      <c r="AS33" t="str">
        <f t="shared" si="10"/>
        <v/>
      </c>
    </row>
    <row r="34" spans="1:45">
      <c r="A34" s="294"/>
      <c r="B34" s="295"/>
      <c r="C34" s="296"/>
      <c r="D34" s="296"/>
      <c r="E34" s="296"/>
      <c r="F34" s="296"/>
      <c r="G34" s="297"/>
      <c r="H34" s="299"/>
      <c r="I34" s="298"/>
      <c r="J34" s="298"/>
      <c r="K34" s="299"/>
      <c r="L34" s="592"/>
      <c r="M34" s="593"/>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46"/>
      <c r="AA34" s="114"/>
      <c r="AB34" s="741"/>
      <c r="AC34" s="741"/>
      <c r="AD34" s="741"/>
      <c r="AE34" s="741"/>
      <c r="AF34" s="741"/>
      <c r="AG34" s="742"/>
      <c r="AR34" t="str">
        <f t="shared" si="9"/>
        <v/>
      </c>
      <c r="AS34" t="str">
        <f t="shared" si="10"/>
        <v/>
      </c>
    </row>
    <row r="35" spans="1:45">
      <c r="A35" s="294"/>
      <c r="B35" s="295"/>
      <c r="C35" s="296"/>
      <c r="D35" s="296"/>
      <c r="E35" s="296"/>
      <c r="F35" s="296"/>
      <c r="G35" s="297"/>
      <c r="H35" s="299"/>
      <c r="I35" s="298"/>
      <c r="J35" s="298"/>
      <c r="K35" s="299"/>
      <c r="L35" s="592"/>
      <c r="M35" s="593"/>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46"/>
      <c r="AA35" s="114"/>
      <c r="AB35" s="741"/>
      <c r="AC35" s="741"/>
      <c r="AD35" s="741"/>
      <c r="AE35" s="741"/>
      <c r="AF35" s="741"/>
      <c r="AG35" s="742"/>
      <c r="AR35" t="str">
        <f t="shared" si="9"/>
        <v/>
      </c>
      <c r="AS35" t="str">
        <f t="shared" si="10"/>
        <v/>
      </c>
    </row>
    <row r="36" spans="1:45">
      <c r="A36" s="294"/>
      <c r="B36" s="295"/>
      <c r="C36" s="296"/>
      <c r="D36" s="296"/>
      <c r="E36" s="296"/>
      <c r="F36" s="296"/>
      <c r="G36" s="297"/>
      <c r="H36" s="299"/>
      <c r="I36" s="298"/>
      <c r="J36" s="298"/>
      <c r="K36" s="299"/>
      <c r="L36" s="592"/>
      <c r="M36" s="593"/>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46"/>
      <c r="AA36" s="218" t="s">
        <v>45</v>
      </c>
      <c r="AB36" s="685" t="s">
        <v>703</v>
      </c>
      <c r="AC36" s="685"/>
      <c r="AD36" s="685"/>
      <c r="AE36" s="685"/>
      <c r="AF36" s="685"/>
      <c r="AG36" s="743"/>
      <c r="AR36" t="str">
        <f t="shared" si="9"/>
        <v/>
      </c>
      <c r="AS36" t="str">
        <f t="shared" si="10"/>
        <v/>
      </c>
    </row>
    <row r="37" spans="1:45" ht="15" customHeight="1">
      <c r="A37" s="294"/>
      <c r="B37" s="295"/>
      <c r="C37" s="296"/>
      <c r="D37" s="296"/>
      <c r="E37" s="296"/>
      <c r="F37" s="296"/>
      <c r="G37" s="297"/>
      <c r="H37" s="299"/>
      <c r="I37" s="298"/>
      <c r="J37" s="298"/>
      <c r="K37" s="299"/>
      <c r="L37" s="592"/>
      <c r="M37" s="593"/>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46"/>
      <c r="AA37" s="114"/>
      <c r="AB37" s="685"/>
      <c r="AC37" s="685"/>
      <c r="AD37" s="685"/>
      <c r="AE37" s="685"/>
      <c r="AF37" s="685"/>
      <c r="AG37" s="743"/>
      <c r="AR37" t="str">
        <f t="shared" si="9"/>
        <v/>
      </c>
      <c r="AS37" t="str">
        <f t="shared" si="10"/>
        <v/>
      </c>
    </row>
    <row r="38" spans="1:45" ht="14.5" customHeight="1">
      <c r="A38" s="294"/>
      <c r="B38" s="295"/>
      <c r="C38" s="296"/>
      <c r="D38" s="296"/>
      <c r="E38" s="296"/>
      <c r="F38" s="296"/>
      <c r="G38" s="297"/>
      <c r="H38" s="299"/>
      <c r="I38" s="298"/>
      <c r="J38" s="298"/>
      <c r="K38" s="299"/>
      <c r="L38" s="592"/>
      <c r="M38" s="593"/>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46"/>
      <c r="AA38" s="218" t="s">
        <v>45</v>
      </c>
      <c r="AB38" s="685" t="s">
        <v>705</v>
      </c>
      <c r="AC38" s="685"/>
      <c r="AD38" s="685"/>
      <c r="AE38" s="685"/>
      <c r="AF38" s="685"/>
      <c r="AG38" s="743"/>
      <c r="AR38" t="str">
        <f t="shared" si="9"/>
        <v/>
      </c>
      <c r="AS38" t="str">
        <f t="shared" si="10"/>
        <v/>
      </c>
    </row>
    <row r="39" spans="1:45">
      <c r="A39" s="294"/>
      <c r="B39" s="295"/>
      <c r="C39" s="296"/>
      <c r="D39" s="296"/>
      <c r="E39" s="296"/>
      <c r="F39" s="296"/>
      <c r="G39" s="297"/>
      <c r="H39" s="299"/>
      <c r="I39" s="298"/>
      <c r="J39" s="298"/>
      <c r="K39" s="299"/>
      <c r="L39" s="592"/>
      <c r="M39" s="593"/>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47"/>
      <c r="AA39" s="308"/>
      <c r="AB39" s="744"/>
      <c r="AC39" s="744"/>
      <c r="AD39" s="744"/>
      <c r="AE39" s="744"/>
      <c r="AF39" s="744"/>
      <c r="AG39" s="745"/>
      <c r="AR39" t="str">
        <f t="shared" si="9"/>
        <v/>
      </c>
      <c r="AS39" t="str">
        <f t="shared" si="10"/>
        <v/>
      </c>
    </row>
    <row r="40" spans="1:45">
      <c r="A40" s="294"/>
      <c r="B40" s="295"/>
      <c r="C40" s="296"/>
      <c r="D40" s="296"/>
      <c r="E40" s="296"/>
      <c r="F40" s="296"/>
      <c r="G40" s="297"/>
      <c r="H40" s="299"/>
      <c r="I40" s="298"/>
      <c r="J40" s="298"/>
      <c r="K40" s="299"/>
      <c r="L40" s="592"/>
      <c r="M40" s="593"/>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33">
        <v>4</v>
      </c>
      <c r="AA40" s="735" t="s">
        <v>706</v>
      </c>
      <c r="AB40" s="735"/>
      <c r="AC40" s="735"/>
      <c r="AD40" s="735"/>
      <c r="AE40" s="735"/>
      <c r="AF40" s="735"/>
      <c r="AG40" s="736"/>
      <c r="AR40" t="str">
        <f t="shared" si="9"/>
        <v/>
      </c>
      <c r="AS40" t="str">
        <f t="shared" si="10"/>
        <v/>
      </c>
    </row>
    <row r="41" spans="1:45" ht="15" customHeight="1" thickBot="1">
      <c r="A41" s="294"/>
      <c r="B41" s="295"/>
      <c r="C41" s="296"/>
      <c r="D41" s="296"/>
      <c r="E41" s="296"/>
      <c r="F41" s="296"/>
      <c r="G41" s="297"/>
      <c r="H41" s="299"/>
      <c r="I41" s="298"/>
      <c r="J41" s="298"/>
      <c r="K41" s="299"/>
      <c r="L41" s="592"/>
      <c r="M41" s="593"/>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34"/>
      <c r="AA41" s="737"/>
      <c r="AB41" s="737"/>
      <c r="AC41" s="737"/>
      <c r="AD41" s="737"/>
      <c r="AE41" s="737"/>
      <c r="AF41" s="737"/>
      <c r="AG41" s="738"/>
      <c r="AR41" t="str">
        <f t="shared" si="9"/>
        <v/>
      </c>
      <c r="AS41" t="str">
        <f t="shared" si="10"/>
        <v/>
      </c>
    </row>
    <row r="42" spans="1:45">
      <c r="A42" s="294"/>
      <c r="B42" s="295"/>
      <c r="C42" s="296"/>
      <c r="D42" s="296"/>
      <c r="E42" s="296"/>
      <c r="F42" s="296"/>
      <c r="G42" s="297"/>
      <c r="H42" s="299"/>
      <c r="I42" s="298"/>
      <c r="J42" s="298"/>
      <c r="K42" s="299"/>
      <c r="L42" s="592"/>
      <c r="M42" s="593"/>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592"/>
      <c r="M43" s="593"/>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592"/>
      <c r="M44" s="593"/>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99"/>
      <c r="I45" s="298"/>
      <c r="J45" s="298"/>
      <c r="K45" s="299"/>
      <c r="L45" s="592"/>
      <c r="M45" s="593"/>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592"/>
      <c r="M46" s="593"/>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592"/>
      <c r="M47" s="593"/>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99"/>
      <c r="I48" s="298"/>
      <c r="J48" s="298"/>
      <c r="K48" s="299"/>
      <c r="L48" s="592"/>
      <c r="M48" s="593"/>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592"/>
      <c r="M49" s="593"/>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592"/>
      <c r="M50" s="593"/>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592"/>
      <c r="M51" s="593"/>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592"/>
      <c r="M52" s="593"/>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592"/>
      <c r="M53" s="593"/>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592"/>
      <c r="M54" s="593"/>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99"/>
      <c r="I55" s="298"/>
      <c r="J55" s="298"/>
      <c r="K55" s="299"/>
      <c r="L55" s="592"/>
      <c r="M55" s="593"/>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99"/>
      <c r="I56" s="298"/>
      <c r="J56" s="298"/>
      <c r="K56" s="299"/>
      <c r="L56" s="592"/>
      <c r="M56" s="593"/>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99"/>
      <c r="I57" s="298"/>
      <c r="J57" s="298"/>
      <c r="K57" s="299"/>
      <c r="L57" s="592"/>
      <c r="M57" s="593"/>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592"/>
      <c r="M58" s="593"/>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592"/>
      <c r="M59" s="593"/>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592"/>
      <c r="M60" s="593"/>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592"/>
      <c r="M61" s="593"/>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592"/>
      <c r="M62" s="593"/>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592"/>
      <c r="M63" s="593"/>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592"/>
      <c r="M64" s="593"/>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592"/>
      <c r="M65" s="593"/>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592"/>
      <c r="M66" s="593"/>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299"/>
      <c r="I67" s="298"/>
      <c r="J67" s="298"/>
      <c r="K67" s="299"/>
      <c r="L67" s="592"/>
      <c r="M67" s="593"/>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299"/>
      <c r="I68" s="298"/>
      <c r="J68" s="298"/>
      <c r="K68" s="299"/>
      <c r="L68" s="592"/>
      <c r="M68" s="593"/>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299"/>
      <c r="I69" s="298"/>
      <c r="J69" s="298"/>
      <c r="K69" s="299"/>
      <c r="L69" s="592"/>
      <c r="M69" s="593"/>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299"/>
      <c r="I70" s="298"/>
      <c r="J70" s="298"/>
      <c r="K70" s="299"/>
      <c r="L70" s="592"/>
      <c r="M70" s="593"/>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299"/>
      <c r="I71" s="298"/>
      <c r="J71" s="298"/>
      <c r="K71" s="299"/>
      <c r="L71" s="592"/>
      <c r="M71" s="593"/>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299"/>
      <c r="I72" s="298"/>
      <c r="J72" s="298"/>
      <c r="K72" s="299"/>
      <c r="L72" s="592"/>
      <c r="M72" s="593"/>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299"/>
      <c r="I73" s="298"/>
      <c r="J73" s="298"/>
      <c r="K73" s="299"/>
      <c r="L73" s="592"/>
      <c r="M73" s="593"/>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299"/>
      <c r="I74" s="298"/>
      <c r="J74" s="298"/>
      <c r="K74" s="299"/>
      <c r="L74" s="592"/>
      <c r="M74" s="593"/>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299"/>
      <c r="I75" s="298"/>
      <c r="J75" s="298"/>
      <c r="K75" s="299"/>
      <c r="L75" s="592"/>
      <c r="M75" s="593"/>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299"/>
      <c r="I76" s="298"/>
      <c r="J76" s="298"/>
      <c r="K76" s="299"/>
      <c r="L76" s="592"/>
      <c r="M76" s="593"/>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299"/>
      <c r="I77" s="298"/>
      <c r="J77" s="298"/>
      <c r="K77" s="299"/>
      <c r="L77" s="592"/>
      <c r="M77" s="593"/>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299"/>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299"/>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c r="A1004" s="316"/>
      <c r="B1004" s="317"/>
      <c r="C1004" s="316"/>
      <c r="D1004" s="316"/>
      <c r="E1004" s="316"/>
      <c r="F1004" s="316"/>
      <c r="G1004" s="316"/>
      <c r="H1004" s="316"/>
      <c r="I1004" s="316"/>
      <c r="J1004" s="316"/>
      <c r="K1004" s="316"/>
      <c r="L1004" s="318"/>
      <c r="M1004" s="319"/>
      <c r="N1004" s="320"/>
      <c r="P1004" s="316"/>
      <c r="Q1004" s="316"/>
      <c r="R1004" s="316"/>
      <c r="S1004" s="316"/>
      <c r="T1004" s="316"/>
      <c r="U1004" s="316"/>
      <c r="V1004" s="316"/>
      <c r="W1004" s="316"/>
      <c r="X1004" s="316"/>
      <c r="Y1004" s="316"/>
    </row>
  </sheetData>
  <autoFilter ref="A3:M3" xr:uid="{E783CE95-186C-43BE-B639-843E26C47CE2}"/>
  <sortState xmlns:xlrd2="http://schemas.microsoft.com/office/spreadsheetml/2017/richdata2" ref="B4:B9">
    <sortCondition ref="B4"/>
  </sortState>
  <mergeCells count="24">
    <mergeCell ref="Z40:Z41"/>
    <mergeCell ref="AA40:AG41"/>
    <mergeCell ref="Z15:Z27"/>
    <mergeCell ref="Z28:Z39"/>
    <mergeCell ref="AA15:AG18"/>
    <mergeCell ref="AB19:AG23"/>
    <mergeCell ref="AB24:AG27"/>
    <mergeCell ref="AA28:AG28"/>
    <mergeCell ref="AB32:AG35"/>
    <mergeCell ref="AB36:AG37"/>
    <mergeCell ref="AB38:AG39"/>
    <mergeCell ref="A1:N1"/>
    <mergeCell ref="A2:N2"/>
    <mergeCell ref="Z14:AG14"/>
    <mergeCell ref="S2:S3"/>
    <mergeCell ref="T2:T3"/>
    <mergeCell ref="U2:U3"/>
    <mergeCell ref="P1:AG1"/>
    <mergeCell ref="V2:V3"/>
    <mergeCell ref="W2:W3"/>
    <mergeCell ref="P2:P3"/>
    <mergeCell ref="Q2:Q3"/>
    <mergeCell ref="R2:R3"/>
    <mergeCell ref="X2:X3"/>
  </mergeCells>
  <conditionalFormatting sqref="D14:D1003">
    <cfRule type="cellIs" dxfId="10" priority="5" operator="between">
      <formula>4</formula>
      <formula>6</formula>
    </cfRule>
    <cfRule type="cellIs" dxfId="9" priority="6" operator="between">
      <formula>2</formula>
      <formula>3</formula>
    </cfRule>
  </conditionalFormatting>
  <conditionalFormatting sqref="D1005:D1019">
    <cfRule type="cellIs" dxfId="8" priority="7" operator="between">
      <formula>2</formula>
      <formula>3</formula>
    </cfRule>
  </conditionalFormatting>
  <conditionalFormatting sqref="F14:F1003">
    <cfRule type="cellIs" dxfId="7" priority="4" operator="between">
      <formula>4</formula>
      <formula>6</formula>
    </cfRule>
  </conditionalFormatting>
  <conditionalFormatting sqref="D4:D13">
    <cfRule type="cellIs" dxfId="6" priority="2" operator="between">
      <formula>4</formula>
      <formula>6</formula>
    </cfRule>
    <cfRule type="cellIs" dxfId="5" priority="3" operator="between">
      <formula>2</formula>
      <formula>3</formula>
    </cfRule>
  </conditionalFormatting>
  <conditionalFormatting sqref="F4:F13">
    <cfRule type="cellIs" dxfId="4"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DC0A4B10-599F-40D5-8DAD-C0E4607CC94C}">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A78A7F4E-66D0-42BB-B5E3-7A312032F997}">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FE5AAAC5-CE74-46A5-869A-C30623D9E0EA}">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D7ACFA64-E540-4CB7-808F-2DE51BD2235B}">
      <formula1>CrashTypeList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A9BF-77B1-4A87-8CFB-D403E954FCEF}">
  <sheetPr codeName="Sheet13"/>
  <sheetViews>
    <sheetView zoomScale="90" zoomScaleNormal="90" workbookViewId="0"/>
  </sheetViews>
  <sheetFormatPr defaultRowHeight="14.4"/>
  <cols>
    <col min="2" max="2" width="12.7" customWidth="1"/>
    <col min="3" max="4" width="7.7" customWidth="1"/>
    <col min="5" max="5" width="2.7" customWidth="1"/>
    <col min="6" max="6" width="58" customWidth="1"/>
    <col min="7" max="7" width="2.7" customWidth="1"/>
    <col min="8" max="8" width="26" customWidth="1"/>
    <col min="9" max="10" width="7.7" customWidth="1"/>
    <col min="11" max="11" width="2.7" customWidth="1"/>
    <col min="12" max="12" width="52" customWidth="1"/>
    <col min="13" max="13" width="44" customWidth="1"/>
    <col min="14" max="14" width="2.7" customWidth="1"/>
    <col min="15" max="18" width="12.7" customWidth="1"/>
    <col min="19" max="19" width="58" customWidth="1"/>
  </cols>
  <sheetData>
    <row r="1">
      <c r="B1" s="104" t="inlineStr">
        <is>
          <t>Trends</t>
        </is>
      </c>
      <c r="O1" s="5" t="inlineStr">
        <is>
          <t>Crash types</t>
        </is>
      </c>
      <c r="P1" s="5" t="inlineStr">
        <is>
          <t>Vehicle codes</t>
        </is>
      </c>
      <c r="Q1" s="5" t="inlineStr">
        <is>
          <t>At fault</t>
        </is>
      </c>
      <c r="R1" s="5" t="inlineStr">
        <is>
          <t>Target</t>
        </is>
      </c>
      <c r="S1" s="5" t="inlineStr">
        <is>
          <t>Trends lines (One Pager picks)</t>
        </is>
      </c>
    </row>
    <row r="2">
      <c r="B2" t="inlineStr">
        <is>
          <t>Live counts on Before and After (rows 4 to 1003). The One Pager picks a line by its label in column F or L.</t>
        </is>
      </c>
      <c r="O2" t="inlineStr">
        <is>
          <t>Angle</t>
        </is>
      </c>
      <c r="P2" t="inlineStr">
        <is>
          <t>NBT</t>
        </is>
      </c>
      <c r="Q2" t="inlineStr">
        <is>
          <t>V1</t>
        </is>
      </c>
      <c r="R2" t="inlineStr">
        <is>
          <t>Y</t>
        </is>
      </c>
      <c r="S2" t="inlineStr">
        <is>
          <t>Angle crashes (NB vehicle 1)</t>
        </is>
      </c>
    </row>
    <row r="3">
      <c r="O3" t="inlineStr">
        <is>
          <t>LTSR</t>
        </is>
      </c>
      <c r="P3" t="inlineStr">
        <is>
          <t>NBL</t>
        </is>
      </c>
      <c r="Q3" t="inlineStr">
        <is>
          <t>V2</t>
        </is>
      </c>
      <c r="S3" t="inlineStr">
        <is>
          <t>Angle crashes (SB vehicle 1)</t>
        </is>
      </c>
    </row>
    <row r="4">
      <c r="C4" s="5" t="inlineStr">
        <is>
          <t>Before</t>
        </is>
      </c>
      <c r="D4" s="5" t="inlineStr">
        <is>
          <t>After</t>
        </is>
      </c>
      <c r="I4" s="5" t="inlineStr">
        <is>
          <t>Before</t>
        </is>
      </c>
      <c r="J4" s="5" t="inlineStr">
        <is>
          <t>After</t>
        </is>
      </c>
      <c r="O4" t="inlineStr">
        <is>
          <t>LTDR</t>
        </is>
      </c>
      <c r="P4" t="inlineStr">
        <is>
          <t>NBR</t>
        </is>
      </c>
      <c r="Q4" t="inlineStr">
        <is>
          <t>Unclear</t>
        </is>
      </c>
      <c r="S4" t="inlineStr">
        <is>
          <t>Angle crashes (EB vehicle 1)</t>
        </is>
      </c>
    </row>
    <row r="5">
      <c r="B5" s="631" t="inlineStr">
        <is>
          <t>Total crashes</t>
        </is>
      </c>
      <c r="C5" s="109" t="n">
        <f>Before!AB9</f>
        <v>7</v>
      </c>
      <c r="D5" s="109" t="n">
        <f>After!AB9</f>
        <v>3</v>
      </c>
      <c r="H5" s="631" t="inlineStr">
        <is>
          <t>Target 1 crashes</t>
        </is>
      </c>
      <c r="I5" s="109" t="n">
        <f>I39</f>
        <v>3</v>
      </c>
      <c r="J5" s="109" t="n">
        <f>J39</f>
        <v>2</v>
      </c>
      <c r="O5" t="inlineStr">
        <is>
          <t>RTSR</t>
        </is>
      </c>
      <c r="P5" t="inlineStr">
        <is>
          <t>NBU</t>
        </is>
      </c>
      <c r="S5" t="inlineStr">
        <is>
          <t>Angle crashes (WB vehicle 1)</t>
        </is>
      </c>
    </row>
    <row r="6">
      <c r="B6" s="631" t="inlineStr">
        <is>
          <t>Crashes with a crash type</t>
        </is>
      </c>
      <c r="C6" s="109" t="n">
        <f>COUNTIFS(Before!$A$4:$A$1003,"&lt;&gt;",Before!$H$4:$H$1003,"&lt;&gt;")</f>
        <v>7</v>
      </c>
      <c r="D6" s="109" t="n">
        <f>COUNTIFS(After!$A$4:$A$1003,"&lt;&gt;",After!$H$4:$H$1003,"&lt;&gt;")</f>
        <v>3</v>
      </c>
      <c r="H6" s="631" t="inlineStr">
        <is>
          <t>Lane departure crashes</t>
        </is>
      </c>
      <c r="I6" s="109" t="n">
        <f>I31</f>
        <v>0</v>
      </c>
      <c r="J6" s="109" t="n">
        <f>J31</f>
        <v>0</v>
      </c>
      <c r="O6" t="inlineStr">
        <is>
          <t>RTDR</t>
        </is>
      </c>
      <c r="P6" t="inlineStr">
        <is>
          <t>SBT</t>
        </is>
      </c>
      <c r="S6" t="inlineStr">
        <is>
          <t>Angle crashes (unclear direction vehicle 1)</t>
        </is>
      </c>
    </row>
    <row r="7">
      <c r="B7" s="631" t="inlineStr">
        <is>
          <t>Crashes without a crash type</t>
        </is>
      </c>
      <c r="C7" s="109" t="n">
        <f>C5-C6</f>
        <v>0</v>
      </c>
      <c r="D7" s="109" t="n">
        <f>D5-D6</f>
        <v>0</v>
      </c>
      <c r="H7" s="631" t="inlineStr">
        <is>
          <t>Rear end crashes</t>
        </is>
      </c>
      <c r="I7" s="109" t="n">
        <f>C121</f>
        <v>1</v>
      </c>
      <c r="J7" s="109" t="n">
        <f>D121</f>
        <v>0</v>
      </c>
      <c r="O7" t="inlineStr">
        <is>
          <t>HeadOn</t>
        </is>
      </c>
      <c r="P7" t="inlineStr">
        <is>
          <t>SBL</t>
        </is>
      </c>
      <c r="S7" t="inlineStr">
        <is>
          <t>Angle crashes (total)</t>
        </is>
      </c>
    </row>
    <row r="8">
      <c r="B8" s="631" t="inlineStr">
        <is>
          <t>Sum of the crash type totals</t>
        </is>
      </c>
      <c r="C8" s="109" t="n">
        <f>SUM(C17,C25,C33,C41,C49,C57,C65,C73,C81,C89,C97,C105,C113,C121,C124,C125,C126,C127)</f>
        <v>7</v>
      </c>
      <c r="D8" s="109" t="n">
        <f>SUM(D17,D25,D33,D41,D49,D57,D65,D73,D81,D89,D97,D105,D113,D121,D124,D125,D126,D127)</f>
        <v>3</v>
      </c>
      <c r="H8" s="631" t="inlineStr">
        <is>
          <t>Target 2 crashes</t>
        </is>
      </c>
      <c r="I8" s="109" t="n">
        <f>I47</f>
        <v>0</v>
      </c>
      <c r="J8" s="109" t="n">
        <f>J47</f>
        <v>0</v>
      </c>
      <c r="O8" t="inlineStr">
        <is>
          <t>U-Turn</t>
        </is>
      </c>
      <c r="P8" t="inlineStr">
        <is>
          <t>SBR</t>
        </is>
      </c>
      <c r="S8" t="inlineStr">
        <is>
          <t>LTSR crashes (NB turning vehicle)</t>
        </is>
      </c>
    </row>
    <row r="9">
      <c r="B9" s="631" t="inlineStr">
        <is>
          <t>Check</t>
        </is>
      </c>
      <c r="C9" s="109" t="str">
        <f>IF(C8=C5,"OK","CHECK")</f>
        <v>OK</v>
      </c>
      <c r="D9" s="109" t="str">
        <f>IF(D8=D5,"OK","CHECK")</f>
        <v>OK</v>
      </c>
      <c r="H9" s="631" t="inlineStr">
        <is>
          <t>Target 3 crashes</t>
        </is>
      </c>
      <c r="I9" s="109" t="n">
        <f>I55</f>
        <v>0</v>
      </c>
      <c r="J9" s="109" t="n">
        <f>J55</f>
        <v>0</v>
      </c>
      <c r="O9" t="inlineStr">
        <is>
          <t>RE</t>
        </is>
      </c>
      <c r="P9" t="inlineStr">
        <is>
          <t>SBU</t>
        </is>
      </c>
      <c r="S9" t="inlineStr">
        <is>
          <t>LTSR crashes (SB turning vehicle)</t>
        </is>
      </c>
    </row>
    <row r="10">
      <c r="O10" t="inlineStr">
        <is>
          <t>RORR</t>
        </is>
      </c>
      <c r="P10" t="inlineStr">
        <is>
          <t>EBT</t>
        </is>
      </c>
      <c r="S10" t="inlineStr">
        <is>
          <t>LTSR crashes (EB turning vehicle)</t>
        </is>
      </c>
    </row>
    <row r="11">
      <c r="B11" s="630" t="inlineStr">
        <is>
          <t>Angle</t>
        </is>
      </c>
      <c r="C11" s="5" t="inlineStr">
        <is>
          <t>Before</t>
        </is>
      </c>
      <c r="D11" s="5" t="inlineStr">
        <is>
          <t>After</t>
        </is>
      </c>
      <c r="I11" s="5" t="inlineStr">
        <is>
          <t>Before</t>
        </is>
      </c>
      <c r="J11" s="5" t="inlineStr">
        <is>
          <t>After</t>
        </is>
      </c>
      <c r="O11" t="inlineStr">
        <is>
          <t>RORL</t>
        </is>
      </c>
      <c r="P11" t="inlineStr">
        <is>
          <t>EBL</t>
        </is>
      </c>
      <c r="S11" t="inlineStr">
        <is>
          <t>LTSR crashes (WB turning vehicle)</t>
        </is>
      </c>
    </row>
    <row r="12">
      <c r="C12" s="109" t="n">
        <f>COUNTIFS(Before!$H$4:$H$1003,"Angle",Before!$I$4:$I$1003,"NB*")</f>
        <v>1</v>
      </c>
      <c r="D12" s="109" t="n">
        <f>COUNTIFS(After!$H$4:$H$1003,"Angle",After!$I$4:$I$1003,"NB*")</f>
        <v>0</v>
      </c>
      <c r="F12" s="631" t="inlineStr">
        <is>
          <t>Angle crashes (NB vehicle 1)</t>
        </is>
      </c>
      <c r="I12" s="109" t="n">
        <f>SUMPRODUCT(((Before!$H$4:$H$1003="Angle")+(Before!$H$4:$H$1003="LTSR")+(Before!$H$4:$H$1003="LTDR")+(Before!$H$4:$H$1003="RTSR")+(Before!$H$4:$H$1003="RTDR")+(Before!$H$4:$H$1003="HeadOn"))*(((Before!$K$4:$K$1003="V1")*(LEFT(Before!$I$4:$I$1003,2)="NB"))+((Before!$K$4:$K$1003="V2")*(LEFT(Before!$J$4:$J$1003,2)="NB"))))</f>
        <v>0</v>
      </c>
      <c r="J12" s="109" t="n">
        <f>SUMPRODUCT(((After!$H$4:$H$1003="Angle")+(After!$H$4:$H$1003="LTSR")+(After!$H$4:$H$1003="LTDR")+(After!$H$4:$H$1003="RTSR")+(After!$H$4:$H$1003="RTDR")+(After!$H$4:$H$1003="HeadOn"))*(((After!$K$4:$K$1003="V1")*(LEFT(After!$I$4:$I$1003,2)="NB"))+((After!$K$4:$K$1003="V2")*(LEFT(After!$J$4:$J$1003,2)="NB"))))</f>
        <v>0</v>
      </c>
      <c r="L12" s="631" t="inlineStr">
        <is>
          <t>Frontal impact crashes (NB at fault)</t>
        </is>
      </c>
      <c r="O12" t="inlineStr">
        <is>
          <t>RORS</t>
        </is>
      </c>
      <c r="P12" t="inlineStr">
        <is>
          <t>EBR</t>
        </is>
      </c>
      <c r="S12" t="inlineStr">
        <is>
          <t>LTSR crashes (unclear direction turning vehicle)</t>
        </is>
      </c>
    </row>
    <row r="13">
      <c r="C13" s="109" t="n">
        <f>COUNTIFS(Before!$H$4:$H$1003,"Angle",Before!$I$4:$I$1003,"SB*")</f>
        <v>0</v>
      </c>
      <c r="D13" s="109" t="n">
        <f>COUNTIFS(After!$H$4:$H$1003,"Angle",After!$I$4:$I$1003,"SB*")</f>
        <v>0</v>
      </c>
      <c r="F13" s="631" t="inlineStr">
        <is>
          <t>Angle crashes (SB vehicle 1)</t>
        </is>
      </c>
      <c r="I13" s="109" t="n">
        <f>SUMPRODUCT(((Before!$H$4:$H$1003="Angle")+(Before!$H$4:$H$1003="LTSR")+(Before!$H$4:$H$1003="LTDR")+(Before!$H$4:$H$1003="RTSR")+(Before!$H$4:$H$1003="RTDR")+(Before!$H$4:$H$1003="HeadOn"))*(((Before!$K$4:$K$1003="V1")*(LEFT(Before!$I$4:$I$1003,2)="SB"))+((Before!$K$4:$K$1003="V2")*(LEFT(Before!$J$4:$J$1003,2)="SB"))))</f>
        <v>0</v>
      </c>
      <c r="J13" s="109" t="n">
        <f>SUMPRODUCT(((After!$H$4:$H$1003="Angle")+(After!$H$4:$H$1003="LTSR")+(After!$H$4:$H$1003="LTDR")+(After!$H$4:$H$1003="RTSR")+(After!$H$4:$H$1003="RTDR")+(After!$H$4:$H$1003="HeadOn"))*(((After!$K$4:$K$1003="V1")*(LEFT(After!$I$4:$I$1003,2)="SB"))+((After!$K$4:$K$1003="V2")*(LEFT(After!$J$4:$J$1003,2)="SB"))))</f>
        <v>0</v>
      </c>
      <c r="L13" s="631" t="inlineStr">
        <is>
          <t>Frontal impact crashes (SB at fault)</t>
        </is>
      </c>
      <c r="O13" t="inlineStr">
        <is>
          <t>SSSD</t>
        </is>
      </c>
      <c r="P13" t="inlineStr">
        <is>
          <t>EBU</t>
        </is>
      </c>
      <c r="S13" t="inlineStr">
        <is>
          <t>LTSR crashes (total)</t>
        </is>
      </c>
    </row>
    <row r="14">
      <c r="C14" s="109" t="n">
        <f>COUNTIFS(Before!$H$4:$H$1003,"Angle",Before!$I$4:$I$1003,"EB*")</f>
        <v>0</v>
      </c>
      <c r="D14" s="109" t="n">
        <f>COUNTIFS(After!$H$4:$H$1003,"Angle",After!$I$4:$I$1003,"EB*")</f>
        <v>0</v>
      </c>
      <c r="F14" s="631" t="inlineStr">
        <is>
          <t>Angle crashes (EB vehicle 1)</t>
        </is>
      </c>
      <c r="I14" s="109" t="n">
        <f>SUMPRODUCT(((Before!$H$4:$H$1003="Angle")+(Before!$H$4:$H$1003="LTSR")+(Before!$H$4:$H$1003="LTDR")+(Before!$H$4:$H$1003="RTSR")+(Before!$H$4:$H$1003="RTDR")+(Before!$H$4:$H$1003="HeadOn"))*(((Before!$K$4:$K$1003="V1")*(LEFT(Before!$I$4:$I$1003,2)="EB"))+((Before!$K$4:$K$1003="V2")*(LEFT(Before!$J$4:$J$1003,2)="EB"))))</f>
        <v>2</v>
      </c>
      <c r="J14" s="109" t="n">
        <f>SUMPRODUCT(((After!$H$4:$H$1003="Angle")+(After!$H$4:$H$1003="LTSR")+(After!$H$4:$H$1003="LTDR")+(After!$H$4:$H$1003="RTSR")+(After!$H$4:$H$1003="RTDR")+(After!$H$4:$H$1003="HeadOn"))*(((After!$K$4:$K$1003="V1")*(LEFT(After!$I$4:$I$1003,2)="EB"))+((After!$K$4:$K$1003="V2")*(LEFT(After!$J$4:$J$1003,2)="EB"))))</f>
        <v>0</v>
      </c>
      <c r="L14" s="631" t="inlineStr">
        <is>
          <t>Frontal impact crashes (EB at fault)</t>
        </is>
      </c>
      <c r="O14" t="inlineStr">
        <is>
          <t>SSDD</t>
        </is>
      </c>
      <c r="P14" t="inlineStr">
        <is>
          <t>WBT</t>
        </is>
      </c>
      <c r="S14" t="inlineStr">
        <is>
          <t>LTDR crashes (NB turning vehicle)</t>
        </is>
      </c>
    </row>
    <row r="15">
      <c r="C15" s="109" t="n">
        <f>COUNTIFS(Before!$H$4:$H$1003,"Angle",Before!$I$4:$I$1003,"WB*")</f>
        <v>0</v>
      </c>
      <c r="D15" s="109" t="n">
        <f>COUNTIFS(After!$H$4:$H$1003,"Angle",After!$I$4:$I$1003,"WB*")</f>
        <v>1</v>
      </c>
      <c r="F15" s="631" t="inlineStr">
        <is>
          <t>Angle crashes (WB vehicle 1)</t>
        </is>
      </c>
      <c r="I15" s="109" t="n">
        <f>SUMPRODUCT(((Before!$H$4:$H$1003="Angle")+(Before!$H$4:$H$1003="LTSR")+(Before!$H$4:$H$1003="LTDR")+(Before!$H$4:$H$1003="RTSR")+(Before!$H$4:$H$1003="RTDR")+(Before!$H$4:$H$1003="HeadOn"))*(((Before!$K$4:$K$1003="V1")*(LEFT(Before!$I$4:$I$1003,2)="WB"))+((Before!$K$4:$K$1003="V2")*(LEFT(Before!$J$4:$J$1003,2)="WB"))))</f>
        <v>1</v>
      </c>
      <c r="J15" s="109" t="n">
        <f>SUMPRODUCT(((After!$H$4:$H$1003="Angle")+(After!$H$4:$H$1003="LTSR")+(After!$H$4:$H$1003="LTDR")+(After!$H$4:$H$1003="RTSR")+(After!$H$4:$H$1003="RTDR")+(After!$H$4:$H$1003="HeadOn"))*(((After!$K$4:$K$1003="V1")*(LEFT(After!$I$4:$I$1003,2)="WB"))+((After!$K$4:$K$1003="V2")*(LEFT(After!$J$4:$J$1003,2)="WB"))))</f>
        <v>2</v>
      </c>
      <c r="L15" s="631" t="inlineStr">
        <is>
          <t>Frontal impact crashes (WB at fault)</t>
        </is>
      </c>
      <c r="O15" t="inlineStr">
        <is>
          <t>Overturn</t>
        </is>
      </c>
      <c r="P15" t="inlineStr">
        <is>
          <t>WBL</t>
        </is>
      </c>
      <c r="S15" t="inlineStr">
        <is>
          <t>LTDR crashes (SB turning vehicle)</t>
        </is>
      </c>
    </row>
    <row r="16">
      <c r="C16" s="109" t="n">
        <f>C17-SUM(C12:C15)</f>
        <v>0</v>
      </c>
      <c r="D16" s="109" t="n">
        <f>D17-SUM(D12:D15)</f>
        <v>0</v>
      </c>
      <c r="F16" s="631" t="inlineStr">
        <is>
          <t>Angle crashes (unclear direction vehicle 1)</t>
        </is>
      </c>
      <c r="I16" s="109" t="n">
        <f>I17-SUM(I12:I15)</f>
        <v>0</v>
      </c>
      <c r="J16" s="109" t="n">
        <f>J17-SUM(J12:J15)</f>
        <v>0</v>
      </c>
      <c r="L16" s="631" t="inlineStr">
        <is>
          <t>Frontal impact crashes (fault unclear)</t>
        </is>
      </c>
      <c r="O16" t="inlineStr">
        <is>
          <t>Ped</t>
        </is>
      </c>
      <c r="P16" t="inlineStr">
        <is>
          <t>WBR</t>
        </is>
      </c>
      <c r="S16" t="inlineStr">
        <is>
          <t>LTDR crashes (EB turning vehicle)</t>
        </is>
      </c>
    </row>
    <row r="17">
      <c r="C17" s="109" t="n">
        <f>COUNTIF(Before!$H$4:$H$1003,"Angle")</f>
        <v>1</v>
      </c>
      <c r="D17" s="109" t="n">
        <f>COUNTIF(After!$H$4:$H$1003,"Angle")</f>
        <v>1</v>
      </c>
      <c r="F17" s="631" t="inlineStr">
        <is>
          <t>Angle crashes (total)</t>
        </is>
      </c>
      <c r="I17" s="109" t="n">
        <f>SUMPRODUCT(((Before!$H$4:$H$1003="Angle")+(Before!$H$4:$H$1003="LTSR")+(Before!$H$4:$H$1003="LTDR")+(Before!$H$4:$H$1003="RTSR")+(Before!$H$4:$H$1003="RTDR")+(Before!$H$4:$H$1003="HeadOn"))*1)</f>
        <v>3</v>
      </c>
      <c r="J17" s="109" t="n">
        <f>SUMPRODUCT(((After!$H$4:$H$1003="Angle")+(After!$H$4:$H$1003="LTSR")+(After!$H$4:$H$1003="LTDR")+(After!$H$4:$H$1003="RTSR")+(After!$H$4:$H$1003="RTDR")+(After!$H$4:$H$1003="HeadOn"))*1)</f>
        <v>2</v>
      </c>
      <c r="L17" s="631" t="inlineStr">
        <is>
          <t>Frontal impact crashes (total)</t>
        </is>
      </c>
      <c r="O17" t="inlineStr">
        <is>
          <t>Bike</t>
        </is>
      </c>
      <c r="P17" t="inlineStr">
        <is>
          <t>WBU</t>
        </is>
      </c>
      <c r="S17" t="inlineStr">
        <is>
          <t>LTDR crashes (WB turning vehicle)</t>
        </is>
      </c>
    </row>
    <row r="18">
      <c r="O18" t="inlineStr">
        <is>
          <t>Animal</t>
        </is>
      </c>
      <c r="P18" t="inlineStr">
        <is>
          <t>Unk</t>
        </is>
      </c>
      <c r="S18" t="inlineStr">
        <is>
          <t>LTDR crashes (unclear direction turning vehicle)</t>
        </is>
      </c>
    </row>
    <row r="19">
      <c r="B19" s="630" t="inlineStr">
        <is>
          <t>LTSR</t>
        </is>
      </c>
      <c r="C19" s="5" t="inlineStr">
        <is>
          <t>Before</t>
        </is>
      </c>
      <c r="D19" s="5" t="inlineStr">
        <is>
          <t>After</t>
        </is>
      </c>
      <c r="I19" s="5" t="inlineStr">
        <is>
          <t>Before</t>
        </is>
      </c>
      <c r="J19" s="5" t="inlineStr">
        <is>
          <t>After</t>
        </is>
      </c>
      <c r="O19" t="inlineStr">
        <is>
          <t>Other</t>
        </is>
      </c>
      <c r="S19" t="inlineStr">
        <is>
          <t>LTDR crashes (total)</t>
        </is>
      </c>
    </row>
    <row r="20">
      <c r="C20" s="109" t="n">
        <f>COUNTIFS(Before!$H$4:$H$1003,"LTSR",Before!$I$4:$I$1003,"NBL")+COUNTIFS(Before!$H$4:$H$1003,"LTSR",Before!$J$4:$J$1003,"NBL")</f>
        <v>0</v>
      </c>
      <c r="D20" s="109" t="n">
        <f>COUNTIFS(After!$H$4:$H$1003,"LTSR",After!$I$4:$I$1003,"NBL")+COUNTIFS(After!$H$4:$H$1003,"LTSR",After!$J$4:$J$1003,"NBL")</f>
        <v>0</v>
      </c>
      <c r="F20" s="631" t="inlineStr">
        <is>
          <t>LTSR crashes (NB turning vehicle)</t>
        </is>
      </c>
      <c r="I20" s="109" t="n">
        <f>SUMPRODUCT(((Before!$H$4:$H$1003="Angle")+(Before!$H$4:$H$1003="LTSR")+(Before!$H$4:$H$1003="LTDR")+(Before!$H$4:$H$1003="RTSR")+(Before!$H$4:$H$1003="RTDR")+(Before!$H$4:$H$1003="HeadOn"))*(((LEFT(Before!$I$4:$I$1003,2)="NB")+(LEFT(Before!$J$4:$J$1003,2)="NB"))&gt;0))</f>
        <v>1</v>
      </c>
      <c r="J20" s="109" t="n">
        <f>SUMPRODUCT(((After!$H$4:$H$1003="Angle")+(After!$H$4:$H$1003="LTSR")+(After!$H$4:$H$1003="LTDR")+(After!$H$4:$H$1003="RTSR")+(After!$H$4:$H$1003="RTDR")+(After!$H$4:$H$1003="HeadOn"))*(((LEFT(After!$I$4:$I$1003,2)="NB")+(LEFT(After!$J$4:$J$1003,2)="NB"))&gt;0))</f>
        <v>1</v>
      </c>
      <c r="L20" s="631" t="inlineStr">
        <is>
          <t>Frontal impact crashes involving the NB approach</t>
        </is>
      </c>
      <c r="S20" t="inlineStr">
        <is>
          <t>RTSR crashes (NB turning vehicle)</t>
        </is>
      </c>
    </row>
    <row r="21">
      <c r="C21" s="109" t="n">
        <f>COUNTIFS(Before!$H$4:$H$1003,"LTSR",Before!$I$4:$I$1003,"SBL")+COUNTIFS(Before!$H$4:$H$1003,"LTSR",Before!$J$4:$J$1003,"SBL")</f>
        <v>0</v>
      </c>
      <c r="D21" s="109" t="n">
        <f>COUNTIFS(After!$H$4:$H$1003,"LTSR",After!$I$4:$I$1003,"SBL")+COUNTIFS(After!$H$4:$H$1003,"LTSR",After!$J$4:$J$1003,"SBL")</f>
        <v>0</v>
      </c>
      <c r="F21" s="631" t="inlineStr">
        <is>
          <t>LTSR crashes (SB turning vehicle)</t>
        </is>
      </c>
      <c r="I21" s="109" t="n">
        <f>SUMPRODUCT(((Before!$H$4:$H$1003="Angle")+(Before!$H$4:$H$1003="LTSR")+(Before!$H$4:$H$1003="LTDR")+(Before!$H$4:$H$1003="RTSR")+(Before!$H$4:$H$1003="RTDR")+(Before!$H$4:$H$1003="HeadOn"))*(((LEFT(Before!$I$4:$I$1003,2)="SB")+(LEFT(Before!$J$4:$J$1003,2)="SB"))&gt;0))</f>
        <v>1</v>
      </c>
      <c r="J21" s="109" t="n">
        <f>SUMPRODUCT(((After!$H$4:$H$1003="Angle")+(After!$H$4:$H$1003="LTSR")+(After!$H$4:$H$1003="LTDR")+(After!$H$4:$H$1003="RTSR")+(After!$H$4:$H$1003="RTDR")+(After!$H$4:$H$1003="HeadOn"))*(((LEFT(After!$I$4:$I$1003,2)="SB")+(LEFT(After!$J$4:$J$1003,2)="SB"))&gt;0))</f>
        <v>1</v>
      </c>
      <c r="L21" s="631" t="inlineStr">
        <is>
          <t>Frontal impact crashes involving the SB approach</t>
        </is>
      </c>
      <c r="S21" t="inlineStr">
        <is>
          <t>RTSR crashes (SB turning vehicle)</t>
        </is>
      </c>
    </row>
    <row r="22">
      <c r="C22" s="109" t="n">
        <f>COUNTIFS(Before!$H$4:$H$1003,"LTSR",Before!$I$4:$I$1003,"EBL")+COUNTIFS(Before!$H$4:$H$1003,"LTSR",Before!$J$4:$J$1003,"EBL")</f>
        <v>1</v>
      </c>
      <c r="D22" s="109" t="n">
        <f>COUNTIFS(After!$H$4:$H$1003,"LTSR",After!$I$4:$I$1003,"EBL")+COUNTIFS(After!$H$4:$H$1003,"LTSR",After!$J$4:$J$1003,"EBL")</f>
        <v>0</v>
      </c>
      <c r="F22" s="631" t="inlineStr">
        <is>
          <t>LTSR crashes (EB turning vehicle)</t>
        </is>
      </c>
      <c r="I22" s="109" t="n">
        <f>SUMPRODUCT(((Before!$H$4:$H$1003="Angle")+(Before!$H$4:$H$1003="LTSR")+(Before!$H$4:$H$1003="LTDR")+(Before!$H$4:$H$1003="RTSR")+(Before!$H$4:$H$1003="RTDR")+(Before!$H$4:$H$1003="HeadOn"))*(((LEFT(Before!$I$4:$I$1003,2)="EB")+(LEFT(Before!$J$4:$J$1003,2)="EB"))&gt;0))</f>
        <v>2</v>
      </c>
      <c r="J22" s="109" t="n">
        <f>SUMPRODUCT(((After!$H$4:$H$1003="Angle")+(After!$H$4:$H$1003="LTSR")+(After!$H$4:$H$1003="LTDR")+(After!$H$4:$H$1003="RTSR")+(After!$H$4:$H$1003="RTDR")+(After!$H$4:$H$1003="HeadOn"))*(((LEFT(After!$I$4:$I$1003,2)="EB")+(LEFT(After!$J$4:$J$1003,2)="EB"))&gt;0))</f>
        <v>0</v>
      </c>
      <c r="L22" s="631" t="inlineStr">
        <is>
          <t>Frontal impact crashes involving the EB approach</t>
        </is>
      </c>
      <c r="S22" t="inlineStr">
        <is>
          <t>RTSR crashes (EB turning vehicle)</t>
        </is>
      </c>
    </row>
    <row r="23">
      <c r="C23" s="109" t="n">
        <f>COUNTIFS(Before!$H$4:$H$1003,"LTSR",Before!$I$4:$I$1003,"WBL")+COUNTIFS(Before!$H$4:$H$1003,"LTSR",Before!$J$4:$J$1003,"WBL")</f>
        <v>0</v>
      </c>
      <c r="D23" s="109" t="n">
        <f>COUNTIFS(After!$H$4:$H$1003,"LTSR",After!$I$4:$I$1003,"WBL")+COUNTIFS(After!$H$4:$H$1003,"LTSR",After!$J$4:$J$1003,"WBL")</f>
        <v>0</v>
      </c>
      <c r="F23" s="631" t="inlineStr">
        <is>
          <t>LTSR crashes (WB turning vehicle)</t>
        </is>
      </c>
      <c r="I23" s="109" t="n">
        <f>SUMPRODUCT(((Before!$H$4:$H$1003="Angle")+(Before!$H$4:$H$1003="LTSR")+(Before!$H$4:$H$1003="LTDR")+(Before!$H$4:$H$1003="RTSR")+(Before!$H$4:$H$1003="RTDR")+(Before!$H$4:$H$1003="HeadOn"))*(((LEFT(Before!$I$4:$I$1003,2)="WB")+(LEFT(Before!$J$4:$J$1003,2)="WB"))&gt;0))</f>
        <v>2</v>
      </c>
      <c r="J23" s="109" t="n">
        <f>SUMPRODUCT(((After!$H$4:$H$1003="Angle")+(After!$H$4:$H$1003="LTSR")+(After!$H$4:$H$1003="LTDR")+(After!$H$4:$H$1003="RTSR")+(After!$H$4:$H$1003="RTDR")+(After!$H$4:$H$1003="HeadOn"))*(((LEFT(After!$I$4:$I$1003,2)="WB")+(LEFT(After!$J$4:$J$1003,2)="WB"))&gt;0))</f>
        <v>2</v>
      </c>
      <c r="L23" s="631" t="inlineStr">
        <is>
          <t>Frontal impact crashes involving the WB approach</t>
        </is>
      </c>
      <c r="S23" t="inlineStr">
        <is>
          <t>RTSR crashes (WB turning vehicle)</t>
        </is>
      </c>
    </row>
    <row r="24">
      <c r="C24" s="109" t="n">
        <f>C25-SUM(C20:C23)</f>
        <v>0</v>
      </c>
      <c r="D24" s="109" t="n">
        <f>D25-SUM(D20:D23)</f>
        <v>0</v>
      </c>
      <c r="F24" s="631" t="inlineStr">
        <is>
          <t>LTSR crashes (unclear direction turning vehicle)</t>
        </is>
      </c>
      <c r="S24" t="inlineStr">
        <is>
          <t>RTSR crashes (unclear direction turning vehicle)</t>
        </is>
      </c>
    </row>
    <row r="25">
      <c r="C25" s="109" t="n">
        <f>COUNTIF(Before!$H$4:$H$1003,"LTSR")</f>
        <v>1</v>
      </c>
      <c r="D25" s="109" t="n">
        <f>COUNTIF(After!$H$4:$H$1003,"LTSR")</f>
        <v>0</v>
      </c>
      <c r="F25" s="631" t="inlineStr">
        <is>
          <t>LTSR crashes (total)</t>
        </is>
      </c>
      <c r="I25" s="5" t="inlineStr">
        <is>
          <t>Before</t>
        </is>
      </c>
      <c r="J25" s="5" t="inlineStr">
        <is>
          <t>After</t>
        </is>
      </c>
      <c r="S25" t="inlineStr">
        <is>
          <t>RTSR crashes (total)</t>
        </is>
      </c>
    </row>
    <row r="26">
      <c r="I26" s="109" t="n">
        <f>SUMPRODUCT(((Before!$H$4:$H$1003="RORR")+(Before!$H$4:$H$1003="RORL")+(Before!$H$4:$H$1003="RORS")+(Before!$H$4:$H$1003="Overturn"))*(((Before!$K$4:$K$1003="V1")*(LEFT(Before!$I$4:$I$1003,2)="NB"))+((Before!$K$4:$K$1003="V2")*(LEFT(Before!$J$4:$J$1003,2)="NB"))))</f>
        <v>0</v>
      </c>
      <c r="J26" s="109" t="n">
        <f>SUMPRODUCT(((After!$H$4:$H$1003="RORR")+(After!$H$4:$H$1003="RORL")+(After!$H$4:$H$1003="RORS")+(After!$H$4:$H$1003="Overturn"))*(((After!$K$4:$K$1003="V1")*(LEFT(After!$I$4:$I$1003,2)="NB"))+((After!$K$4:$K$1003="V2")*(LEFT(After!$J$4:$J$1003,2)="NB"))))</f>
        <v>0</v>
      </c>
      <c r="L26" s="631" t="inlineStr">
        <is>
          <t>Lane departure crashes (NB at fault)</t>
        </is>
      </c>
      <c r="S26" t="inlineStr">
        <is>
          <t>RTDR crashes (NB turning vehicle)</t>
        </is>
      </c>
    </row>
    <row r="27">
      <c r="B27" s="630" t="inlineStr">
        <is>
          <t>LTDR</t>
        </is>
      </c>
      <c r="C27" s="5" t="inlineStr">
        <is>
          <t>Before</t>
        </is>
      </c>
      <c r="D27" s="5" t="inlineStr">
        <is>
          <t>After</t>
        </is>
      </c>
      <c r="I27" s="109" t="n">
        <f>SUMPRODUCT(((Before!$H$4:$H$1003="RORR")+(Before!$H$4:$H$1003="RORL")+(Before!$H$4:$H$1003="RORS")+(Before!$H$4:$H$1003="Overturn"))*(((Before!$K$4:$K$1003="V1")*(LEFT(Before!$I$4:$I$1003,2)="SB"))+((Before!$K$4:$K$1003="V2")*(LEFT(Before!$J$4:$J$1003,2)="SB"))))</f>
        <v>0</v>
      </c>
      <c r="J27" s="109" t="n">
        <f>SUMPRODUCT(((After!$H$4:$H$1003="RORR")+(After!$H$4:$H$1003="RORL")+(After!$H$4:$H$1003="RORS")+(After!$H$4:$H$1003="Overturn"))*(((After!$K$4:$K$1003="V1")*(LEFT(After!$I$4:$I$1003,2)="SB"))+((After!$K$4:$K$1003="V2")*(LEFT(After!$J$4:$J$1003,2)="SB"))))</f>
        <v>0</v>
      </c>
      <c r="L27" s="631" t="inlineStr">
        <is>
          <t>Lane departure crashes (SB at fault)</t>
        </is>
      </c>
      <c r="S27" t="inlineStr">
        <is>
          <t>RTDR crashes (SB turning vehicle)</t>
        </is>
      </c>
    </row>
    <row r="28">
      <c r="C28" s="109" t="n">
        <f>COUNTIFS(Before!$H$4:$H$1003,"LTDR",Before!$I$4:$I$1003,"NBL")+COUNTIFS(Before!$H$4:$H$1003,"LTDR",Before!$J$4:$J$1003,"NBL")</f>
        <v>0</v>
      </c>
      <c r="D28" s="109" t="n">
        <f>COUNTIFS(After!$H$4:$H$1003,"LTDR",After!$I$4:$I$1003,"NBL")+COUNTIFS(After!$H$4:$H$1003,"LTDR",After!$J$4:$J$1003,"NBL")</f>
        <v>0</v>
      </c>
      <c r="F28" s="631" t="inlineStr">
        <is>
          <t>LTDR crashes (NB turning vehicle)</t>
        </is>
      </c>
      <c r="I28" s="109" t="n">
        <f>SUMPRODUCT(((Before!$H$4:$H$1003="RORR")+(Before!$H$4:$H$1003="RORL")+(Before!$H$4:$H$1003="RORS")+(Before!$H$4:$H$1003="Overturn"))*(((Before!$K$4:$K$1003="V1")*(LEFT(Before!$I$4:$I$1003,2)="EB"))+((Before!$K$4:$K$1003="V2")*(LEFT(Before!$J$4:$J$1003,2)="EB"))))</f>
        <v>0</v>
      </c>
      <c r="J28" s="109" t="n">
        <f>SUMPRODUCT(((After!$H$4:$H$1003="RORR")+(After!$H$4:$H$1003="RORL")+(After!$H$4:$H$1003="RORS")+(After!$H$4:$H$1003="Overturn"))*(((After!$K$4:$K$1003="V1")*(LEFT(After!$I$4:$I$1003,2)="EB"))+((After!$K$4:$K$1003="V2")*(LEFT(After!$J$4:$J$1003,2)="EB"))))</f>
        <v>0</v>
      </c>
      <c r="L28" s="631" t="inlineStr">
        <is>
          <t>Lane departure crashes (EB at fault)</t>
        </is>
      </c>
      <c r="S28" t="inlineStr">
        <is>
          <t>RTDR crashes (EB turning vehicle)</t>
        </is>
      </c>
    </row>
    <row r="29">
      <c r="C29" s="109" t="n">
        <f>COUNTIFS(Before!$H$4:$H$1003,"LTDR",Before!$I$4:$I$1003,"SBL")+COUNTIFS(Before!$H$4:$H$1003,"LTDR",Before!$J$4:$J$1003,"SBL")</f>
        <v>0</v>
      </c>
      <c r="D29" s="109" t="n">
        <f>COUNTIFS(After!$H$4:$H$1003,"LTDR",After!$I$4:$I$1003,"SBL")+COUNTIFS(After!$H$4:$H$1003,"LTDR",After!$J$4:$J$1003,"SBL")</f>
        <v>0</v>
      </c>
      <c r="F29" s="631" t="inlineStr">
        <is>
          <t>LTDR crashes (SB turning vehicle)</t>
        </is>
      </c>
      <c r="I29" s="109" t="n">
        <f>SUMPRODUCT(((Before!$H$4:$H$1003="RORR")+(Before!$H$4:$H$1003="RORL")+(Before!$H$4:$H$1003="RORS")+(Before!$H$4:$H$1003="Overturn"))*(((Before!$K$4:$K$1003="V1")*(LEFT(Before!$I$4:$I$1003,2)="WB"))+((Before!$K$4:$K$1003="V2")*(LEFT(Before!$J$4:$J$1003,2)="WB"))))</f>
        <v>0</v>
      </c>
      <c r="J29" s="109" t="n">
        <f>SUMPRODUCT(((After!$H$4:$H$1003="RORR")+(After!$H$4:$H$1003="RORL")+(After!$H$4:$H$1003="RORS")+(After!$H$4:$H$1003="Overturn"))*(((After!$K$4:$K$1003="V1")*(LEFT(After!$I$4:$I$1003,2)="WB"))+((After!$K$4:$K$1003="V2")*(LEFT(After!$J$4:$J$1003,2)="WB"))))</f>
        <v>0</v>
      </c>
      <c r="L29" s="631" t="inlineStr">
        <is>
          <t>Lane departure crashes (WB at fault)</t>
        </is>
      </c>
      <c r="S29" t="inlineStr">
        <is>
          <t>RTDR crashes (WB turning vehicle)</t>
        </is>
      </c>
    </row>
    <row r="30">
      <c r="C30" s="109" t="n">
        <f>COUNTIFS(Before!$H$4:$H$1003,"LTDR",Before!$I$4:$I$1003,"EBL")+COUNTIFS(Before!$H$4:$H$1003,"LTDR",Before!$J$4:$J$1003,"EBL")</f>
        <v>0</v>
      </c>
      <c r="D30" s="109" t="n">
        <f>COUNTIFS(After!$H$4:$H$1003,"LTDR",After!$I$4:$I$1003,"EBL")+COUNTIFS(After!$H$4:$H$1003,"LTDR",After!$J$4:$J$1003,"EBL")</f>
        <v>0</v>
      </c>
      <c r="F30" s="631" t="inlineStr">
        <is>
          <t>LTDR crashes (EB turning vehicle)</t>
        </is>
      </c>
      <c r="I30" s="109" t="n">
        <f>I31-SUM(I26:I29)</f>
        <v>0</v>
      </c>
      <c r="J30" s="109" t="n">
        <f>J31-SUM(J26:J29)</f>
        <v>0</v>
      </c>
      <c r="L30" s="631" t="inlineStr">
        <is>
          <t>Lane departure crashes (fault unclear)</t>
        </is>
      </c>
      <c r="S30" t="inlineStr">
        <is>
          <t>RTDR crashes (unclear direction turning vehicle)</t>
        </is>
      </c>
    </row>
    <row r="31">
      <c r="C31" s="109" t="n">
        <f>COUNTIFS(Before!$H$4:$H$1003,"LTDR",Before!$I$4:$I$1003,"WBL")+COUNTIFS(Before!$H$4:$H$1003,"LTDR",Before!$J$4:$J$1003,"WBL")</f>
        <v>0</v>
      </c>
      <c r="D31" s="109" t="n">
        <f>COUNTIFS(After!$H$4:$H$1003,"LTDR",After!$I$4:$I$1003,"WBL")+COUNTIFS(After!$H$4:$H$1003,"LTDR",After!$J$4:$J$1003,"WBL")</f>
        <v>0</v>
      </c>
      <c r="F31" s="631" t="inlineStr">
        <is>
          <t>LTDR crashes (WB turning vehicle)</t>
        </is>
      </c>
      <c r="I31" s="109" t="n">
        <f>SUMPRODUCT(((Before!$H$4:$H$1003="RORR")+(Before!$H$4:$H$1003="RORL")+(Before!$H$4:$H$1003="RORS")+(Before!$H$4:$H$1003="Overturn"))*1)</f>
        <v>0</v>
      </c>
      <c r="J31" s="109" t="n">
        <f>SUMPRODUCT(((After!$H$4:$H$1003="RORR")+(After!$H$4:$H$1003="RORL")+(After!$H$4:$H$1003="RORS")+(After!$H$4:$H$1003="Overturn"))*1)</f>
        <v>0</v>
      </c>
      <c r="L31" s="631" t="inlineStr">
        <is>
          <t>Lane departure crashes (total)</t>
        </is>
      </c>
      <c r="S31" t="inlineStr">
        <is>
          <t>RTDR crashes (total)</t>
        </is>
      </c>
    </row>
    <row r="32">
      <c r="C32" s="109" t="n">
        <f>C33-SUM(C28:C31)</f>
        <v>0</v>
      </c>
      <c r="D32" s="109" t="n">
        <f>D33-SUM(D28:D31)</f>
        <v>0</v>
      </c>
      <c r="F32" s="631" t="inlineStr">
        <is>
          <t>LTDR crashes (unclear direction turning vehicle)</t>
        </is>
      </c>
      <c r="S32" t="inlineStr">
        <is>
          <t>HeadOn crashes (NB vehicle 1)</t>
        </is>
      </c>
    </row>
    <row r="33">
      <c r="C33" s="109" t="n">
        <f>COUNTIF(Before!$H$4:$H$1003,"LTDR")</f>
        <v>0</v>
      </c>
      <c r="D33" s="109" t="n">
        <f>COUNTIF(After!$H$4:$H$1003,"LTDR")</f>
        <v>0</v>
      </c>
      <c r="F33" s="631" t="inlineStr">
        <is>
          <t>LTDR crashes (total)</t>
        </is>
      </c>
      <c r="I33" s="5" t="inlineStr">
        <is>
          <t>Before</t>
        </is>
      </c>
      <c r="J33" s="5" t="inlineStr">
        <is>
          <t>After</t>
        </is>
      </c>
      <c r="S33" t="inlineStr">
        <is>
          <t>HeadOn crashes (SB vehicle 1)</t>
        </is>
      </c>
    </row>
    <row r="34">
      <c r="I34" s="109" t="n">
        <f>SUMPRODUCT((Before!$L$4:$L$1003="Y")*(((Before!$K$4:$K$1003="V1")*(LEFT(Before!$I$4:$I$1003,2)="NB"))+((Before!$K$4:$K$1003="V2")*(LEFT(Before!$J$4:$J$1003,2)="NB"))))</f>
        <v>0</v>
      </c>
      <c r="J34" s="109" t="n">
        <f>SUMPRODUCT((After!$L$4:$L$1003="Y")*(((After!$K$4:$K$1003="V1")*(LEFT(After!$I$4:$I$1003,2)="NB"))+((After!$K$4:$K$1003="V2")*(LEFT(After!$J$4:$J$1003,2)="NB"))))</f>
        <v>0</v>
      </c>
      <c r="L34" s="631" t="inlineStr">
        <is>
          <t>Target 1 crashes (NB at fault)</t>
        </is>
      </c>
      <c r="S34" t="inlineStr">
        <is>
          <t>HeadOn crashes (EB vehicle 1)</t>
        </is>
      </c>
    </row>
    <row r="35">
      <c r="B35" s="630" t="inlineStr">
        <is>
          <t>RTSR</t>
        </is>
      </c>
      <c r="C35" s="5" t="inlineStr">
        <is>
          <t>Before</t>
        </is>
      </c>
      <c r="D35" s="5" t="inlineStr">
        <is>
          <t>After</t>
        </is>
      </c>
      <c r="I35" s="109" t="n">
        <f>SUMPRODUCT((Before!$L$4:$L$1003="Y")*(((Before!$K$4:$K$1003="V1")*(LEFT(Before!$I$4:$I$1003,2)="SB"))+((Before!$K$4:$K$1003="V2")*(LEFT(Before!$J$4:$J$1003,2)="SB"))))</f>
        <v>0</v>
      </c>
      <c r="J35" s="109" t="n">
        <f>SUMPRODUCT((After!$L$4:$L$1003="Y")*(((After!$K$4:$K$1003="V1")*(LEFT(After!$I$4:$I$1003,2)="SB"))+((After!$K$4:$K$1003="V2")*(LEFT(After!$J$4:$J$1003,2)="SB"))))</f>
        <v>0</v>
      </c>
      <c r="L35" s="631" t="inlineStr">
        <is>
          <t>Target 1 crashes (SB at fault)</t>
        </is>
      </c>
      <c r="S35" t="inlineStr">
        <is>
          <t>HeadOn crashes (WB vehicle 1)</t>
        </is>
      </c>
    </row>
    <row r="36">
      <c r="C36" s="109" t="n">
        <f>COUNTIFS(Before!$H$4:$H$1003,"RTSR",Before!$I$4:$I$1003,"NBR")+COUNTIFS(Before!$H$4:$H$1003,"RTSR",Before!$J$4:$J$1003,"NBR")</f>
        <v>0</v>
      </c>
      <c r="D36" s="109" t="n">
        <f>COUNTIFS(After!$H$4:$H$1003,"RTSR",After!$I$4:$I$1003,"NBR")+COUNTIFS(After!$H$4:$H$1003,"RTSR",After!$J$4:$J$1003,"NBR")</f>
        <v>0</v>
      </c>
      <c r="F36" s="631" t="inlineStr">
        <is>
          <t>RTSR crashes (NB turning vehicle)</t>
        </is>
      </c>
      <c r="I36" s="109" t="n">
        <f>SUMPRODUCT((Before!$L$4:$L$1003="Y")*(((Before!$K$4:$K$1003="V1")*(LEFT(Before!$I$4:$I$1003,2)="EB"))+((Before!$K$4:$K$1003="V2")*(LEFT(Before!$J$4:$J$1003,2)="EB"))))</f>
        <v>2</v>
      </c>
      <c r="J36" s="109" t="n">
        <f>SUMPRODUCT((After!$L$4:$L$1003="Y")*(((After!$K$4:$K$1003="V1")*(LEFT(After!$I$4:$I$1003,2)="EB"))+((After!$K$4:$K$1003="V2")*(LEFT(After!$J$4:$J$1003,2)="EB"))))</f>
        <v>0</v>
      </c>
      <c r="L36" s="631" t="inlineStr">
        <is>
          <t>Target 1 crashes (EB at fault)</t>
        </is>
      </c>
      <c r="S36" t="inlineStr">
        <is>
          <t>HeadOn crashes (unclear direction vehicle 1)</t>
        </is>
      </c>
    </row>
    <row r="37">
      <c r="C37" s="109" t="n">
        <f>COUNTIFS(Before!$H$4:$H$1003,"RTSR",Before!$I$4:$I$1003,"SBR")+COUNTIFS(Before!$H$4:$H$1003,"RTSR",Before!$J$4:$J$1003,"SBR")</f>
        <v>0</v>
      </c>
      <c r="D37" s="109" t="n">
        <f>COUNTIFS(After!$H$4:$H$1003,"RTSR",After!$I$4:$I$1003,"SBR")+COUNTIFS(After!$H$4:$H$1003,"RTSR",After!$J$4:$J$1003,"SBR")</f>
        <v>0</v>
      </c>
      <c r="F37" s="631" t="inlineStr">
        <is>
          <t>RTSR crashes (SB turning vehicle)</t>
        </is>
      </c>
      <c r="I37" s="109" t="n">
        <f>SUMPRODUCT((Before!$L$4:$L$1003="Y")*(((Before!$K$4:$K$1003="V1")*(LEFT(Before!$I$4:$I$1003,2)="WB"))+((Before!$K$4:$K$1003="V2")*(LEFT(Before!$J$4:$J$1003,2)="WB"))))</f>
        <v>1</v>
      </c>
      <c r="J37" s="109" t="n">
        <f>SUMPRODUCT((After!$L$4:$L$1003="Y")*(((After!$K$4:$K$1003="V1")*(LEFT(After!$I$4:$I$1003,2)="WB"))+((After!$K$4:$K$1003="V2")*(LEFT(After!$J$4:$J$1003,2)="WB"))))</f>
        <v>2</v>
      </c>
      <c r="L37" s="631" t="inlineStr">
        <is>
          <t>Target 1 crashes (WB at fault)</t>
        </is>
      </c>
      <c r="S37" t="inlineStr">
        <is>
          <t>Head on crashes (total)</t>
        </is>
      </c>
    </row>
    <row r="38">
      <c r="C38" s="109" t="n">
        <f>COUNTIFS(Before!$H$4:$H$1003,"RTSR",Before!$I$4:$I$1003,"EBR")+COUNTIFS(Before!$H$4:$H$1003,"RTSR",Before!$J$4:$J$1003,"EBR")</f>
        <v>0</v>
      </c>
      <c r="D38" s="109" t="n">
        <f>COUNTIFS(After!$H$4:$H$1003,"RTSR",After!$I$4:$I$1003,"EBR")+COUNTIFS(After!$H$4:$H$1003,"RTSR",After!$J$4:$J$1003,"EBR")</f>
        <v>0</v>
      </c>
      <c r="F38" s="631" t="inlineStr">
        <is>
          <t>RTSR crashes (EB turning vehicle)</t>
        </is>
      </c>
      <c r="I38" s="109" t="n">
        <f>I39-SUM(I34:I37)</f>
        <v>0</v>
      </c>
      <c r="J38" s="109" t="n">
        <f>J39-SUM(J34:J37)</f>
        <v>0</v>
      </c>
      <c r="L38" s="631" t="inlineStr">
        <is>
          <t>Target 1 crashes (fault unclear)</t>
        </is>
      </c>
      <c r="S38" t="inlineStr">
        <is>
          <t>U-Turn crashes (NB turning vehicle)</t>
        </is>
      </c>
    </row>
    <row r="39">
      <c r="C39" s="109" t="n">
        <f>COUNTIFS(Before!$H$4:$H$1003,"RTSR",Before!$I$4:$I$1003,"WBR")+COUNTIFS(Before!$H$4:$H$1003,"RTSR",Before!$J$4:$J$1003,"WBR")</f>
        <v>0</v>
      </c>
      <c r="D39" s="109" t="n">
        <f>COUNTIFS(After!$H$4:$H$1003,"RTSR",After!$I$4:$I$1003,"WBR")+COUNTIFS(After!$H$4:$H$1003,"RTSR",After!$J$4:$J$1003,"WBR")</f>
        <v>0</v>
      </c>
      <c r="F39" s="631" t="inlineStr">
        <is>
          <t>RTSR crashes (WB turning vehicle)</t>
        </is>
      </c>
      <c r="I39" s="109" t="n">
        <f>COUNTIF(Before!$L$4:$L$1003,"Y")</f>
        <v>3</v>
      </c>
      <c r="J39" s="109" t="n">
        <f>COUNTIF(After!$L$4:$L$1003,"Y")</f>
        <v>2</v>
      </c>
      <c r="L39" s="631" t="inlineStr">
        <is>
          <t>Target 1 crashes (total)</t>
        </is>
      </c>
      <c r="S39" t="inlineStr">
        <is>
          <t>U-Turn crashes (SB turning vehicle)</t>
        </is>
      </c>
    </row>
    <row r="40">
      <c r="C40" s="109" t="n">
        <f>C41-SUM(C36:C39)</f>
        <v>0</v>
      </c>
      <c r="D40" s="109" t="n">
        <f>D41-SUM(D36:D39)</f>
        <v>0</v>
      </c>
      <c r="F40" s="631" t="inlineStr">
        <is>
          <t>RTSR crashes (unclear direction turning vehicle)</t>
        </is>
      </c>
      <c r="S40" t="inlineStr">
        <is>
          <t>U-Turn crashes (EB turning vehicle)</t>
        </is>
      </c>
    </row>
    <row r="41">
      <c r="C41" s="109" t="n">
        <f>COUNTIF(Before!$H$4:$H$1003,"RTSR")</f>
        <v>0</v>
      </c>
      <c r="D41" s="109" t="n">
        <f>COUNTIF(After!$H$4:$H$1003,"RTSR")</f>
        <v>0</v>
      </c>
      <c r="F41" s="631" t="inlineStr">
        <is>
          <t>RTSR crashes (total)</t>
        </is>
      </c>
      <c r="I41" s="5" t="inlineStr">
        <is>
          <t>Before</t>
        </is>
      </c>
      <c r="J41" s="5" t="inlineStr">
        <is>
          <t>After</t>
        </is>
      </c>
      <c r="S41" t="inlineStr">
        <is>
          <t>U-Turn crashes (WB turning vehicle)</t>
        </is>
      </c>
    </row>
    <row r="42">
      <c r="I42" s="109" t="n">
        <f>SUMPRODUCT((Before!$M$4:$M$1003="Y")*(((Before!$K$4:$K$1003="V1")*(LEFT(Before!$I$4:$I$1003,2)="NB"))+((Before!$K$4:$K$1003="V2")*(LEFT(Before!$J$4:$J$1003,2)="NB"))))</f>
        <v>0</v>
      </c>
      <c r="J42" s="109" t="n">
        <f>SUMPRODUCT((After!$M$4:$M$1003="Y")*(((After!$K$4:$K$1003="V1")*(LEFT(After!$I$4:$I$1003,2)="NB"))+((After!$K$4:$K$1003="V2")*(LEFT(After!$J$4:$J$1003,2)="NB"))))</f>
        <v>0</v>
      </c>
      <c r="L42" s="631" t="inlineStr">
        <is>
          <t>Target 2 crashes (NB at fault)</t>
        </is>
      </c>
      <c r="S42" t="inlineStr">
        <is>
          <t>U-Turn crashes (unclear direction turning vehicle)</t>
        </is>
      </c>
    </row>
    <row r="43">
      <c r="B43" s="630" t="inlineStr">
        <is>
          <t>RTDR</t>
        </is>
      </c>
      <c r="C43" s="5" t="inlineStr">
        <is>
          <t>Before</t>
        </is>
      </c>
      <c r="D43" s="5" t="inlineStr">
        <is>
          <t>After</t>
        </is>
      </c>
      <c r="I43" s="109" t="n">
        <f>SUMPRODUCT((Before!$M$4:$M$1003="Y")*(((Before!$K$4:$K$1003="V1")*(LEFT(Before!$I$4:$I$1003,2)="SB"))+((Before!$K$4:$K$1003="V2")*(LEFT(Before!$J$4:$J$1003,2)="SB"))))</f>
        <v>0</v>
      </c>
      <c r="J43" s="109" t="n">
        <f>SUMPRODUCT((After!$M$4:$M$1003="Y")*(((After!$K$4:$K$1003="V1")*(LEFT(After!$I$4:$I$1003,2)="SB"))+((After!$K$4:$K$1003="V2")*(LEFT(After!$J$4:$J$1003,2)="SB"))))</f>
        <v>0</v>
      </c>
      <c r="L43" s="631" t="inlineStr">
        <is>
          <t>Target 2 crashes (SB at fault)</t>
        </is>
      </c>
      <c r="S43" t="inlineStr">
        <is>
          <t>U-Turn crashes (total)</t>
        </is>
      </c>
    </row>
    <row r="44">
      <c r="C44" s="109" t="n">
        <f>COUNTIFS(Before!$H$4:$H$1003,"RTDR",Before!$I$4:$I$1003,"NBR")+COUNTIFS(Before!$H$4:$H$1003,"RTDR",Before!$J$4:$J$1003,"NBR")</f>
        <v>0</v>
      </c>
      <c r="D44" s="109" t="n">
        <f>COUNTIFS(After!$H$4:$H$1003,"RTDR",After!$I$4:$I$1003,"NBR")+COUNTIFS(After!$H$4:$H$1003,"RTDR",After!$J$4:$J$1003,"NBR")</f>
        <v>0</v>
      </c>
      <c r="F44" s="631" t="inlineStr">
        <is>
          <t>RTDR crashes (NB turning vehicle)</t>
        </is>
      </c>
      <c r="I44" s="109" t="n">
        <f>SUMPRODUCT((Before!$M$4:$M$1003="Y")*(((Before!$K$4:$K$1003="V1")*(LEFT(Before!$I$4:$I$1003,2)="EB"))+((Before!$K$4:$K$1003="V2")*(LEFT(Before!$J$4:$J$1003,2)="EB"))))</f>
        <v>0</v>
      </c>
      <c r="J44" s="109" t="n">
        <f>SUMPRODUCT((After!$M$4:$M$1003="Y")*(((After!$K$4:$K$1003="V1")*(LEFT(After!$I$4:$I$1003,2)="EB"))+((After!$K$4:$K$1003="V2")*(LEFT(After!$J$4:$J$1003,2)="EB"))))</f>
        <v>0</v>
      </c>
      <c r="L44" s="631" t="inlineStr">
        <is>
          <t>Target 2 crashes (EB at fault)</t>
        </is>
      </c>
      <c r="S44" t="inlineStr">
        <is>
          <t>Ran off road right crashes (NB)</t>
        </is>
      </c>
    </row>
    <row r="45">
      <c r="C45" s="109" t="n">
        <f>COUNTIFS(Before!$H$4:$H$1003,"RTDR",Before!$I$4:$I$1003,"SBR")+COUNTIFS(Before!$H$4:$H$1003,"RTDR",Before!$J$4:$J$1003,"SBR")</f>
        <v>1</v>
      </c>
      <c r="D45" s="109" t="n">
        <f>COUNTIFS(After!$H$4:$H$1003,"RTDR",After!$I$4:$I$1003,"SBR")+COUNTIFS(After!$H$4:$H$1003,"RTDR",After!$J$4:$J$1003,"SBR")</f>
        <v>0</v>
      </c>
      <c r="F45" s="631" t="inlineStr">
        <is>
          <t>RTDR crashes (SB turning vehicle)</t>
        </is>
      </c>
      <c r="I45" s="109" t="n">
        <f>SUMPRODUCT((Before!$M$4:$M$1003="Y")*(((Before!$K$4:$K$1003="V1")*(LEFT(Before!$I$4:$I$1003,2)="WB"))+((Before!$K$4:$K$1003="V2")*(LEFT(Before!$J$4:$J$1003,2)="WB"))))</f>
        <v>0</v>
      </c>
      <c r="J45" s="109" t="n">
        <f>SUMPRODUCT((After!$M$4:$M$1003="Y")*(((After!$K$4:$K$1003="V1")*(LEFT(After!$I$4:$I$1003,2)="WB"))+((After!$K$4:$K$1003="V2")*(LEFT(After!$J$4:$J$1003,2)="WB"))))</f>
        <v>0</v>
      </c>
      <c r="L45" s="631" t="inlineStr">
        <is>
          <t>Target 2 crashes (WB at fault)</t>
        </is>
      </c>
      <c r="S45" t="inlineStr">
        <is>
          <t>Ran off road right crashes (SB)</t>
        </is>
      </c>
    </row>
    <row r="46">
      <c r="C46" s="109" t="n">
        <f>COUNTIFS(Before!$H$4:$H$1003,"RTDR",Before!$I$4:$I$1003,"EBR")+COUNTIFS(Before!$H$4:$H$1003,"RTDR",Before!$J$4:$J$1003,"EBR")</f>
        <v>0</v>
      </c>
      <c r="D46" s="109" t="n">
        <f>COUNTIFS(After!$H$4:$H$1003,"RTDR",After!$I$4:$I$1003,"EBR")+COUNTIFS(After!$H$4:$H$1003,"RTDR",After!$J$4:$J$1003,"EBR")</f>
        <v>0</v>
      </c>
      <c r="F46" s="631" t="inlineStr">
        <is>
          <t>RTDR crashes (EB turning vehicle)</t>
        </is>
      </c>
      <c r="I46" s="109" t="n">
        <f>I47-SUM(I42:I45)</f>
        <v>0</v>
      </c>
      <c r="J46" s="109" t="n">
        <f>J47-SUM(J42:J45)</f>
        <v>0</v>
      </c>
      <c r="L46" s="631" t="inlineStr">
        <is>
          <t>Target 2 crashes (fault unclear)</t>
        </is>
      </c>
      <c r="S46" t="inlineStr">
        <is>
          <t>Ran off road right crashes (EB)</t>
        </is>
      </c>
    </row>
    <row r="47">
      <c r="C47" s="109" t="n">
        <f>COUNTIFS(Before!$H$4:$H$1003,"RTDR",Before!$I$4:$I$1003,"WBR")+COUNTIFS(Before!$H$4:$H$1003,"RTDR",Before!$J$4:$J$1003,"WBR")</f>
        <v>0</v>
      </c>
      <c r="D47" s="109" t="n">
        <f>COUNTIFS(After!$H$4:$H$1003,"RTDR",After!$I$4:$I$1003,"WBR")+COUNTIFS(After!$H$4:$H$1003,"RTDR",After!$J$4:$J$1003,"WBR")</f>
        <v>1</v>
      </c>
      <c r="F47" s="631" t="inlineStr">
        <is>
          <t>RTDR crashes (WB turning vehicle)</t>
        </is>
      </c>
      <c r="I47" s="109" t="n">
        <f>COUNTIF(Before!$M$4:$M$1003,"Y")</f>
        <v>0</v>
      </c>
      <c r="J47" s="109" t="n">
        <f>COUNTIF(After!$M$4:$M$1003,"Y")</f>
        <v>0</v>
      </c>
      <c r="L47" s="631" t="inlineStr">
        <is>
          <t>Target 2 crashes (total)</t>
        </is>
      </c>
      <c r="S47" t="inlineStr">
        <is>
          <t>Ran off road right crashes (WB)</t>
        </is>
      </c>
    </row>
    <row r="48">
      <c r="C48" s="109" t="n">
        <f>C49-SUM(C44:C47)</f>
        <v>0</v>
      </c>
      <c r="D48" s="109" t="n">
        <f>D49-SUM(D44:D47)</f>
        <v>0</v>
      </c>
      <c r="F48" s="631" t="inlineStr">
        <is>
          <t>RTDR crashes (unclear direction turning vehicle)</t>
        </is>
      </c>
      <c r="S48" t="inlineStr">
        <is>
          <t>Ran off road right crashes (unclear direction)</t>
        </is>
      </c>
    </row>
    <row r="49">
      <c r="C49" s="109" t="n">
        <f>COUNTIF(Before!$H$4:$H$1003,"RTDR")</f>
        <v>1</v>
      </c>
      <c r="D49" s="109" t="n">
        <f>COUNTIF(After!$H$4:$H$1003,"RTDR")</f>
        <v>1</v>
      </c>
      <c r="F49" s="631" t="inlineStr">
        <is>
          <t>RTDR crashes (total)</t>
        </is>
      </c>
      <c r="I49" s="5" t="inlineStr">
        <is>
          <t>Before</t>
        </is>
      </c>
      <c r="J49" s="5" t="inlineStr">
        <is>
          <t>After</t>
        </is>
      </c>
      <c r="S49" t="inlineStr">
        <is>
          <t>Ran off road right crashes (total)</t>
        </is>
      </c>
    </row>
    <row r="50">
      <c r="I50" s="109" t="n">
        <f>SUMPRODUCT((Before!$N$4:$N$1003="Y")*(((Before!$K$4:$K$1003="V1")*(LEFT(Before!$I$4:$I$1003,2)="NB"))+((Before!$K$4:$K$1003="V2")*(LEFT(Before!$J$4:$J$1003,2)="NB"))))</f>
        <v>0</v>
      </c>
      <c r="J50" s="109" t="n">
        <f>SUMPRODUCT((After!$N$4:$N$1003="Y")*(((After!$K$4:$K$1003="V1")*(LEFT(After!$I$4:$I$1003,2)="NB"))+((After!$K$4:$K$1003="V2")*(LEFT(After!$J$4:$J$1003,2)="NB"))))</f>
        <v>0</v>
      </c>
      <c r="L50" s="631" t="inlineStr">
        <is>
          <t>Target 3 crashes (NB at fault)</t>
        </is>
      </c>
      <c r="S50" t="inlineStr">
        <is>
          <t>Ran off road left crashes (NB)</t>
        </is>
      </c>
    </row>
    <row r="51">
      <c r="B51" s="630" t="inlineStr">
        <is>
          <t>HeadOn</t>
        </is>
      </c>
      <c r="C51" s="5" t="inlineStr">
        <is>
          <t>Before</t>
        </is>
      </c>
      <c r="D51" s="5" t="inlineStr">
        <is>
          <t>After</t>
        </is>
      </c>
      <c r="I51" s="109" t="n">
        <f>SUMPRODUCT((Before!$N$4:$N$1003="Y")*(((Before!$K$4:$K$1003="V1")*(LEFT(Before!$I$4:$I$1003,2)="SB"))+((Before!$K$4:$K$1003="V2")*(LEFT(Before!$J$4:$J$1003,2)="SB"))))</f>
        <v>0</v>
      </c>
      <c r="J51" s="109" t="n">
        <f>SUMPRODUCT((After!$N$4:$N$1003="Y")*(((After!$K$4:$K$1003="V1")*(LEFT(After!$I$4:$I$1003,2)="SB"))+((After!$K$4:$K$1003="V2")*(LEFT(After!$J$4:$J$1003,2)="SB"))))</f>
        <v>0</v>
      </c>
      <c r="L51" s="631" t="inlineStr">
        <is>
          <t>Target 3 crashes (SB at fault)</t>
        </is>
      </c>
      <c r="S51" t="inlineStr">
        <is>
          <t>Ran off road left crashes (SB)</t>
        </is>
      </c>
    </row>
    <row r="52">
      <c r="C52" s="109" t="n">
        <f>COUNTIFS(Before!$H$4:$H$1003,"HeadOn",Before!$I$4:$I$1003,"NB*")</f>
        <v>0</v>
      </c>
      <c r="D52" s="109" t="n">
        <f>COUNTIFS(After!$H$4:$H$1003,"HeadOn",After!$I$4:$I$1003,"NB*")</f>
        <v>0</v>
      </c>
      <c r="F52" s="631" t="inlineStr">
        <is>
          <t>HeadOn crashes (NB vehicle 1)</t>
        </is>
      </c>
      <c r="I52" s="109" t="n">
        <f>SUMPRODUCT((Before!$N$4:$N$1003="Y")*(((Before!$K$4:$K$1003="V1")*(LEFT(Before!$I$4:$I$1003,2)="EB"))+((Before!$K$4:$K$1003="V2")*(LEFT(Before!$J$4:$J$1003,2)="EB"))))</f>
        <v>0</v>
      </c>
      <c r="J52" s="109" t="n">
        <f>SUMPRODUCT((After!$N$4:$N$1003="Y")*(((After!$K$4:$K$1003="V1")*(LEFT(After!$I$4:$I$1003,2)="EB"))+((After!$K$4:$K$1003="V2")*(LEFT(After!$J$4:$J$1003,2)="EB"))))</f>
        <v>0</v>
      </c>
      <c r="L52" s="631" t="inlineStr">
        <is>
          <t>Target 3 crashes (EB at fault)</t>
        </is>
      </c>
      <c r="S52" t="inlineStr">
        <is>
          <t>Ran off road left crashes (EB)</t>
        </is>
      </c>
    </row>
    <row r="53">
      <c r="C53" s="109" t="n">
        <f>COUNTIFS(Before!$H$4:$H$1003,"HeadOn",Before!$I$4:$I$1003,"SB*")</f>
        <v>0</v>
      </c>
      <c r="D53" s="109" t="n">
        <f>COUNTIFS(After!$H$4:$H$1003,"HeadOn",After!$I$4:$I$1003,"SB*")</f>
        <v>0</v>
      </c>
      <c r="F53" s="631" t="inlineStr">
        <is>
          <t>HeadOn crashes (SB vehicle 1)</t>
        </is>
      </c>
      <c r="I53" s="109" t="n">
        <f>SUMPRODUCT((Before!$N$4:$N$1003="Y")*(((Before!$K$4:$K$1003="V1")*(LEFT(Before!$I$4:$I$1003,2)="WB"))+((Before!$K$4:$K$1003="V2")*(LEFT(Before!$J$4:$J$1003,2)="WB"))))</f>
        <v>0</v>
      </c>
      <c r="J53" s="109" t="n">
        <f>SUMPRODUCT((After!$N$4:$N$1003="Y")*(((After!$K$4:$K$1003="V1")*(LEFT(After!$I$4:$I$1003,2)="WB"))+((After!$K$4:$K$1003="V2")*(LEFT(After!$J$4:$J$1003,2)="WB"))))</f>
        <v>0</v>
      </c>
      <c r="L53" s="631" t="inlineStr">
        <is>
          <t>Target 3 crashes (WB at fault)</t>
        </is>
      </c>
      <c r="S53" t="inlineStr">
        <is>
          <t>Ran off road left crashes (WB)</t>
        </is>
      </c>
    </row>
    <row r="54">
      <c r="C54" s="109" t="n">
        <f>COUNTIFS(Before!$H$4:$H$1003,"HeadOn",Before!$I$4:$I$1003,"EB*")</f>
        <v>0</v>
      </c>
      <c r="D54" s="109" t="n">
        <f>COUNTIFS(After!$H$4:$H$1003,"HeadOn",After!$I$4:$I$1003,"EB*")</f>
        <v>0</v>
      </c>
      <c r="F54" s="631" t="inlineStr">
        <is>
          <t>HeadOn crashes (EB vehicle 1)</t>
        </is>
      </c>
      <c r="I54" s="109" t="n">
        <f>I55-SUM(I50:I53)</f>
        <v>0</v>
      </c>
      <c r="J54" s="109" t="n">
        <f>J55-SUM(J50:J53)</f>
        <v>0</v>
      </c>
      <c r="L54" s="631" t="inlineStr">
        <is>
          <t>Target 3 crashes (fault unclear)</t>
        </is>
      </c>
      <c r="S54" t="inlineStr">
        <is>
          <t>Ran off road left crashes (unclear direction)</t>
        </is>
      </c>
    </row>
    <row r="55">
      <c r="C55" s="109" t="n">
        <f>COUNTIFS(Before!$H$4:$H$1003,"HeadOn",Before!$I$4:$I$1003,"WB*")</f>
        <v>0</v>
      </c>
      <c r="D55" s="109" t="n">
        <f>COUNTIFS(After!$H$4:$H$1003,"HeadOn",After!$I$4:$I$1003,"WB*")</f>
        <v>0</v>
      </c>
      <c r="F55" s="631" t="inlineStr">
        <is>
          <t>HeadOn crashes (WB vehicle 1)</t>
        </is>
      </c>
      <c r="I55" s="109" t="n">
        <f>COUNTIF(Before!$N$4:$N$1003,"Y")</f>
        <v>0</v>
      </c>
      <c r="J55" s="109" t="n">
        <f>COUNTIF(After!$N$4:$N$1003,"Y")</f>
        <v>0</v>
      </c>
      <c r="L55" s="631" t="inlineStr">
        <is>
          <t>Target 3 crashes (total)</t>
        </is>
      </c>
      <c r="S55" t="inlineStr">
        <is>
          <t>Ran off road left crashes (total)</t>
        </is>
      </c>
    </row>
    <row r="56">
      <c r="C56" s="109" t="n">
        <f>C57-SUM(C52:C55)</f>
        <v>0</v>
      </c>
      <c r="D56" s="109" t="n">
        <f>D57-SUM(D52:D55)</f>
        <v>0</v>
      </c>
      <c r="F56" s="631" t="inlineStr">
        <is>
          <t>HeadOn crashes (unclear direction vehicle 1)</t>
        </is>
      </c>
      <c r="S56" t="inlineStr">
        <is>
          <t>Ran off road straight crashes (NB)</t>
        </is>
      </c>
    </row>
    <row r="57">
      <c r="C57" s="109" t="n">
        <f>COUNTIF(Before!$H$4:$H$1003,"HeadOn")</f>
        <v>0</v>
      </c>
      <c r="D57" s="109" t="n">
        <f>COUNTIF(After!$H$4:$H$1003,"HeadOn")</f>
        <v>0</v>
      </c>
      <c r="F57" s="631" t="inlineStr">
        <is>
          <t>Head on crashes (total)</t>
        </is>
      </c>
      <c r="I57" s="5" t="inlineStr">
        <is>
          <t>Before</t>
        </is>
      </c>
      <c r="J57" s="5" t="inlineStr">
        <is>
          <t>After</t>
        </is>
      </c>
      <c r="S57" t="inlineStr">
        <is>
          <t>Ran off road straight crashes (SB)</t>
        </is>
      </c>
    </row>
    <row r="58">
      <c r="I58" s="109" t="n">
        <f>SUMPRODUCT(((((Before!$L$4:$L$1003="Y")+(Before!$M$4:$M$1003="Y")+(Before!$N$4:$N$1003="Y"))&gt;0)*1)*(((Before!$K$4:$K$1003="V1")*(LEFT(Before!$I$4:$I$1003,2)="NB"))+((Before!$K$4:$K$1003="V2")*(LEFT(Before!$J$4:$J$1003,2)="NB"))))</f>
        <v>0</v>
      </c>
      <c r="J58" s="109" t="n">
        <f>SUMPRODUCT(((((After!$L$4:$L$1003="Y")+(After!$M$4:$M$1003="Y")+(After!$N$4:$N$1003="Y"))&gt;0)*1)*(((After!$K$4:$K$1003="V1")*(LEFT(After!$I$4:$I$1003,2)="NB"))+((After!$K$4:$K$1003="V2")*(LEFT(After!$J$4:$J$1003,2)="NB"))))</f>
        <v>0</v>
      </c>
      <c r="L58" s="631" t="inlineStr">
        <is>
          <t>All target crashes (NB at fault)</t>
        </is>
      </c>
      <c r="S58" t="inlineStr">
        <is>
          <t>Ran off road straight crashes (EB)</t>
        </is>
      </c>
    </row>
    <row r="59">
      <c r="B59" s="630" t="inlineStr">
        <is>
          <t>U-Turn</t>
        </is>
      </c>
      <c r="C59" s="5" t="inlineStr">
        <is>
          <t>Before</t>
        </is>
      </c>
      <c r="D59" s="5" t="inlineStr">
        <is>
          <t>After</t>
        </is>
      </c>
      <c r="I59" s="109" t="n">
        <f>SUMPRODUCT(((((Before!$L$4:$L$1003="Y")+(Before!$M$4:$M$1003="Y")+(Before!$N$4:$N$1003="Y"))&gt;0)*1)*(((Before!$K$4:$K$1003="V1")*(LEFT(Before!$I$4:$I$1003,2)="SB"))+((Before!$K$4:$K$1003="V2")*(LEFT(Before!$J$4:$J$1003,2)="SB"))))</f>
        <v>0</v>
      </c>
      <c r="J59" s="109" t="n">
        <f>SUMPRODUCT(((((After!$L$4:$L$1003="Y")+(After!$M$4:$M$1003="Y")+(After!$N$4:$N$1003="Y"))&gt;0)*1)*(((After!$K$4:$K$1003="V1")*(LEFT(After!$I$4:$I$1003,2)="SB"))+((After!$K$4:$K$1003="V2")*(LEFT(After!$J$4:$J$1003,2)="SB"))))</f>
        <v>0</v>
      </c>
      <c r="L59" s="631" t="inlineStr">
        <is>
          <t>All target crashes (SB at fault)</t>
        </is>
      </c>
      <c r="S59" t="inlineStr">
        <is>
          <t>Ran off road straight crashes (WB)</t>
        </is>
      </c>
    </row>
    <row r="60">
      <c r="C60" s="109" t="n">
        <f>COUNTIFS(Before!$H$4:$H$1003,"U-Turn",Before!$I$4:$I$1003,"NBU")+COUNTIFS(Before!$H$4:$H$1003,"U-Turn",Before!$J$4:$J$1003,"NBU")</f>
        <v>0</v>
      </c>
      <c r="D60" s="109" t="n">
        <f>COUNTIFS(After!$H$4:$H$1003,"U-Turn",After!$I$4:$I$1003,"NBU")+COUNTIFS(After!$H$4:$H$1003,"U-Turn",After!$J$4:$J$1003,"NBU")</f>
        <v>0</v>
      </c>
      <c r="F60" s="631" t="inlineStr">
        <is>
          <t>U-Turn crashes (NB turning vehicle)</t>
        </is>
      </c>
      <c r="I60" s="109" t="n">
        <f>SUMPRODUCT(((((Before!$L$4:$L$1003="Y")+(Before!$M$4:$M$1003="Y")+(Before!$N$4:$N$1003="Y"))&gt;0)*1)*(((Before!$K$4:$K$1003="V1")*(LEFT(Before!$I$4:$I$1003,2)="EB"))+((Before!$K$4:$K$1003="V2")*(LEFT(Before!$J$4:$J$1003,2)="EB"))))</f>
        <v>2</v>
      </c>
      <c r="J60" s="109" t="n">
        <f>SUMPRODUCT(((((After!$L$4:$L$1003="Y")+(After!$M$4:$M$1003="Y")+(After!$N$4:$N$1003="Y"))&gt;0)*1)*(((After!$K$4:$K$1003="V1")*(LEFT(After!$I$4:$I$1003,2)="EB"))+((After!$K$4:$K$1003="V2")*(LEFT(After!$J$4:$J$1003,2)="EB"))))</f>
        <v>0</v>
      </c>
      <c r="L60" s="631" t="inlineStr">
        <is>
          <t>All target crashes (EB at fault)</t>
        </is>
      </c>
      <c r="S60" t="inlineStr">
        <is>
          <t>Ran off road straight crashes (unclear direction)</t>
        </is>
      </c>
    </row>
    <row r="61">
      <c r="C61" s="109" t="n">
        <f>COUNTIFS(Before!$H$4:$H$1003,"U-Turn",Before!$I$4:$I$1003,"SBU")+COUNTIFS(Before!$H$4:$H$1003,"U-Turn",Before!$J$4:$J$1003,"SBU")</f>
        <v>0</v>
      </c>
      <c r="D61" s="109" t="n">
        <f>COUNTIFS(After!$H$4:$H$1003,"U-Turn",After!$I$4:$I$1003,"SBU")+COUNTIFS(After!$H$4:$H$1003,"U-Turn",After!$J$4:$J$1003,"SBU")</f>
        <v>0</v>
      </c>
      <c r="F61" s="631" t="inlineStr">
        <is>
          <t>U-Turn crashes (SB turning vehicle)</t>
        </is>
      </c>
      <c r="I61" s="109" t="n">
        <f>SUMPRODUCT(((((Before!$L$4:$L$1003="Y")+(Before!$M$4:$M$1003="Y")+(Before!$N$4:$N$1003="Y"))&gt;0)*1)*(((Before!$K$4:$K$1003="V1")*(LEFT(Before!$I$4:$I$1003,2)="WB"))+((Before!$K$4:$K$1003="V2")*(LEFT(Before!$J$4:$J$1003,2)="WB"))))</f>
        <v>1</v>
      </c>
      <c r="J61" s="109" t="n">
        <f>SUMPRODUCT(((((After!$L$4:$L$1003="Y")+(After!$M$4:$M$1003="Y")+(After!$N$4:$N$1003="Y"))&gt;0)*1)*(((After!$K$4:$K$1003="V1")*(LEFT(After!$I$4:$I$1003,2)="WB"))+((After!$K$4:$K$1003="V2")*(LEFT(After!$J$4:$J$1003,2)="WB"))))</f>
        <v>2</v>
      </c>
      <c r="L61" s="631" t="inlineStr">
        <is>
          <t>All target crashes (WB at fault)</t>
        </is>
      </c>
      <c r="S61" t="inlineStr">
        <is>
          <t>Ran off road straight crashes (total)</t>
        </is>
      </c>
    </row>
    <row r="62">
      <c r="C62" s="109" t="n">
        <f>COUNTIFS(Before!$H$4:$H$1003,"U-Turn",Before!$I$4:$I$1003,"EBU")+COUNTIFS(Before!$H$4:$H$1003,"U-Turn",Before!$J$4:$J$1003,"EBU")</f>
        <v>0</v>
      </c>
      <c r="D62" s="109" t="n">
        <f>COUNTIFS(After!$H$4:$H$1003,"U-Turn",After!$I$4:$I$1003,"EBU")+COUNTIFS(After!$H$4:$H$1003,"U-Turn",After!$J$4:$J$1003,"EBU")</f>
        <v>0</v>
      </c>
      <c r="F62" s="631" t="inlineStr">
        <is>
          <t>U-Turn crashes (EB turning vehicle)</t>
        </is>
      </c>
      <c r="I62" s="109" t="n">
        <f>I63-SUM(I58:I61)</f>
        <v>0</v>
      </c>
      <c r="J62" s="109" t="n">
        <f>J63-SUM(J58:J61)</f>
        <v>0</v>
      </c>
      <c r="L62" s="631" t="inlineStr">
        <is>
          <t>All target crashes (fault unclear)</t>
        </is>
      </c>
      <c r="S62" t="inlineStr">
        <is>
          <t>Sideswipe same direction crashes (NB striking vehicle)</t>
        </is>
      </c>
    </row>
    <row r="63">
      <c r="C63" s="109" t="n">
        <f>COUNTIFS(Before!$H$4:$H$1003,"U-Turn",Before!$I$4:$I$1003,"WBU")+COUNTIFS(Before!$H$4:$H$1003,"U-Turn",Before!$J$4:$J$1003,"WBU")</f>
        <v>0</v>
      </c>
      <c r="D63" s="109" t="n">
        <f>COUNTIFS(After!$H$4:$H$1003,"U-Turn",After!$I$4:$I$1003,"WBU")+COUNTIFS(After!$H$4:$H$1003,"U-Turn",After!$J$4:$J$1003,"WBU")</f>
        <v>0</v>
      </c>
      <c r="F63" s="631" t="inlineStr">
        <is>
          <t>U-Turn crashes (WB turning vehicle)</t>
        </is>
      </c>
      <c r="I63" s="109" t="n">
        <f>SUMPRODUCT(((((Before!$L$4:$L$1003="Y")+(Before!$M$4:$M$1003="Y")+(Before!$N$4:$N$1003="Y"))&gt;0)*1))</f>
        <v>3</v>
      </c>
      <c r="J63" s="109" t="n">
        <f>SUMPRODUCT(((((After!$L$4:$L$1003="Y")+(After!$M$4:$M$1003="Y")+(After!$N$4:$N$1003="Y"))&gt;0)*1))</f>
        <v>2</v>
      </c>
      <c r="L63" s="631" t="inlineStr">
        <is>
          <t>All target crashes (total)</t>
        </is>
      </c>
      <c r="S63" t="inlineStr">
        <is>
          <t>Sideswipe same direction crashes (SB striking vehicle)</t>
        </is>
      </c>
    </row>
    <row r="64">
      <c r="C64" s="109" t="n">
        <f>C65-SUM(C60:C63)</f>
        <v>0</v>
      </c>
      <c r="D64" s="109" t="n">
        <f>D65-SUM(D60:D63)</f>
        <v>0</v>
      </c>
      <c r="F64" s="631" t="inlineStr">
        <is>
          <t>U-Turn crashes (unclear direction turning vehicle)</t>
        </is>
      </c>
      <c r="S64" t="inlineStr">
        <is>
          <t>Sideswipe same direction crashes (EB striking vehicle)</t>
        </is>
      </c>
    </row>
    <row r="65">
      <c r="C65" s="109" t="n">
        <f>COUNTIF(Before!$H$4:$H$1003,"U-Turn")</f>
        <v>0</v>
      </c>
      <c r="D65" s="109" t="n">
        <f>COUNTIF(After!$H$4:$H$1003,"U-Turn")</f>
        <v>0</v>
      </c>
      <c r="F65" s="631" t="inlineStr">
        <is>
          <t>U-Turn crashes (total)</t>
        </is>
      </c>
      <c r="I65" s="5" t="inlineStr">
        <is>
          <t>Before</t>
        </is>
      </c>
      <c r="J65" s="5" t="inlineStr">
        <is>
          <t>After</t>
        </is>
      </c>
      <c r="S65" t="inlineStr">
        <is>
          <t>Sideswipe same direction crashes (WB striking vehicle)</t>
        </is>
      </c>
    </row>
    <row r="66">
      <c r="I66" s="109" t="n">
        <f>COUNTIFS(Before!$D$4:$D$1003,"&gt;=2",Before!$D$4:$D$1003,"&lt;=3")</f>
        <v>1</v>
      </c>
      <c r="J66" s="109" t="n">
        <f>COUNTIFS(After!$D$4:$D$1003,"&gt;=2",After!$D$4:$D$1003,"&lt;=3")</f>
        <v>0</v>
      </c>
      <c r="L66" s="631" t="inlineStr">
        <is>
          <t>Wet crashes</t>
        </is>
      </c>
      <c r="S66" t="inlineStr">
        <is>
          <t>Sideswipe same direction crashes (unclear direction striking vehicle)</t>
        </is>
      </c>
    </row>
    <row r="67">
      <c r="B67" s="630" t="inlineStr">
        <is>
          <t>RORR</t>
        </is>
      </c>
      <c r="C67" s="5" t="inlineStr">
        <is>
          <t>Before</t>
        </is>
      </c>
      <c r="D67" s="5" t="inlineStr">
        <is>
          <t>After</t>
        </is>
      </c>
      <c r="I67" s="109" t="n">
        <f>COUNTIFS(Before!$F$4:$F$1003,"&gt;=4",Before!$F$4:$F$1003,"&lt;=6")</f>
        <v>1</v>
      </c>
      <c r="J67" s="109" t="n">
        <f>COUNTIFS(After!$F$4:$F$1003,"&gt;=4",After!$F$4:$F$1003,"&lt;=6")</f>
        <v>0</v>
      </c>
      <c r="L67" s="631" t="inlineStr">
        <is>
          <t>Night crashes</t>
        </is>
      </c>
      <c r="S67" t="inlineStr">
        <is>
          <t>Sideswipe same direction crashes (total)</t>
        </is>
      </c>
    </row>
    <row r="68">
      <c r="C68" s="109" t="n">
        <f>COUNTIFS(Before!$H$4:$H$1003,"RORR",Before!$I$4:$I$1003,"NB*")</f>
        <v>0</v>
      </c>
      <c r="D68" s="109" t="n">
        <f>COUNTIFS(After!$H$4:$H$1003,"RORR",After!$I$4:$I$1003,"NB*")</f>
        <v>0</v>
      </c>
      <c r="F68" s="631" t="inlineStr">
        <is>
          <t>Ran off road right crashes (NB)</t>
        </is>
      </c>
      <c r="I68" s="109" t="n">
        <f>COUNTIF(Before!$G$4:$G$1003,"K")+COUNTIF(Before!$G$4:$G$1003,"A")+COUNTIF(Before!$G$4:$G$1003,"B")+COUNTIF(Before!$G$4:$G$1003,"C")</f>
        <v>1</v>
      </c>
      <c r="J68" s="109" t="n">
        <f>COUNTIF(After!$G$4:$G$1003,"K")+COUNTIF(After!$G$4:$G$1003,"A")+COUNTIF(After!$G$4:$G$1003,"B")+COUNTIF(After!$G$4:$G$1003,"C")</f>
        <v>0</v>
      </c>
      <c r="L68" s="631" t="inlineStr">
        <is>
          <t>Injury crashes</t>
        </is>
      </c>
      <c r="S68" t="inlineStr">
        <is>
          <t>Sideswipe opposite direction crashes (NB striking vehicle)</t>
        </is>
      </c>
    </row>
    <row r="69">
      <c r="C69" s="109" t="n">
        <f>COUNTIFS(Before!$H$4:$H$1003,"RORR",Before!$I$4:$I$1003,"SB*")</f>
        <v>0</v>
      </c>
      <c r="D69" s="109" t="n">
        <f>COUNTIFS(After!$H$4:$H$1003,"RORR",After!$I$4:$I$1003,"SB*")</f>
        <v>0</v>
      </c>
      <c r="F69" s="631" t="inlineStr">
        <is>
          <t>Ran off road right crashes (SB)</t>
        </is>
      </c>
      <c r="I69" s="109" t="n">
        <f>COUNTIF(Before!$H$4:$H$1003,"Avoidance*")</f>
        <v>0</v>
      </c>
      <c r="J69" s="109" t="n">
        <f>COUNTIF(After!$H$4:$H$1003,"Avoidance*")</f>
        <v>0</v>
      </c>
      <c r="L69" s="631" t="inlineStr">
        <is>
          <t>Avoidance maneuver crashes</t>
        </is>
      </c>
      <c r="S69" t="inlineStr">
        <is>
          <t>Sideswipe opposite direction crashes (SB striking vehicle)</t>
        </is>
      </c>
    </row>
    <row r="70">
      <c r="C70" s="109" t="n">
        <f>COUNTIFS(Before!$H$4:$H$1003,"RORR",Before!$I$4:$I$1003,"EB*")</f>
        <v>0</v>
      </c>
      <c r="D70" s="109" t="n">
        <f>COUNTIFS(After!$H$4:$H$1003,"RORR",After!$I$4:$I$1003,"EB*")</f>
        <v>0</v>
      </c>
      <c r="F70" s="631" t="inlineStr">
        <is>
          <t>Ran off road right crashes (EB)</t>
        </is>
      </c>
      <c r="I70" s="109" t="n">
        <f>COUNTIF(Before!$K$4:$K$1003,"Unclear")</f>
        <v>0</v>
      </c>
      <c r="J70" s="109" t="n">
        <f>COUNTIF(After!$K$4:$K$1003,"Unclear")</f>
        <v>0</v>
      </c>
      <c r="L70" s="631" t="inlineStr">
        <is>
          <t>Crashes with fault unclear</t>
        </is>
      </c>
      <c r="S70" t="inlineStr">
        <is>
          <t>Sideswipe opposite direction crashes (EB striking vehicle)</t>
        </is>
      </c>
    </row>
    <row r="71">
      <c r="C71" s="109" t="n">
        <f>COUNTIFS(Before!$H$4:$H$1003,"RORR",Before!$I$4:$I$1003,"WB*")</f>
        <v>0</v>
      </c>
      <c r="D71" s="109" t="n">
        <f>COUNTIFS(After!$H$4:$H$1003,"RORR",After!$I$4:$I$1003,"WB*")</f>
        <v>0</v>
      </c>
      <c r="F71" s="631" t="inlineStr">
        <is>
          <t>Ran off road right crashes (WB)</t>
        </is>
      </c>
      <c r="S71" t="inlineStr">
        <is>
          <t>Sideswipe opposite direction crashes (WB striking vehicle)</t>
        </is>
      </c>
    </row>
    <row r="72">
      <c r="C72" s="109" t="n">
        <f>C73-SUM(C68:C71)</f>
        <v>0</v>
      </c>
      <c r="D72" s="109" t="n">
        <f>D73-SUM(D68:D71)</f>
        <v>0</v>
      </c>
      <c r="F72" s="631" t="inlineStr">
        <is>
          <t>Ran off road right crashes (unclear direction)</t>
        </is>
      </c>
      <c r="I72" s="5" t="inlineStr">
        <is>
          <t>Before</t>
        </is>
      </c>
      <c r="J72" s="5" t="inlineStr">
        <is>
          <t>After</t>
        </is>
      </c>
      <c r="L72" s="630" t="inlineStr">
        <is>
          <t>Custom lines</t>
        </is>
      </c>
      <c r="M72" s="5" t="inlineStr">
        <is>
          <t>Definition</t>
        </is>
      </c>
      <c r="S72" t="inlineStr">
        <is>
          <t>Sideswipe opposite direction crashes (unclear direction striking vehicle)</t>
        </is>
      </c>
    </row>
    <row r="73">
      <c r="C73" s="109" t="n">
        <f>COUNTIF(Before!$H$4:$H$1003,"RORR")</f>
        <v>0</v>
      </c>
      <c r="D73" s="109" t="n">
        <f>COUNTIF(After!$H$4:$H$1003,"RORR")</f>
        <v>0</v>
      </c>
      <c r="F73" s="631" t="inlineStr">
        <is>
          <t>Ran off road right crashes (total)</t>
        </is>
      </c>
      <c r="I73" s="109" t="n">
        <f>I36+I37</f>
        <v>3</v>
      </c>
      <c r="J73" s="109" t="n">
        <f>J36+J37</f>
        <v>2</v>
      </c>
      <c r="L73" s="107" t="inlineStr">
        <is>
          <t>Target Crashes: Spring St At-Fault</t>
        </is>
      </c>
      <c r="M73" t="inlineStr">
        <is>
          <t>Target 1 crashes with the at-fault vehicle on Spring St (EB + WB at fault)</t>
        </is>
      </c>
      <c r="S73" t="inlineStr">
        <is>
          <t>Sideswipe opposite direction crashes (total)</t>
        </is>
      </c>
    </row>
    <row r="74">
      <c r="I74" s="109" t="n">
        <f>I34+I35</f>
        <v>0</v>
      </c>
      <c r="J74" s="109" t="n">
        <f>J34+J35</f>
        <v>0</v>
      </c>
      <c r="L74" s="107" t="inlineStr">
        <is>
          <t>Target Crashes: Main St At-Fault</t>
        </is>
      </c>
      <c r="M74" t="inlineStr">
        <is>
          <t>Target 1 crashes with the at-fault vehicle on Main St (NB + SB at fault)</t>
        </is>
      </c>
      <c r="S74" t="inlineStr">
        <is>
          <t>Overturn crashes (NB)</t>
        </is>
      </c>
    </row>
    <row r="75">
      <c r="B75" s="630" t="inlineStr">
        <is>
          <t>RORL</t>
        </is>
      </c>
      <c r="C75" s="5" t="inlineStr">
        <is>
          <t>Before</t>
        </is>
      </c>
      <c r="D75" s="5" t="inlineStr">
        <is>
          <t>After</t>
        </is>
      </c>
      <c r="I75" s="109" t="n">
        <f>SUMPRODUCT(COUNTIF(Before!$A$4:$A$1003,{105532814,106594525,106899135,107982237}))</f>
        <v>2</v>
      </c>
      <c r="J75" s="109" t="n">
        <f>SUMPRODUCT(COUNTIF(After!$A$4:$A$1003,{105532814,106594525,106899135,107982237}))</f>
        <v>2</v>
      </c>
      <c r="L75" s="107" t="inlineStr">
        <is>
          <t>Target Crashes: Failed to Yield</t>
        </is>
      </c>
      <c r="M75" t="inlineStr">
        <is>
          <t>Target crashes where the at-fault driver failed to yield, per the reports: 105532814, 106594525, 106899135, 107982237</t>
        </is>
      </c>
      <c r="S75" t="inlineStr">
        <is>
          <t>Overturn crashes (SB)</t>
        </is>
      </c>
    </row>
    <row r="76">
      <c r="C76" s="109" t="n">
        <f>COUNTIFS(Before!$H$4:$H$1003,"RORL",Before!$I$4:$I$1003,"NB*")</f>
        <v>0</v>
      </c>
      <c r="D76" s="109" t="n">
        <f>COUNTIFS(After!$H$4:$H$1003,"RORL",After!$I$4:$I$1003,"NB*")</f>
        <v>0</v>
      </c>
      <c r="F76" s="631" t="inlineStr">
        <is>
          <t>Ran off road left crashes (NB)</t>
        </is>
      </c>
      <c r="I76" s="109" t="n">
        <f>SUMPRODUCT(COUNTIF(Before!$A$4:$A$1003,{105329673}))</f>
        <v>1</v>
      </c>
      <c r="J76" s="109" t="n">
        <f>SUMPRODUCT(COUNTIF(After!$A$4:$A$1003,{105329673}))</f>
        <v>0</v>
      </c>
      <c r="L76" s="107" t="inlineStr">
        <is>
          <t>Target Crashes: Ran Stop Sign</t>
        </is>
      </c>
      <c r="M76" t="inlineStr">
        <is>
          <t>Target crashes where the at-fault driver ran the stop sign, per the report: 105329673</t>
        </is>
      </c>
      <c r="S76" t="inlineStr">
        <is>
          <t>Overturn crashes (EB)</t>
        </is>
      </c>
    </row>
    <row r="77">
      <c r="C77" s="109" t="n">
        <f>COUNTIFS(Before!$H$4:$H$1003,"RORL",Before!$I$4:$I$1003,"SB*")</f>
        <v>0</v>
      </c>
      <c r="D77" s="109" t="n">
        <f>COUNTIFS(After!$H$4:$H$1003,"RORL",After!$I$4:$I$1003,"SB*")</f>
        <v>0</v>
      </c>
      <c r="F77" s="631" t="inlineStr">
        <is>
          <t>Ran off road left crashes (SB)</t>
        </is>
      </c>
      <c r="I77" s="109" t="n">
        <f>C121</f>
        <v>1</v>
      </c>
      <c r="J77" s="109" t="n">
        <f>D121</f>
        <v>0</v>
      </c>
      <c r="L77" s="107" t="inlineStr">
        <is>
          <t>Rear End Crashes</t>
        </is>
      </c>
      <c r="M77" t="inlineStr">
        <is>
          <t>Rear end crashes (total)</t>
        </is>
      </c>
      <c r="S77" t="inlineStr">
        <is>
          <t>Overturn crashes (WB)</t>
        </is>
      </c>
    </row>
    <row r="78">
      <c r="C78" s="109" t="n">
        <f>COUNTIFS(Before!$H$4:$H$1003,"RORL",Before!$I$4:$I$1003,"EB*")</f>
        <v>0</v>
      </c>
      <c r="D78" s="109" t="n">
        <f>COUNTIFS(After!$H$4:$H$1003,"RORL",After!$I$4:$I$1003,"EB*")</f>
        <v>0</v>
      </c>
      <c r="F78" s="631" t="inlineStr">
        <is>
          <t>Ran off road left crashes (EB)</t>
        </is>
      </c>
      <c r="I78" s="109" t="n">
        <f>SUMPRODUCT(COUNTIF(Before!$A$4:$A$1003,{105172416,105273794,106412908}))</f>
        <v>3</v>
      </c>
      <c r="J78" s="109" t="n">
        <f>SUMPRODUCT(COUNTIF(After!$A$4:$A$1003,{105172416,105273794,106412908}))</f>
        <v>0</v>
      </c>
      <c r="L78" s="107" t="inlineStr">
        <is>
          <t>On-Street Parking Crashes</t>
        </is>
      </c>
      <c r="M78" t="inlineStr">
        <is>
          <t>Crashes involving a vehicle in the on-street angled parking (backing out, or struck while parked): 105172416, 105273794, 106412908</t>
        </is>
      </c>
      <c r="S78" t="inlineStr">
        <is>
          <t>Overturn crashes (unclear direction)</t>
        </is>
      </c>
    </row>
    <row r="79">
      <c r="C79" s="109" t="n">
        <f>COUNTIFS(Before!$H$4:$H$1003,"RORL",Before!$I$4:$I$1003,"WB*")</f>
        <v>0</v>
      </c>
      <c r="D79" s="109" t="n">
        <f>COUNTIFS(After!$H$4:$H$1003,"RORL",After!$I$4:$I$1003,"WB*")</f>
        <v>0</v>
      </c>
      <c r="F79" s="631" t="inlineStr">
        <is>
          <t>Ran off road left crashes (WB)</t>
        </is>
      </c>
      <c r="S79" t="inlineStr">
        <is>
          <t>Overturn crashes (total)</t>
        </is>
      </c>
    </row>
    <row r="80">
      <c r="C80" s="109" t="n">
        <f>C81-SUM(C76:C79)</f>
        <v>0</v>
      </c>
      <c r="D80" s="109" t="n">
        <f>D81-SUM(D76:D79)</f>
        <v>0</v>
      </c>
      <c r="F80" s="631" t="inlineStr">
        <is>
          <t>Ran off road left crashes (unclear direction)</t>
        </is>
      </c>
      <c r="S80" t="inlineStr">
        <is>
          <t>Rear end crashes (NB rear vehicle)</t>
        </is>
      </c>
    </row>
    <row r="81">
      <c r="C81" s="109" t="n">
        <f>COUNTIF(Before!$H$4:$H$1003,"RORL")</f>
        <v>0</v>
      </c>
      <c r="D81" s="109" t="n">
        <f>COUNTIF(After!$H$4:$H$1003,"RORL")</f>
        <v>0</v>
      </c>
      <c r="F81" s="631" t="inlineStr">
        <is>
          <t>Ran off road left crashes (total)</t>
        </is>
      </c>
      <c r="S81" t="inlineStr">
        <is>
          <t>Rear end crashes (SB rear vehicle)</t>
        </is>
      </c>
    </row>
    <row r="82">
      <c r="S82" t="inlineStr">
        <is>
          <t>Rear end crashes (EB rear vehicle)</t>
        </is>
      </c>
    </row>
    <row r="83">
      <c r="B83" s="630" t="inlineStr">
        <is>
          <t>RORS</t>
        </is>
      </c>
      <c r="C83" s="5" t="inlineStr">
        <is>
          <t>Before</t>
        </is>
      </c>
      <c r="D83" s="5" t="inlineStr">
        <is>
          <t>After</t>
        </is>
      </c>
      <c r="S83" t="inlineStr">
        <is>
          <t>Rear end crashes (WB rear vehicle)</t>
        </is>
      </c>
    </row>
    <row r="84">
      <c r="C84" s="109" t="n">
        <f>COUNTIFS(Before!$H$4:$H$1003,"RORS",Before!$I$4:$I$1003,"NB*")</f>
        <v>0</v>
      </c>
      <c r="D84" s="109" t="n">
        <f>COUNTIFS(After!$H$4:$H$1003,"RORS",After!$I$4:$I$1003,"NB*")</f>
        <v>0</v>
      </c>
      <c r="F84" s="631" t="inlineStr">
        <is>
          <t>Ran off road straight crashes (NB)</t>
        </is>
      </c>
      <c r="S84" t="inlineStr">
        <is>
          <t>Rear end crashes (unclear direction rear vehicle)</t>
        </is>
      </c>
    </row>
    <row r="85">
      <c r="C85" s="109" t="n">
        <f>COUNTIFS(Before!$H$4:$H$1003,"RORS",Before!$I$4:$I$1003,"SB*")</f>
        <v>0</v>
      </c>
      <c r="D85" s="109" t="n">
        <f>COUNTIFS(After!$H$4:$H$1003,"RORS",After!$I$4:$I$1003,"SB*")</f>
        <v>0</v>
      </c>
      <c r="F85" s="631" t="inlineStr">
        <is>
          <t>Ran off road straight crashes (SB)</t>
        </is>
      </c>
      <c r="S85" t="inlineStr">
        <is>
          <t>Rear end crashes (total)</t>
        </is>
      </c>
    </row>
    <row r="86">
      <c r="C86" s="109" t="n">
        <f>COUNTIFS(Before!$H$4:$H$1003,"RORS",Before!$I$4:$I$1003,"EB*")</f>
        <v>0</v>
      </c>
      <c r="D86" s="109" t="n">
        <f>COUNTIFS(After!$H$4:$H$1003,"RORS",After!$I$4:$I$1003,"EB*")</f>
        <v>0</v>
      </c>
      <c r="F86" s="631" t="inlineStr">
        <is>
          <t>Ran off road straight crashes (EB)</t>
        </is>
      </c>
      <c r="S86" t="inlineStr">
        <is>
          <t>Pedestrian crashes</t>
        </is>
      </c>
    </row>
    <row r="87">
      <c r="C87" s="109" t="n">
        <f>COUNTIFS(Before!$H$4:$H$1003,"RORS",Before!$I$4:$I$1003,"WB*")</f>
        <v>0</v>
      </c>
      <c r="D87" s="109" t="n">
        <f>COUNTIFS(After!$H$4:$H$1003,"RORS",After!$I$4:$I$1003,"WB*")</f>
        <v>0</v>
      </c>
      <c r="F87" s="631" t="inlineStr">
        <is>
          <t>Ran off road straight crashes (WB)</t>
        </is>
      </c>
      <c r="S87" t="inlineStr">
        <is>
          <t>Bicycle crashes</t>
        </is>
      </c>
    </row>
    <row r="88">
      <c r="C88" s="109" t="n">
        <f>C89-SUM(C84:C87)</f>
        <v>0</v>
      </c>
      <c r="D88" s="109" t="n">
        <f>D89-SUM(D84:D87)</f>
        <v>0</v>
      </c>
      <c r="F88" s="631" t="inlineStr">
        <is>
          <t>Ran off road straight crashes (unclear direction)</t>
        </is>
      </c>
      <c r="S88" t="inlineStr">
        <is>
          <t>Animal crashes</t>
        </is>
      </c>
    </row>
    <row r="89">
      <c r="C89" s="109" t="n">
        <f>COUNTIF(Before!$H$4:$H$1003,"RORS")</f>
        <v>0</v>
      </c>
      <c r="D89" s="109" t="n">
        <f>COUNTIF(After!$H$4:$H$1003,"RORS")</f>
        <v>0</v>
      </c>
      <c r="F89" s="631" t="inlineStr">
        <is>
          <t>Ran off road straight crashes (total)</t>
        </is>
      </c>
      <c r="S89" t="inlineStr">
        <is>
          <t>Other crashes</t>
        </is>
      </c>
    </row>
    <row r="90">
      <c r="S90" t="inlineStr">
        <is>
          <t>Frontal impact crashes (NB at fault)</t>
        </is>
      </c>
    </row>
    <row r="91">
      <c r="B91" s="630" t="inlineStr">
        <is>
          <t>SSSD</t>
        </is>
      </c>
      <c r="C91" s="5" t="inlineStr">
        <is>
          <t>Before</t>
        </is>
      </c>
      <c r="D91" s="5" t="inlineStr">
        <is>
          <t>After</t>
        </is>
      </c>
      <c r="S91" t="inlineStr">
        <is>
          <t>Frontal impact crashes (SB at fault)</t>
        </is>
      </c>
    </row>
    <row r="92">
      <c r="C92" s="109" t="n">
        <f>SUMPRODUCT((Before!$H$4:$H$1003="SSSD")*(((Before!$K$4:$K$1003="V1")*(LEFT(Before!$I$4:$I$1003,2)="NB"))+((Before!$K$4:$K$1003="V2")*(LEFT(Before!$J$4:$J$1003,2)="NB"))))</f>
        <v>0</v>
      </c>
      <c r="D92" s="109" t="n">
        <f>SUMPRODUCT((After!$H$4:$H$1003="SSSD")*(((After!$K$4:$K$1003="V1")*(LEFT(After!$I$4:$I$1003,2)="NB"))+((After!$K$4:$K$1003="V2")*(LEFT(After!$J$4:$J$1003,2)="NB"))))</f>
        <v>0</v>
      </c>
      <c r="F92" s="631" t="inlineStr">
        <is>
          <t>Sideswipe same direction crashes (NB striking vehicle)</t>
        </is>
      </c>
      <c r="S92" t="inlineStr">
        <is>
          <t>Frontal impact crashes (EB at fault)</t>
        </is>
      </c>
    </row>
    <row r="93">
      <c r="C93" s="109" t="n">
        <f>SUMPRODUCT((Before!$H$4:$H$1003="SSSD")*(((Before!$K$4:$K$1003="V1")*(LEFT(Before!$I$4:$I$1003,2)="SB"))+((Before!$K$4:$K$1003="V2")*(LEFT(Before!$J$4:$J$1003,2)="SB"))))</f>
        <v>0</v>
      </c>
      <c r="D93" s="109" t="n">
        <f>SUMPRODUCT((After!$H$4:$H$1003="SSSD")*(((After!$K$4:$K$1003="V1")*(LEFT(After!$I$4:$I$1003,2)="SB"))+((After!$K$4:$K$1003="V2")*(LEFT(After!$J$4:$J$1003,2)="SB"))))</f>
        <v>1</v>
      </c>
      <c r="F93" s="631" t="inlineStr">
        <is>
          <t>Sideswipe same direction crashes (SB striking vehicle)</t>
        </is>
      </c>
      <c r="S93" t="inlineStr">
        <is>
          <t>Frontal impact crashes (WB at fault)</t>
        </is>
      </c>
    </row>
    <row r="94">
      <c r="C94" s="109" t="n">
        <f>SUMPRODUCT((Before!$H$4:$H$1003="SSSD")*(((Before!$K$4:$K$1003="V1")*(LEFT(Before!$I$4:$I$1003,2)="EB"))+((Before!$K$4:$K$1003="V2")*(LEFT(Before!$J$4:$J$1003,2)="EB"))))</f>
        <v>0</v>
      </c>
      <c r="D94" s="109" t="n">
        <f>SUMPRODUCT((After!$H$4:$H$1003="SSSD")*(((After!$K$4:$K$1003="V1")*(LEFT(After!$I$4:$I$1003,2)="EB"))+((After!$K$4:$K$1003="V2")*(LEFT(After!$J$4:$J$1003,2)="EB"))))</f>
        <v>0</v>
      </c>
      <c r="F94" s="631" t="inlineStr">
        <is>
          <t>Sideswipe same direction crashes (EB striking vehicle)</t>
        </is>
      </c>
      <c r="S94" t="inlineStr">
        <is>
          <t>Frontal impact crashes (fault unclear)</t>
        </is>
      </c>
    </row>
    <row r="95">
      <c r="C95" s="109" t="n">
        <f>SUMPRODUCT((Before!$H$4:$H$1003="SSSD")*(((Before!$K$4:$K$1003="V1")*(LEFT(Before!$I$4:$I$1003,2)="WB"))+((Before!$K$4:$K$1003="V2")*(LEFT(Before!$J$4:$J$1003,2)="WB"))))</f>
        <v>0</v>
      </c>
      <c r="D95" s="109" t="n">
        <f>SUMPRODUCT((After!$H$4:$H$1003="SSSD")*(((After!$K$4:$K$1003="V1")*(LEFT(After!$I$4:$I$1003,2)="WB"))+((After!$K$4:$K$1003="V2")*(LEFT(After!$J$4:$J$1003,2)="WB"))))</f>
        <v>0</v>
      </c>
      <c r="F95" s="631" t="inlineStr">
        <is>
          <t>Sideswipe same direction crashes (WB striking vehicle)</t>
        </is>
      </c>
      <c r="S95" t="inlineStr">
        <is>
          <t>Frontal impact crashes (total)</t>
        </is>
      </c>
    </row>
    <row r="96">
      <c r="C96" s="109" t="n">
        <f>C97-SUM(C92:C95)</f>
        <v>0</v>
      </c>
      <c r="D96" s="109" t="n">
        <f>D97-SUM(D92:D95)</f>
        <v>0</v>
      </c>
      <c r="F96" s="631" t="inlineStr">
        <is>
          <t>Sideswipe same direction crashes (unclear direction striking vehicle)</t>
        </is>
      </c>
      <c r="S96" t="inlineStr">
        <is>
          <t>Frontal impact crashes involving the NB approach</t>
        </is>
      </c>
    </row>
    <row r="97">
      <c r="C97" s="109" t="n">
        <f>COUNTIF(Before!$H$4:$H$1003,"SSSD")</f>
        <v>0</v>
      </c>
      <c r="D97" s="109" t="n">
        <f>COUNTIF(After!$H$4:$H$1003,"SSSD")</f>
        <v>1</v>
      </c>
      <c r="F97" s="631" t="inlineStr">
        <is>
          <t>Sideswipe same direction crashes (total)</t>
        </is>
      </c>
      <c r="S97" t="inlineStr">
        <is>
          <t>Frontal impact crashes involving the SB approach</t>
        </is>
      </c>
    </row>
    <row r="98">
      <c r="S98" t="inlineStr">
        <is>
          <t>Frontal impact crashes involving the EB approach</t>
        </is>
      </c>
    </row>
    <row r="99">
      <c r="B99" s="630" t="inlineStr">
        <is>
          <t>SSDD</t>
        </is>
      </c>
      <c r="C99" s="5" t="inlineStr">
        <is>
          <t>Before</t>
        </is>
      </c>
      <c r="D99" s="5" t="inlineStr">
        <is>
          <t>After</t>
        </is>
      </c>
      <c r="S99" t="inlineStr">
        <is>
          <t>Frontal impact crashes involving the WB approach</t>
        </is>
      </c>
    </row>
    <row r="100">
      <c r="C100" s="109" t="n">
        <f>SUMPRODUCT((Before!$H$4:$H$1003="SSDD")*(((Before!$K$4:$K$1003="V1")*(LEFT(Before!$I$4:$I$1003,2)="NB"))+((Before!$K$4:$K$1003="V2")*(LEFT(Before!$J$4:$J$1003,2)="NB"))))</f>
        <v>0</v>
      </c>
      <c r="D100" s="109" t="n">
        <f>SUMPRODUCT((After!$H$4:$H$1003="SSDD")*(((After!$K$4:$K$1003="V1")*(LEFT(After!$I$4:$I$1003,2)="NB"))+((After!$K$4:$K$1003="V2")*(LEFT(After!$J$4:$J$1003,2)="NB"))))</f>
        <v>0</v>
      </c>
      <c r="F100" s="631" t="inlineStr">
        <is>
          <t>Sideswipe opposite direction crashes (NB striking vehicle)</t>
        </is>
      </c>
      <c r="S100" t="inlineStr">
        <is>
          <t>Lane departure crashes (NB at fault)</t>
        </is>
      </c>
    </row>
    <row r="101">
      <c r="C101" s="109" t="n">
        <f>SUMPRODUCT((Before!$H$4:$H$1003="SSDD")*(((Before!$K$4:$K$1003="V1")*(LEFT(Before!$I$4:$I$1003,2)="SB"))+((Before!$K$4:$K$1003="V2")*(LEFT(Before!$J$4:$J$1003,2)="SB"))))</f>
        <v>0</v>
      </c>
      <c r="D101" s="109" t="n">
        <f>SUMPRODUCT((After!$H$4:$H$1003="SSDD")*(((After!$K$4:$K$1003="V1")*(LEFT(After!$I$4:$I$1003,2)="SB"))+((After!$K$4:$K$1003="V2")*(LEFT(After!$J$4:$J$1003,2)="SB"))))</f>
        <v>0</v>
      </c>
      <c r="F101" s="631" t="inlineStr">
        <is>
          <t>Sideswipe opposite direction crashes (SB striking vehicle)</t>
        </is>
      </c>
      <c r="S101" t="inlineStr">
        <is>
          <t>Lane departure crashes (SB at fault)</t>
        </is>
      </c>
    </row>
    <row r="102">
      <c r="C102" s="109" t="n">
        <f>SUMPRODUCT((Before!$H$4:$H$1003="SSDD")*(((Before!$K$4:$K$1003="V1")*(LEFT(Before!$I$4:$I$1003,2)="EB"))+((Before!$K$4:$K$1003="V2")*(LEFT(Before!$J$4:$J$1003,2)="EB"))))</f>
        <v>0</v>
      </c>
      <c r="D102" s="109" t="n">
        <f>SUMPRODUCT((After!$H$4:$H$1003="SSDD")*(((After!$K$4:$K$1003="V1")*(LEFT(After!$I$4:$I$1003,2)="EB"))+((After!$K$4:$K$1003="V2")*(LEFT(After!$J$4:$J$1003,2)="EB"))))</f>
        <v>0</v>
      </c>
      <c r="F102" s="631" t="inlineStr">
        <is>
          <t>Sideswipe opposite direction crashes (EB striking vehicle)</t>
        </is>
      </c>
      <c r="S102" t="inlineStr">
        <is>
          <t>Lane departure crashes (EB at fault)</t>
        </is>
      </c>
    </row>
    <row r="103">
      <c r="C103" s="109" t="n">
        <f>SUMPRODUCT((Before!$H$4:$H$1003="SSDD")*(((Before!$K$4:$K$1003="V1")*(LEFT(Before!$I$4:$I$1003,2)="WB"))+((Before!$K$4:$K$1003="V2")*(LEFT(Before!$J$4:$J$1003,2)="WB"))))</f>
        <v>0</v>
      </c>
      <c r="D103" s="109" t="n">
        <f>SUMPRODUCT((After!$H$4:$H$1003="SSDD")*(((After!$K$4:$K$1003="V1")*(LEFT(After!$I$4:$I$1003,2)="WB"))+((After!$K$4:$K$1003="V2")*(LEFT(After!$J$4:$J$1003,2)="WB"))))</f>
        <v>0</v>
      </c>
      <c r="F103" s="631" t="inlineStr">
        <is>
          <t>Sideswipe opposite direction crashes (WB striking vehicle)</t>
        </is>
      </c>
      <c r="S103" t="inlineStr">
        <is>
          <t>Lane departure crashes (WB at fault)</t>
        </is>
      </c>
    </row>
    <row r="104">
      <c r="C104" s="109" t="n">
        <f>C105-SUM(C100:C103)</f>
        <v>0</v>
      </c>
      <c r="D104" s="109" t="n">
        <f>D105-SUM(D100:D103)</f>
        <v>0</v>
      </c>
      <c r="F104" s="631" t="inlineStr">
        <is>
          <t>Sideswipe opposite direction crashes (unclear direction striking vehicle)</t>
        </is>
      </c>
      <c r="S104" t="inlineStr">
        <is>
          <t>Lane departure crashes (fault unclear)</t>
        </is>
      </c>
    </row>
    <row r="105">
      <c r="C105" s="109" t="n">
        <f>COUNTIF(Before!$H$4:$H$1003,"SSDD")</f>
        <v>0</v>
      </c>
      <c r="D105" s="109" t="n">
        <f>COUNTIF(After!$H$4:$H$1003,"SSDD")</f>
        <v>0</v>
      </c>
      <c r="F105" s="631" t="inlineStr">
        <is>
          <t>Sideswipe opposite direction crashes (total)</t>
        </is>
      </c>
      <c r="S105" t="inlineStr">
        <is>
          <t>Lane departure crashes (total)</t>
        </is>
      </c>
    </row>
    <row r="106">
      <c r="S106" t="inlineStr">
        <is>
          <t>Target 1 crashes (NB at fault)</t>
        </is>
      </c>
    </row>
    <row r="107">
      <c r="B107" s="630" t="inlineStr">
        <is>
          <t>Overturn</t>
        </is>
      </c>
      <c r="C107" s="5" t="inlineStr">
        <is>
          <t>Before</t>
        </is>
      </c>
      <c r="D107" s="5" t="inlineStr">
        <is>
          <t>After</t>
        </is>
      </c>
      <c r="S107" t="inlineStr">
        <is>
          <t>Target 1 crashes (SB at fault)</t>
        </is>
      </c>
    </row>
    <row r="108">
      <c r="C108" s="109" t="n">
        <f>COUNTIFS(Before!$H$4:$H$1003,"Overturn",Before!$I$4:$I$1003,"NB*")</f>
        <v>0</v>
      </c>
      <c r="D108" s="109" t="n">
        <f>COUNTIFS(After!$H$4:$H$1003,"Overturn",After!$I$4:$I$1003,"NB*")</f>
        <v>0</v>
      </c>
      <c r="F108" s="631" t="inlineStr">
        <is>
          <t>Overturn crashes (NB)</t>
        </is>
      </c>
      <c r="S108" t="inlineStr">
        <is>
          <t>Target 1 crashes (EB at fault)</t>
        </is>
      </c>
    </row>
    <row r="109">
      <c r="C109" s="109" t="n">
        <f>COUNTIFS(Before!$H$4:$H$1003,"Overturn",Before!$I$4:$I$1003,"SB*")</f>
        <v>0</v>
      </c>
      <c r="D109" s="109" t="n">
        <f>COUNTIFS(After!$H$4:$H$1003,"Overturn",After!$I$4:$I$1003,"SB*")</f>
        <v>0</v>
      </c>
      <c r="F109" s="631" t="inlineStr">
        <is>
          <t>Overturn crashes (SB)</t>
        </is>
      </c>
      <c r="S109" t="inlineStr">
        <is>
          <t>Target 1 crashes (WB at fault)</t>
        </is>
      </c>
    </row>
    <row r="110">
      <c r="C110" s="109" t="n">
        <f>COUNTIFS(Before!$H$4:$H$1003,"Overturn",Before!$I$4:$I$1003,"EB*")</f>
        <v>0</v>
      </c>
      <c r="D110" s="109" t="n">
        <f>COUNTIFS(After!$H$4:$H$1003,"Overturn",After!$I$4:$I$1003,"EB*")</f>
        <v>0</v>
      </c>
      <c r="F110" s="631" t="inlineStr">
        <is>
          <t>Overturn crashes (EB)</t>
        </is>
      </c>
      <c r="S110" t="inlineStr">
        <is>
          <t>Target 1 crashes (fault unclear)</t>
        </is>
      </c>
    </row>
    <row r="111">
      <c r="C111" s="109" t="n">
        <f>COUNTIFS(Before!$H$4:$H$1003,"Overturn",Before!$I$4:$I$1003,"WB*")</f>
        <v>0</v>
      </c>
      <c r="D111" s="109" t="n">
        <f>COUNTIFS(After!$H$4:$H$1003,"Overturn",After!$I$4:$I$1003,"WB*")</f>
        <v>0</v>
      </c>
      <c r="F111" s="631" t="inlineStr">
        <is>
          <t>Overturn crashes (WB)</t>
        </is>
      </c>
      <c r="S111" t="inlineStr">
        <is>
          <t>Target 1 crashes (total)</t>
        </is>
      </c>
    </row>
    <row r="112">
      <c r="C112" s="109" t="n">
        <f>C113-SUM(C108:C111)</f>
        <v>0</v>
      </c>
      <c r="D112" s="109" t="n">
        <f>D113-SUM(D108:D111)</f>
        <v>0</v>
      </c>
      <c r="F112" s="631" t="inlineStr">
        <is>
          <t>Overturn crashes (unclear direction)</t>
        </is>
      </c>
      <c r="S112" t="inlineStr">
        <is>
          <t>Target 2 crashes (NB at fault)</t>
        </is>
      </c>
    </row>
    <row r="113">
      <c r="C113" s="109" t="n">
        <f>COUNTIF(Before!$H$4:$H$1003,"Overturn")</f>
        <v>0</v>
      </c>
      <c r="D113" s="109" t="n">
        <f>COUNTIF(After!$H$4:$H$1003,"Overturn")</f>
        <v>0</v>
      </c>
      <c r="F113" s="631" t="inlineStr">
        <is>
          <t>Overturn crashes (total)</t>
        </is>
      </c>
      <c r="S113" t="inlineStr">
        <is>
          <t>Target 2 crashes (SB at fault)</t>
        </is>
      </c>
    </row>
    <row r="114">
      <c r="S114" t="inlineStr">
        <is>
          <t>Target 2 crashes (EB at fault)</t>
        </is>
      </c>
    </row>
    <row r="115">
      <c r="B115" s="630" t="inlineStr">
        <is>
          <t>RE</t>
        </is>
      </c>
      <c r="C115" s="5" t="inlineStr">
        <is>
          <t>Before</t>
        </is>
      </c>
      <c r="D115" s="5" t="inlineStr">
        <is>
          <t>After</t>
        </is>
      </c>
      <c r="S115" t="inlineStr">
        <is>
          <t>Target 2 crashes (WB at fault)</t>
        </is>
      </c>
    </row>
    <row r="116">
      <c r="C116" s="109" t="n">
        <f>SUMPRODUCT((Before!$H$4:$H$1003="RE")*(((Before!$K$4:$K$1003="V1")*(LEFT(Before!$I$4:$I$1003,2)="NB"))+((Before!$K$4:$K$1003="V2")*(LEFT(Before!$J$4:$J$1003,2)="NB"))))</f>
        <v>0</v>
      </c>
      <c r="D116" s="109" t="n">
        <f>SUMPRODUCT((After!$H$4:$H$1003="RE")*(((After!$K$4:$K$1003="V1")*(LEFT(After!$I$4:$I$1003,2)="NB"))+((After!$K$4:$K$1003="V2")*(LEFT(After!$J$4:$J$1003,2)="NB"))))</f>
        <v>0</v>
      </c>
      <c r="F116" s="631" t="inlineStr">
        <is>
          <t>Rear end crashes (NB rear vehicle)</t>
        </is>
      </c>
      <c r="S116" t="inlineStr">
        <is>
          <t>Target 2 crashes (fault unclear)</t>
        </is>
      </c>
    </row>
    <row r="117">
      <c r="C117" s="109" t="n">
        <f>SUMPRODUCT((Before!$H$4:$H$1003="RE")*(((Before!$K$4:$K$1003="V1")*(LEFT(Before!$I$4:$I$1003,2)="SB"))+((Before!$K$4:$K$1003="V2")*(LEFT(Before!$J$4:$J$1003,2)="SB"))))</f>
        <v>0</v>
      </c>
      <c r="D117" s="109" t="n">
        <f>SUMPRODUCT((After!$H$4:$H$1003="RE")*(((After!$K$4:$K$1003="V1")*(LEFT(After!$I$4:$I$1003,2)="SB"))+((After!$K$4:$K$1003="V2")*(LEFT(After!$J$4:$J$1003,2)="SB"))))</f>
        <v>0</v>
      </c>
      <c r="F117" s="631" t="inlineStr">
        <is>
          <t>Rear end crashes (SB rear vehicle)</t>
        </is>
      </c>
      <c r="S117" t="inlineStr">
        <is>
          <t>Target 2 crashes (total)</t>
        </is>
      </c>
    </row>
    <row r="118">
      <c r="C118" s="109" t="n">
        <f>SUMPRODUCT((Before!$H$4:$H$1003="RE")*(((Before!$K$4:$K$1003="V1")*(LEFT(Before!$I$4:$I$1003,2)="EB"))+((Before!$K$4:$K$1003="V2")*(LEFT(Before!$J$4:$J$1003,2)="EB"))))</f>
        <v>0</v>
      </c>
      <c r="D118" s="109" t="n">
        <f>SUMPRODUCT((After!$H$4:$H$1003="RE")*(((After!$K$4:$K$1003="V1")*(LEFT(After!$I$4:$I$1003,2)="EB"))+((After!$K$4:$K$1003="V2")*(LEFT(After!$J$4:$J$1003,2)="EB"))))</f>
        <v>0</v>
      </c>
      <c r="F118" s="631" t="inlineStr">
        <is>
          <t>Rear end crashes (EB rear vehicle)</t>
        </is>
      </c>
      <c r="S118" t="inlineStr">
        <is>
          <t>Target 3 crashes (NB at fault)</t>
        </is>
      </c>
    </row>
    <row r="119">
      <c r="C119" s="109" t="n">
        <f>SUMPRODUCT((Before!$H$4:$H$1003="RE")*(((Before!$K$4:$K$1003="V1")*(LEFT(Before!$I$4:$I$1003,2)="WB"))+((Before!$K$4:$K$1003="V2")*(LEFT(Before!$J$4:$J$1003,2)="WB"))))</f>
        <v>1</v>
      </c>
      <c r="D119" s="109" t="n">
        <f>SUMPRODUCT((After!$H$4:$H$1003="RE")*(((After!$K$4:$K$1003="V1")*(LEFT(After!$I$4:$I$1003,2)="WB"))+((After!$K$4:$K$1003="V2")*(LEFT(After!$J$4:$J$1003,2)="WB"))))</f>
        <v>0</v>
      </c>
      <c r="F119" s="631" t="inlineStr">
        <is>
          <t>Rear end crashes (WB rear vehicle)</t>
        </is>
      </c>
      <c r="S119" t="inlineStr">
        <is>
          <t>Target 3 crashes (SB at fault)</t>
        </is>
      </c>
    </row>
    <row r="120">
      <c r="C120" s="109" t="n">
        <f>C121-SUM(C116:C119)</f>
        <v>0</v>
      </c>
      <c r="D120" s="109" t="n">
        <f>D121-SUM(D116:D119)</f>
        <v>0</v>
      </c>
      <c r="F120" s="631" t="inlineStr">
        <is>
          <t>Rear end crashes (unclear direction rear vehicle)</t>
        </is>
      </c>
      <c r="S120" t="inlineStr">
        <is>
          <t>Target 3 crashes (EB at fault)</t>
        </is>
      </c>
    </row>
    <row r="121">
      <c r="C121" s="109" t="n">
        <f>COUNTIF(Before!$H$4:$H$1003,"RE")</f>
        <v>1</v>
      </c>
      <c r="D121" s="109" t="n">
        <f>COUNTIF(After!$H$4:$H$1003,"RE")</f>
        <v>0</v>
      </c>
      <c r="F121" s="631" t="inlineStr">
        <is>
          <t>Rear end crashes (total)</t>
        </is>
      </c>
      <c r="S121" t="inlineStr">
        <is>
          <t>Target 3 crashes (WB at fault)</t>
        </is>
      </c>
    </row>
    <row r="122">
      <c r="S122" t="inlineStr">
        <is>
          <t>Target 3 crashes (fault unclear)</t>
        </is>
      </c>
    </row>
    <row r="123">
      <c r="C123" s="5" t="inlineStr">
        <is>
          <t>Before</t>
        </is>
      </c>
      <c r="D123" s="5" t="inlineStr">
        <is>
          <t>After</t>
        </is>
      </c>
      <c r="S123" t="inlineStr">
        <is>
          <t>Target 3 crashes (total)</t>
        </is>
      </c>
    </row>
    <row r="124">
      <c r="C124" s="109" t="n">
        <f>COUNTIF(Before!$H$4:$H$1003,"Ped")</f>
        <v>0</v>
      </c>
      <c r="D124" s="109" t="n">
        <f>COUNTIF(After!$H$4:$H$1003,"Ped")</f>
        <v>0</v>
      </c>
      <c r="F124" s="631" t="inlineStr">
        <is>
          <t>Pedestrian crashes</t>
        </is>
      </c>
      <c r="S124" t="inlineStr">
        <is>
          <t>All target crashes (NB at fault)</t>
        </is>
      </c>
    </row>
    <row r="125">
      <c r="C125" s="109" t="n">
        <f>COUNTIF(Before!$H$4:$H$1003,"Bike")</f>
        <v>0</v>
      </c>
      <c r="D125" s="109" t="n">
        <f>COUNTIF(After!$H$4:$H$1003,"Bike")</f>
        <v>0</v>
      </c>
      <c r="F125" s="631" t="inlineStr">
        <is>
          <t>Bicycle crashes</t>
        </is>
      </c>
      <c r="S125" t="inlineStr">
        <is>
          <t>All target crashes (SB at fault)</t>
        </is>
      </c>
    </row>
    <row r="126">
      <c r="C126" s="109" t="n">
        <f>COUNTIF(Before!$H$4:$H$1003,"Animal")</f>
        <v>0</v>
      </c>
      <c r="D126" s="109" t="n">
        <f>COUNTIF(After!$H$4:$H$1003,"Animal")</f>
        <v>0</v>
      </c>
      <c r="F126" s="631" t="inlineStr">
        <is>
          <t>Animal crashes</t>
        </is>
      </c>
      <c r="S126" t="inlineStr">
        <is>
          <t>All target crashes (EB at fault)</t>
        </is>
      </c>
    </row>
    <row r="127">
      <c r="C127" s="109" t="n">
        <f>COUNTIF(Before!$H$4:$H$1003,"Other")</f>
        <v>3</v>
      </c>
      <c r="D127" s="109" t="n">
        <f>COUNTIF(After!$H$4:$H$1003,"Other")</f>
        <v>0</v>
      </c>
      <c r="F127" s="631" t="inlineStr">
        <is>
          <t>Other crashes</t>
        </is>
      </c>
      <c r="S127" t="inlineStr">
        <is>
          <t>All target crashes (WB at fault)</t>
        </is>
      </c>
    </row>
    <row r="128">
      <c r="S128" t="inlineStr">
        <is>
          <t>All target crashes (fault unclear)</t>
        </is>
      </c>
    </row>
    <row r="129">
      <c r="S129" t="inlineStr">
        <is>
          <t>All target crashes (total)</t>
        </is>
      </c>
    </row>
    <row r="130">
      <c r="L130" t="inlineStr">
        <is>
          <t>Vehicle 1 lines use vehicle 1's approach; turning vehicle lines the vehicle making the turn; striking and rear vehicle lines the at-fault vehicle.</t>
        </is>
      </c>
      <c r="S130" t="inlineStr">
        <is>
          <t>Wet crashes</t>
        </is>
      </c>
    </row>
    <row r="131">
      <c r="L131" t="inlineStr">
        <is>
          <t>Frontal impact: Angle, LTSR, LTDR, RTSR, RTDR, HeadOn. Lane departure: RORR, RORL, RORS, Overturn.</t>
        </is>
      </c>
      <c r="S131" t="inlineStr">
        <is>
          <t>Night crashes</t>
        </is>
      </c>
    </row>
    <row r="132">
      <c r="L132" t="inlineStr">
        <is>
          <t>Wet: road condition 2 or 3. Night: light 4 to 6. Injury: K, A, B or C.</t>
        </is>
      </c>
      <c r="S132" t="inlineStr">
        <is>
          <t>Injury crashes</t>
        </is>
      </c>
    </row>
    <row r="133">
      <c r="S133" t="inlineStr">
        <is>
          <t>Avoidance maneuver crashes</t>
        </is>
      </c>
    </row>
    <row r="134">
      <c r="S134" t="inlineStr">
        <is>
          <t>Crashes with fault unclear</t>
        </is>
      </c>
    </row>
    <row r="135">
      <c r="S135" t="inlineStr">
        <is>
          <t>Target Crashes: Spring St At-Fault</t>
        </is>
      </c>
    </row>
    <row r="136">
      <c r="S136" t="inlineStr">
        <is>
          <t>Target Crashes: Main St At-Fault</t>
        </is>
      </c>
    </row>
    <row r="137">
      <c r="S137" t="inlineStr">
        <is>
          <t>Target Crashes: Failed to Yield</t>
        </is>
      </c>
    </row>
    <row r="138">
      <c r="S138" t="inlineStr">
        <is>
          <t>Target Crashes: Ran Stop Sign</t>
        </is>
      </c>
    </row>
    <row r="139">
      <c r="S139" t="inlineStr">
        <is>
          <t>Rear End Crashes</t>
        </is>
      </c>
    </row>
    <row r="140">
      <c r="S140" t="inlineStr">
        <is>
          <t>On-Street Parking Crashes</t>
        </is>
      </c>
    </row>
  </sheetData>
  <sheetProtection formatCells="0" formatColumns="0" formatRows="0"/>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582B9-035F-42DA-A15A-B3927F68F679}">
  <sheetPr codeName="Sheet14"/>
  <dimension ref="B1:BJ62"/>
  <sheetViews>
    <sheetView zoomScale="85" zoomScaleNormal="85" workbookViewId="0"/>
  </sheetViews>
  <sheetFormatPr defaultColWidth="9.15625" defaultRowHeight="14.4"/>
  <cols>
    <col min="1" max="1" width="9.15625" style="98"/>
    <col min="2" max="2" width="5.47265625" style="98" customWidth="1"/>
    <col min="3" max="3" width="79" style="98" customWidth="1"/>
    <col min="4" max="4" width="3.26171875" style="98" customWidth="1"/>
    <col min="5" max="5" width="9.15625" style="98"/>
    <col min="6" max="6" width="24.5234375" style="98" customWidth="1"/>
    <col min="7" max="7" width="3.47265625" style="98" customWidth="1"/>
    <col min="8" max="8" width="24" style="98" customWidth="1"/>
    <col min="9" max="9" width="112.734375" style="98" customWidth="1"/>
    <col min="10" max="10" width="5" style="98" customWidth="1"/>
    <col min="11" max="11" width="37.26171875" style="98" bestFit="1" customWidth="1"/>
    <col min="12" max="12" width="14.26171875" style="98" bestFit="1" customWidth="1"/>
    <col min="13" max="13" width="12" style="98" bestFit="1" customWidth="1"/>
    <col min="14" max="14" width="21.26171875" style="98" customWidth="1"/>
    <col min="15" max="15" width="9.15625" style="98"/>
    <col min="16" max="17" width="0" style="98" hidden="1" customWidth="1"/>
    <col min="18" max="18" width="3.15625" style="277" customWidth="1"/>
    <col min="19" max="19" width="8.734375"/>
    <col min="20" max="24" width="9.15625" customWidth="1"/>
    <col min="25" max="25" width="11.47265625" customWidth="1"/>
    <col min="26" max="29" width="9.15625" customWidth="1"/>
    <col min="30" max="30" width="11.47265625" customWidth="1"/>
    <col min="31" max="31" width="9.15625" customWidth="1"/>
    <col min="32" max="32" width="29.26171875" bestFit="1" customWidth="1"/>
    <col min="33" max="34" width="11.26171875" customWidth="1"/>
    <col min="35" max="35" width="22.5234375" customWidth="1"/>
    <col min="36" max="36" width="8.734375"/>
    <col min="37" max="37" width="32.734375" bestFit="1" customWidth="1"/>
    <col min="38" max="39" width="8.734375"/>
    <col min="40" max="40" width="21" customWidth="1"/>
    <col min="41" max="41" width="8.734375"/>
    <col min="42" max="42" width="29.26171875" bestFit="1" customWidth="1"/>
    <col min="43" max="44" width="12.734375" customWidth="1"/>
    <col min="45" max="45" width="21.5234375" customWidth="1"/>
    <col min="46" max="46" width="8.734375"/>
    <col min="47" max="47" width="31.26171875" bestFit="1" customWidth="1"/>
    <col min="48" max="49" width="11.47265625" customWidth="1"/>
    <col min="50" max="50" width="23.47265625" customWidth="1"/>
    <col min="51" max="51" width="8.734375"/>
    <col min="52" max="52" width="34.734375" bestFit="1" customWidth="1"/>
    <col min="53" max="54" width="12" customWidth="1"/>
    <col min="55" max="55" width="21.5234375" customWidth="1"/>
    <col min="56" max="56" width="8.734375"/>
    <col min="57" max="57" width="34.734375" bestFit="1" customWidth="1"/>
    <col min="58" max="59" width="12" bestFit="1" customWidth="1"/>
    <col min="60" max="60" width="23.47265625" customWidth="1"/>
    <col min="61" max="62" width="8.734375" customWidth="1"/>
    <col min="63" max="16384" width="9.15625" style="98"/>
  </cols>
  <sheetData>
    <row r="1" spans="2:60" ht="23.4" thickBot="1">
      <c r="S1" s="385" t="s">
        <v>366</v>
      </c>
      <c r="T1" s="385"/>
      <c r="U1" s="386"/>
      <c r="V1" s="386"/>
      <c r="W1" s="386"/>
      <c r="X1" s="386"/>
      <c r="Y1" s="386"/>
      <c r="Z1" s="386"/>
      <c r="AA1" s="386"/>
      <c r="AB1" s="386"/>
      <c r="AC1" s="386"/>
      <c r="AD1" s="386"/>
      <c r="AE1" s="386"/>
      <c r="AF1" s="386"/>
      <c r="AG1" s="386"/>
      <c r="AH1" s="386"/>
      <c r="AI1" s="386"/>
      <c r="AJ1" s="386"/>
      <c r="AK1" s="387"/>
    </row>
    <row r="2" spans="2:60" ht="15.6" thickBot="1">
      <c r="B2" s="780" t="s">
        <v>360</v>
      </c>
      <c r="C2" s="781"/>
      <c r="K2" s="98" t="s">
        <v>348</v>
      </c>
      <c r="T2" s="5"/>
      <c r="U2" s="804" t="s">
        <v>16</v>
      </c>
      <c r="V2" s="805"/>
      <c r="W2" s="805"/>
      <c r="X2" s="805"/>
      <c r="Y2" s="806"/>
      <c r="Z2" s="807" t="s">
        <v>17</v>
      </c>
      <c r="AA2" s="807"/>
      <c r="AB2" s="807"/>
      <c r="AC2" s="807"/>
      <c r="AD2" s="807"/>
      <c r="AF2" t="s">
        <v>338</v>
      </c>
      <c r="AU2" t="s">
        <v>339</v>
      </c>
    </row>
    <row r="3" spans="2:60" ht="14.4" customHeight="1" thickBot="1">
      <c r="B3" s="343" t="s">
        <v>45</v>
      </c>
      <c r="C3" s="344" t="s">
        <v>148</v>
      </c>
      <c r="E3" s="228" t="s">
        <v>359</v>
      </c>
      <c r="H3" s="345" t="s">
        <v>135</v>
      </c>
      <c r="I3" s="571" t="n">
        <f>Assumptions!D6</f>
        <v>41000076579</v>
      </c>
      <c r="K3" s="788" t="s">
        <v>28</v>
      </c>
      <c r="L3" s="790" t="s">
        <v>16</v>
      </c>
      <c r="M3" s="790" t="s">
        <v>17</v>
      </c>
      <c r="N3" s="792" t="s">
        <v>29</v>
      </c>
      <c r="T3" s="105" t="s">
        <v>20</v>
      </c>
      <c r="U3" s="105" t="s">
        <v>13</v>
      </c>
      <c r="V3" s="388" t="s">
        <v>47</v>
      </c>
      <c r="W3" s="389" t="s">
        <v>48</v>
      </c>
      <c r="X3" s="390" t="s">
        <v>334</v>
      </c>
      <c r="Y3" s="391" t="s">
        <v>64</v>
      </c>
      <c r="Z3" s="105" t="s">
        <v>13</v>
      </c>
      <c r="AA3" s="388" t="s">
        <v>47</v>
      </c>
      <c r="AB3" s="389" t="s">
        <v>48</v>
      </c>
      <c r="AC3" s="390" t="s">
        <v>334</v>
      </c>
      <c r="AD3" s="391" t="s">
        <v>64</v>
      </c>
      <c r="AF3" t="s">
        <v>335</v>
      </c>
      <c r="AK3" t="s">
        <v>336</v>
      </c>
      <c r="AP3" t="s">
        <v>337</v>
      </c>
      <c r="AU3" t="s">
        <v>335</v>
      </c>
      <c r="AZ3" t="s">
        <v>336</v>
      </c>
      <c r="BE3" t="s">
        <v>337</v>
      </c>
    </row>
    <row r="4" spans="2:60" ht="15.75" customHeight="1" thickBot="1">
      <c r="B4" s="777" t="s">
        <v>45</v>
      </c>
      <c r="C4" s="779" t="s">
        <v>707</v>
      </c>
      <c r="H4" s="347" t="s">
        <v>136</v>
      </c>
      <c r="I4" s="575" t="str">
        <f>Assumptions!D7</f>
        <v>05-20-62123 (TIP #HS-2005A)</v>
      </c>
      <c r="J4" s="269" t="s">
        <v>866</v>
      </c>
      <c r="K4" s="789"/>
      <c r="L4" s="791"/>
      <c r="M4" s="791"/>
      <c r="N4" s="793"/>
      <c r="T4" s="105" t="s">
        <v>9</v>
      </c>
      <c r="U4" s="34" t="n">
        <f>Before!AB4</f>
        <v>0</v>
      </c>
      <c r="V4" s="34" t="n">
        <f>Before!AC4</f>
        <v>0</v>
      </c>
      <c r="W4" s="34" t="n">
        <f>Before!AD4</f>
        <v>0</v>
      </c>
      <c r="X4" s="34" t="n">
        <f>Before!AE4</f>
        <v>0</v>
      </c>
      <c r="Y4" s="34" t="n">
        <f>Before!AF4</f>
        <v>0</v>
      </c>
      <c r="Z4" s="34" t="n">
        <f>After!AB4</f>
        <v>0</v>
      </c>
      <c r="AA4" s="34" t="n">
        <f>After!AC4</f>
        <v>0</v>
      </c>
      <c r="AB4" s="34" t="n">
        <f>After!AD4</f>
        <v>0</v>
      </c>
      <c r="AC4" s="34" t="n">
        <f>After!AE4</f>
        <v>0</v>
      </c>
      <c r="AD4" s="34" t="n">
        <f>After!AF4</f>
        <v>0</v>
      </c>
      <c r="AF4" s="797" t="s">
        <v>15</v>
      </c>
      <c r="AG4" s="799" t="s">
        <v>16</v>
      </c>
      <c r="AH4" s="799" t="s">
        <v>17</v>
      </c>
      <c r="AI4" s="801" t="s">
        <v>18</v>
      </c>
      <c r="AK4" s="797" t="s">
        <v>15</v>
      </c>
      <c r="AL4" s="799" t="s">
        <v>16</v>
      </c>
      <c r="AM4" s="799" t="s">
        <v>17</v>
      </c>
      <c r="AN4" s="801" t="s">
        <v>18</v>
      </c>
      <c r="AP4" s="797" t="s">
        <v>15</v>
      </c>
      <c r="AQ4" s="799" t="s">
        <v>16</v>
      </c>
      <c r="AR4" s="799" t="s">
        <v>17</v>
      </c>
      <c r="AS4" s="801" t="s">
        <v>18</v>
      </c>
      <c r="AU4" s="797" t="s">
        <v>15</v>
      </c>
      <c r="AV4" s="392" t="s">
        <v>16</v>
      </c>
      <c r="AW4" s="392" t="s">
        <v>17</v>
      </c>
      <c r="AX4" s="801" t="s">
        <v>18</v>
      </c>
      <c r="AZ4" s="797" t="s">
        <v>15</v>
      </c>
      <c r="BA4" s="392" t="s">
        <v>16</v>
      </c>
      <c r="BB4" s="392" t="s">
        <v>17</v>
      </c>
      <c r="BC4" s="801" t="s">
        <v>18</v>
      </c>
      <c r="BE4" s="797" t="s">
        <v>15</v>
      </c>
      <c r="BF4" s="392" t="s">
        <v>16</v>
      </c>
      <c r="BG4" s="392" t="s">
        <v>17</v>
      </c>
      <c r="BH4" s="801" t="s">
        <v>18</v>
      </c>
    </row>
    <row r="5" spans="2:60" ht="14.7" thickBot="1">
      <c r="B5" s="777"/>
      <c r="C5" s="779"/>
      <c r="E5" s="348" t="b">
        <v>1</v>
      </c>
      <c r="F5" s="349" t="s">
        <v>335</v>
      </c>
      <c r="H5" s="347" t="s">
        <v>155</v>
      </c>
      <c r="I5" s="575" t="str">
        <f>Assumptions!D8</f>
        <v>N/A</v>
      </c>
      <c r="J5" s="569" t="inlineStr">
        <is>
          <t>Target Crashes: Spring St At-Fault</t>
        </is>
      </c>
      <c r="K5" s="569" t="str">
        <f t="shared" ref="K5:K10" si="0">IF($J5="","",$J5)</f>
        <v>Target Crashes: Spring St At-Fault</v>
      </c>
      <c r="L5" s="570" t="n">
        <f>IFERROR(INDEX(Trends!$C:$C,MATCH($J5,Trends!$F:$F,0)),IFERROR(INDEX(Trends!$I:$I,MATCH($J5,Trends!$L:$L,0)),""))</f>
        <v>3</v>
      </c>
      <c r="M5" s="570" t="n">
        <f>IFERROR(INDEX(Trends!$D:$D,MATCH($J5,Trends!$F:$F,0)),IFERROR(INDEX(Trends!$J:$J,MATCH($J5,Trends!$L:$L,0)),""))</f>
        <v>2</v>
      </c>
      <c r="N5" s="110" t="n">
        <f t="shared" ref="N5:N10" si="1">IFERROR(IF(((M5-L5)/L5)&gt;1,"100+%",((M5-L5)/L5)), "n/a")</f>
        <v>-0.333333333333333</v>
      </c>
      <c r="T5" s="105" t="s">
        <v>10</v>
      </c>
      <c r="U5" s="34" t="n">
        <f>Before!AB5</f>
        <v>0</v>
      </c>
      <c r="V5" s="34" t="n">
        <f>Before!AC5</f>
        <v>0</v>
      </c>
      <c r="W5" s="34" t="n">
        <f>Before!AD5</f>
        <v>0</v>
      </c>
      <c r="X5" s="34" t="n">
        <f>Before!AE5</f>
        <v>0</v>
      </c>
      <c r="Y5" s="34" t="n">
        <f>Before!AF5</f>
        <v>0</v>
      </c>
      <c r="Z5" s="34" t="n">
        <f>After!AB5</f>
        <v>0</v>
      </c>
      <c r="AA5" s="34" t="n">
        <f>After!AC5</f>
        <v>0</v>
      </c>
      <c r="AB5" s="34" t="n">
        <f>After!AD5</f>
        <v>0</v>
      </c>
      <c r="AC5" s="34" t="n">
        <f>After!AE5</f>
        <v>0</v>
      </c>
      <c r="AD5" s="34" t="n">
        <f>After!AF5</f>
        <v>0</v>
      </c>
      <c r="AF5" s="798"/>
      <c r="AG5" s="800"/>
      <c r="AH5" s="800"/>
      <c r="AI5" s="802"/>
      <c r="AK5" s="798"/>
      <c r="AL5" s="800"/>
      <c r="AM5" s="800"/>
      <c r="AN5" s="802"/>
      <c r="AP5" s="798"/>
      <c r="AQ5" s="800"/>
      <c r="AR5" s="800"/>
      <c r="AS5" s="802"/>
      <c r="AU5" s="798"/>
      <c r="AV5" s="393" t="str">
        <f>"("&amp;TEXT(ROUND('Evaluation Set-up'!$F$9+'Evaluation Set-up'!$G$9/12, 2), "0.00")&amp;" years"&amp;")"</f>
        <v>(4.58 years)</v>
      </c>
      <c r="AW5" s="393" t="str">
        <f>"("&amp;TEXT(ROUND('Evaluation Set-up'!$F$11+'Evaluation Set-up'!$G$11/12, 2), "0.00")&amp;" years"&amp;")"</f>
        <v>(4.58 years)</v>
      </c>
      <c r="AX5" s="802"/>
      <c r="AZ5" s="798"/>
      <c r="BA5" s="393" t="str">
        <f>"("&amp;TEXT(ROUND('Evaluation Set-up'!$F$9+'Evaluation Set-up'!$G$9/12, 2), "0.00")&amp;" years"&amp;")"</f>
        <v>(4.58 years)</v>
      </c>
      <c r="BB5" s="393" t="str">
        <f>"("&amp;TEXT(ROUND('Evaluation Set-up'!$F$11+'Evaluation Set-up'!$G$11/12, 2), "0.00")&amp;" years"&amp;")"</f>
        <v>(4.58 years)</v>
      </c>
      <c r="BC5" s="802"/>
      <c r="BE5" s="798"/>
      <c r="BF5" s="393" t="str">
        <f>"("&amp;TEXT(ROUND('Evaluation Set-up'!$F$9+'Evaluation Set-up'!$G$9/12, 2), "0.00")&amp;" years"&amp;")"</f>
        <v>(4.58 years)</v>
      </c>
      <c r="BG5" s="393" t="str">
        <f>"("&amp;TEXT(ROUND('Evaluation Set-up'!$F$11+'Evaluation Set-up'!$G$11/12, 2), "0.00")&amp;" years"&amp;")"</f>
        <v>(4.58 years)</v>
      </c>
      <c r="BH5" s="802"/>
    </row>
    <row r="6" spans="2:60" ht="15.6" thickBot="1">
      <c r="B6" s="777"/>
      <c r="C6" s="779"/>
      <c r="E6" s="351" t="b">
        <v>0</v>
      </c>
      <c r="F6" s="230" t="s">
        <v>336</v>
      </c>
      <c r="H6" s="347" t="s">
        <v>140</v>
      </c>
      <c r="I6" s="575" t="str">
        <f>Assumptions!D9</f>
        <v>SR 1602 (Main Street) at SR 1207 (Spring Street)</v>
      </c>
      <c r="J6" s="569" t="inlineStr">
        <is>
          <t>Target Crashes: Main St At-Fault</t>
        </is>
      </c>
      <c r="K6" s="350" t="str">
        <f t="shared" si="0"/>
        <v>Target Crashes: Main St At-Fault</v>
      </c>
      <c r="L6" s="352" t="n">
        <f>IFERROR(INDEX(Trends!$C:$C,MATCH($J6,Trends!$F:$F,0)),IFERROR(INDEX(Trends!$I:$I,MATCH($J6,Trends!$L:$L,0)),""))</f>
        <v>0</v>
      </c>
      <c r="M6" s="352" t="n">
        <f>IFERROR(INDEX(Trends!$D:$D,MATCH($J6,Trends!$F:$F,0)),IFERROR(INDEX(Trends!$J:$J,MATCH($J6,Trends!$L:$L,0)),""))</f>
        <v>0</v>
      </c>
      <c r="N6" s="101" t="str">
        <f t="shared" si="1"/>
        <v>n/a</v>
      </c>
      <c r="T6" s="105" t="s">
        <v>8</v>
      </c>
      <c r="U6" s="34" t="n">
        <f>Before!AB6</f>
        <v>0</v>
      </c>
      <c r="V6" s="34" t="n">
        <f>Before!AC6</f>
        <v>0</v>
      </c>
      <c r="W6" s="34" t="n">
        <f>Before!AD6</f>
        <v>0</v>
      </c>
      <c r="X6" s="34" t="n">
        <f>Before!AE6</f>
        <v>0</v>
      </c>
      <c r="Y6" s="34" t="n">
        <f>Before!AF6</f>
        <v>0</v>
      </c>
      <c r="Z6" s="34" t="n">
        <f>After!AB6</f>
        <v>0</v>
      </c>
      <c r="AA6" s="34" t="n">
        <f>After!AC6</f>
        <v>0</v>
      </c>
      <c r="AB6" s="34" t="n">
        <f>After!AD6</f>
        <v>0</v>
      </c>
      <c r="AC6" s="34" t="n">
        <f>After!AE6</f>
        <v>0</v>
      </c>
      <c r="AD6" s="34" t="n">
        <f>After!AF6</f>
        <v>0</v>
      </c>
      <c r="AF6" s="394" t="s">
        <v>19</v>
      </c>
      <c r="AG6" s="395" t="n">
        <f>$U$9</f>
        <v>7</v>
      </c>
      <c r="AH6" s="396" t="n">
        <f>$Z$9</f>
        <v>3</v>
      </c>
      <c r="AI6" s="397" t="n">
        <f t="shared" ref="AI6:AI7" si="2">IFERROR(IF(((AH6-AG6)/AG6)&gt;1,"100+%",((AH6-AG6)/AG6)), "n/a")</f>
        <v>-0.571428571428571</v>
      </c>
      <c r="AK6" s="394" t="s">
        <v>19</v>
      </c>
      <c r="AL6" s="395" t="n">
        <f>$U$9</f>
        <v>7</v>
      </c>
      <c r="AM6" s="396" t="n">
        <f>$Z$9</f>
        <v>3</v>
      </c>
      <c r="AN6" s="397" t="n">
        <f t="shared" ref="AN6:AN7" si="3">IFERROR(IF(((AM6-AL6)/AL6)&gt;1,"100+%",((AM6-AL6)/AL6)), "n/a")</f>
        <v>-0.571428571428571</v>
      </c>
      <c r="AP6" s="394" t="s">
        <v>19</v>
      </c>
      <c r="AQ6" s="395" t="n">
        <f>$U$9</f>
        <v>7</v>
      </c>
      <c r="AR6" s="396" t="n">
        <f>$Z$9</f>
        <v>3</v>
      </c>
      <c r="AS6" s="397" t="n">
        <f t="shared" ref="AS6:AS7" si="4">IFERROR(IF(((AR6-AQ6)/AQ6)&gt;1,"100+%",((AR6-AQ6)/AQ6)), "n/a")</f>
        <v>-0.571428571428571</v>
      </c>
      <c r="AU6" s="394" t="s">
        <v>19</v>
      </c>
      <c r="AV6" s="395" t="n">
        <f>$U$9</f>
        <v>7</v>
      </c>
      <c r="AW6" s="396" t="n">
        <f>$Z$9</f>
        <v>3</v>
      </c>
      <c r="AX6" s="398" t="s">
        <v>343</v>
      </c>
      <c r="AZ6" s="394" t="s">
        <v>19</v>
      </c>
      <c r="BA6" s="395" t="n">
        <f>$U$9</f>
        <v>7</v>
      </c>
      <c r="BB6" s="396" t="n">
        <f>$Z$9</f>
        <v>3</v>
      </c>
      <c r="BC6" s="398" t="s">
        <v>343</v>
      </c>
      <c r="BE6" s="394" t="s">
        <v>19</v>
      </c>
      <c r="BF6" s="395" t="n">
        <f>$U$9</f>
        <v>7</v>
      </c>
      <c r="BG6" s="396" t="n">
        <f>$Z$9</f>
        <v>3</v>
      </c>
      <c r="BH6" s="398" t="s">
        <v>343</v>
      </c>
    </row>
    <row r="7" spans="2:60" ht="14.7" thickBot="1">
      <c r="B7" s="777" t="s">
        <v>45</v>
      </c>
      <c r="C7" s="779" t="s">
        <v>361</v>
      </c>
      <c r="E7" s="354" t="b">
        <v>0</v>
      </c>
      <c r="F7" s="355" t="s">
        <v>347</v>
      </c>
      <c r="H7" s="347" t="s">
        <v>157</v>
      </c>
      <c r="I7" s="575" t="str">
        <f>Assumptions!D10</f>
        <v>36.310027, -78.587328</v>
      </c>
      <c r="J7" s="569" t="inlineStr">
        <is>
          <t>Target Crashes: Failed to Yield</t>
        </is>
      </c>
      <c r="K7" s="350" t="str">
        <f t="shared" si="0"/>
        <v>Target Crashes: Failed to Yield</v>
      </c>
      <c r="L7" s="352" t="n">
        <f>IFERROR(INDEX(Trends!$C:$C,MATCH($J7,Trends!$F:$F,0)),IFERROR(INDEX(Trends!$I:$I,MATCH($J7,Trends!$L:$L,0)),""))</f>
        <v>2</v>
      </c>
      <c r="M7" s="352" t="n">
        <f>IFERROR(INDEX(Trends!$D:$D,MATCH($J7,Trends!$F:$F,0)),IFERROR(INDEX(Trends!$J:$J,MATCH($J7,Trends!$L:$L,0)),""))</f>
        <v>2</v>
      </c>
      <c r="N7" s="101" t="n">
        <f t="shared" si="1"/>
        <v>0</v>
      </c>
      <c r="T7" s="105" t="s">
        <v>3</v>
      </c>
      <c r="U7" s="34" t="n">
        <f>Before!AB7</f>
        <v>1</v>
      </c>
      <c r="V7" s="34" t="n">
        <f>Before!AC7</f>
        <v>0</v>
      </c>
      <c r="W7" s="34" t="n">
        <f>Before!AD7</f>
        <v>0</v>
      </c>
      <c r="X7" s="34" t="n">
        <f>Before!AE7</f>
        <v>0</v>
      </c>
      <c r="Y7" s="34" t="n">
        <f>Before!AF7</f>
        <v>0</v>
      </c>
      <c r="Z7" s="34" t="n">
        <f>After!AB7</f>
        <v>0</v>
      </c>
      <c r="AA7" s="34" t="n">
        <f>After!AC7</f>
        <v>0</v>
      </c>
      <c r="AB7" s="34" t="n">
        <f>After!AD7</f>
        <v>0</v>
      </c>
      <c r="AC7" s="34" t="n">
        <f>After!AE7</f>
        <v>0</v>
      </c>
      <c r="AD7" s="34" t="n">
        <f>After!AF7</f>
        <v>0</v>
      </c>
      <c r="AF7" s="394" t="s">
        <v>21</v>
      </c>
      <c r="AG7" s="399" t="n">
        <f>$U$10</f>
        <v>2.06</v>
      </c>
      <c r="AH7" s="399" t="n">
        <f>$Z$10</f>
        <v>1</v>
      </c>
      <c r="AI7" s="397" t="n">
        <f t="shared" si="2"/>
        <v>-0.514563106796117</v>
      </c>
      <c r="AK7" s="400" t="s">
        <v>21</v>
      </c>
      <c r="AL7" s="399" t="n">
        <f>$U$10</f>
        <v>2.06</v>
      </c>
      <c r="AM7" s="399" t="n">
        <f>$Z$10</f>
        <v>1</v>
      </c>
      <c r="AN7" s="397" t="n">
        <f t="shared" si="3"/>
        <v>-0.514563106796117</v>
      </c>
      <c r="AP7" s="394" t="s">
        <v>21</v>
      </c>
      <c r="AQ7" s="399" t="n">
        <f>$U$10</f>
        <v>2.06</v>
      </c>
      <c r="AR7" s="399" t="n">
        <f>$Z$10</f>
        <v>1</v>
      </c>
      <c r="AS7" s="397" t="n">
        <f t="shared" si="4"/>
        <v>-0.514563106796117</v>
      </c>
      <c r="AU7" s="394" t="s">
        <v>21</v>
      </c>
      <c r="AV7" s="399" t="n">
        <f>$U$10</f>
        <v>2.06</v>
      </c>
      <c r="AW7" s="399" t="n">
        <f>$Z$10</f>
        <v>1</v>
      </c>
      <c r="AX7" s="397" t="n">
        <f t="shared" ref="AX7:AX8" si="5">IFERROR(IF(((AW7-AV7)/AV7)&gt;1,"100+%",((AW7-AV7)/AV7)), "n/a")</f>
        <v>-0.514563106796117</v>
      </c>
      <c r="AZ7" s="400" t="s">
        <v>21</v>
      </c>
      <c r="BA7" s="399" t="n">
        <f>$U$10</f>
        <v>2.06</v>
      </c>
      <c r="BB7" s="399" t="n">
        <f>$Z$10</f>
        <v>1</v>
      </c>
      <c r="BC7" s="397" t="n">
        <f t="shared" ref="BC7:BC8" si="6">IFERROR(IF(((BB7-BA7)/BA7)&gt;1,"100+%",((BB7-BA7)/BA7)), "n/a")</f>
        <v>-0.514563106796117</v>
      </c>
      <c r="BE7" s="394" t="s">
        <v>21</v>
      </c>
      <c r="BF7" s="399" t="n">
        <f>$U$10</f>
        <v>2.06</v>
      </c>
      <c r="BG7" s="399" t="n">
        <f>$Z$10</f>
        <v>1</v>
      </c>
      <c r="BH7" s="397" t="n">
        <f t="shared" ref="BH7:BH8" si="7">IFERROR(IF(((BG7-BF7)/BF7)&gt;1,"100+%",((BG7-BF7)/BF7)), "n/a")</f>
        <v>-0.514563106796117</v>
      </c>
    </row>
    <row r="8" spans="2:60" ht="15" customHeight="1" thickBot="1">
      <c r="B8" s="777"/>
      <c r="C8" s="779"/>
      <c r="H8" s="347" t="s">
        <v>137</v>
      </c>
      <c r="I8" s="575" t="str">
        <f>Assumptions!D11</f>
        <v>Granville</v>
      </c>
      <c r="J8" s="569" t="inlineStr">
        <is>
          <t>Target Crashes: Ran Stop Sign</t>
        </is>
      </c>
      <c r="K8" s="350" t="str">
        <f t="shared" si="0"/>
        <v>Target Crashes: Ran Stop Sign</v>
      </c>
      <c r="L8" s="352" t="n">
        <f>IFERROR(INDEX(Trends!$C:$C,MATCH($J8,Trends!$F:$F,0)),IFERROR(INDEX(Trends!$I:$I,MATCH($J8,Trends!$L:$L,0)),""))</f>
        <v>1</v>
      </c>
      <c r="M8" s="352" t="n">
        <f>IFERROR(INDEX(Trends!$D:$D,MATCH($J8,Trends!$F:$F,0)),IFERROR(INDEX(Trends!$J:$J,MATCH($J8,Trends!$L:$L,0)),""))</f>
        <v>0</v>
      </c>
      <c r="N8" s="101" t="n">
        <f t="shared" si="1"/>
        <v>-1</v>
      </c>
      <c r="T8" s="105" t="s">
        <v>7</v>
      </c>
      <c r="U8" s="34" t="n">
        <f>Before!AB8</f>
        <v>6</v>
      </c>
      <c r="V8" s="34" t="n">
        <f>Before!AC8</f>
        <v>3</v>
      </c>
      <c r="W8" s="34" t="n">
        <f>Before!AD8</f>
        <v>0</v>
      </c>
      <c r="X8" s="34" t="n">
        <f>Before!AE8</f>
        <v>0</v>
      </c>
      <c r="Y8" s="34" t="n">
        <f>Before!AF8</f>
        <v>3</v>
      </c>
      <c r="Z8" s="34" t="n">
        <f>After!AB8</f>
        <v>3</v>
      </c>
      <c r="AA8" s="34" t="n">
        <f>After!AC8</f>
        <v>2</v>
      </c>
      <c r="AB8" s="34" t="n">
        <f>After!AD8</f>
        <v>0</v>
      </c>
      <c r="AC8" s="34" t="n">
        <f>After!AE8</f>
        <v>0</v>
      </c>
      <c r="AD8" s="34" t="n">
        <f>After!AF8</f>
        <v>2</v>
      </c>
      <c r="AF8" s="401"/>
      <c r="AG8" s="402"/>
      <c r="AH8" s="402"/>
      <c r="AI8" s="402"/>
      <c r="AK8" s="403"/>
      <c r="AL8" s="404"/>
      <c r="AM8" s="404"/>
      <c r="AN8" s="405"/>
      <c r="AP8" s="401"/>
      <c r="AQ8" s="402"/>
      <c r="AR8" s="402"/>
      <c r="AS8" s="402"/>
      <c r="AU8" s="406" t="s">
        <v>340</v>
      </c>
      <c r="AV8" s="407" t="n">
        <f>AV6/('Evaluation Set-up'!$F$9+'Evaluation Set-up'!$G$9/12)</f>
        <v>1.52727272727273</v>
      </c>
      <c r="AW8" s="407" t="n">
        <f>AW6/('Evaluation Set-up'!$F$11+'Evaluation Set-up'!$G$11/12)</f>
        <v>0.654545454545455</v>
      </c>
      <c r="AX8" s="408" t="n">
        <f t="shared" si="5"/>
        <v>-0.571428571428571</v>
      </c>
      <c r="AZ8" s="406" t="s">
        <v>340</v>
      </c>
      <c r="BA8" s="407" t="n">
        <f>BA6/('Evaluation Set-up'!$F$9+'Evaluation Set-up'!$G$9/12)</f>
        <v>1.52727272727273</v>
      </c>
      <c r="BB8" s="407" t="n">
        <f>BB6/('Evaluation Set-up'!$F$11+'Evaluation Set-up'!$G$11/12)</f>
        <v>0.654545454545455</v>
      </c>
      <c r="BC8" s="408" t="n">
        <f t="shared" si="6"/>
        <v>-0.571428571428571</v>
      </c>
      <c r="BE8" s="406" t="s">
        <v>340</v>
      </c>
      <c r="BF8" s="407" t="n">
        <f>BF6/('Evaluation Set-up'!$F$9+'Evaluation Set-up'!$G$9/12)</f>
        <v>1.52727272727273</v>
      </c>
      <c r="BG8" s="407" t="n">
        <f>BG6/('Evaluation Set-up'!$F$11+'Evaluation Set-up'!$G$11/12)</f>
        <v>0.654545454545455</v>
      </c>
      <c r="BH8" s="408" t="n">
        <f t="shared" si="7"/>
        <v>-0.571428571428571</v>
      </c>
    </row>
    <row r="9" spans="2:60" ht="14.7" thickBot="1">
      <c r="B9" s="777" t="s">
        <v>45</v>
      </c>
      <c r="C9" s="779" t="s">
        <v>362</v>
      </c>
      <c r="E9" s="228" t="s">
        <v>320</v>
      </c>
      <c r="H9" s="347" t="s">
        <v>138</v>
      </c>
      <c r="I9" s="575" t="str">
        <f>Assumptions!D12</f>
        <v>Oxford</v>
      </c>
      <c r="J9" s="569" t="inlineStr">
        <is>
          <t>Rear End Crashes</t>
        </is>
      </c>
      <c r="K9" s="350" t="str">
        <f t="shared" si="0"/>
        <v>Rear End Crashes</v>
      </c>
      <c r="L9" s="352" t="n">
        <f>IFERROR(INDEX(Trends!$C:$C,MATCH($J9,Trends!$F:$F,0)),IFERROR(INDEX(Trends!$I:$I,MATCH($J9,Trends!$L:$L,0)),""))</f>
        <v>1</v>
      </c>
      <c r="M9" s="352" t="n">
        <f>IFERROR(INDEX(Trends!$D:$D,MATCH($J9,Trends!$F:$F,0)),IFERROR(INDEX(Trends!$J:$J,MATCH($J9,Trends!$L:$L,0)),""))</f>
        <v>0</v>
      </c>
      <c r="N9" s="101" t="n">
        <f t="shared" si="1"/>
        <v>-1</v>
      </c>
      <c r="T9" s="105" t="s">
        <v>13</v>
      </c>
      <c r="U9" s="34" t="n">
        <f>Before!AB9</f>
        <v>7</v>
      </c>
      <c r="V9" s="34" t="n">
        <f>Before!AC9</f>
        <v>3</v>
      </c>
      <c r="W9" s="34" t="n">
        <f>Before!AD9</f>
        <v>0</v>
      </c>
      <c r="X9" s="34" t="n">
        <f>Before!AE9</f>
        <v>0</v>
      </c>
      <c r="Y9" s="34" t="n">
        <f>Before!AF9</f>
        <v>3</v>
      </c>
      <c r="Z9" s="34" t="n">
        <f>After!AB9</f>
        <v>3</v>
      </c>
      <c r="AA9" s="34" t="n">
        <f>After!AC9</f>
        <v>2</v>
      </c>
      <c r="AB9" s="34" t="n">
        <f>After!AD9</f>
        <v>0</v>
      </c>
      <c r="AC9" s="34" t="n">
        <f>After!AE9</f>
        <v>0</v>
      </c>
      <c r="AD9" s="34" t="n">
        <f>After!AF9</f>
        <v>2</v>
      </c>
      <c r="AF9" s="394" t="s">
        <v>22</v>
      </c>
      <c r="AG9" s="409" t="n">
        <f>$V$9</f>
        <v>3</v>
      </c>
      <c r="AH9" s="396" t="n">
        <f>$AA$9</f>
        <v>2</v>
      </c>
      <c r="AI9" s="397" t="n">
        <f t="shared" ref="AI9:AI10" si="8">IFERROR(IF(((AH9-AG9)/AG9)&gt;1,"100+%",((AH9-AG9)/AG9)), "n/a")</f>
        <v>-0.333333333333333</v>
      </c>
      <c r="AK9" s="410" t="s">
        <v>63</v>
      </c>
      <c r="AL9" s="411" t="n">
        <f>Y9</f>
        <v>3</v>
      </c>
      <c r="AM9" s="412" t="n">
        <f>AD9</f>
        <v>2</v>
      </c>
      <c r="AN9" s="397" t="n">
        <f t="shared" ref="AN9:AN10" si="9">IFERROR(IF(((AM9-AL9)/AL9)&gt;1,"100+%",((AM9-AL9)/AL9)), "n/a")</f>
        <v>-0.333333333333333</v>
      </c>
      <c r="AP9" s="394" t="s">
        <v>22</v>
      </c>
      <c r="AQ9" s="409" t="n">
        <f>Y9</f>
        <v>3</v>
      </c>
      <c r="AR9" s="396" t="n">
        <f>AD9</f>
        <v>2</v>
      </c>
      <c r="AS9" s="397" t="n">
        <f t="shared" ref="AS9:AS10" si="10">IFERROR(IF(((AR9-AQ9)/AQ9)&gt;1,"100+%",((AR9-AQ9)/AQ9)), "n/a")</f>
        <v>-0.333333333333333</v>
      </c>
      <c r="AU9" s="401"/>
      <c r="AV9" s="402"/>
      <c r="AW9" s="402"/>
      <c r="AX9" s="402"/>
      <c r="AZ9" s="403"/>
      <c r="BA9" s="404"/>
      <c r="BB9" s="404"/>
      <c r="BC9" s="405"/>
      <c r="BE9" s="401"/>
      <c r="BF9" s="402"/>
      <c r="BG9" s="402"/>
      <c r="BH9" s="402"/>
    </row>
    <row r="10" spans="2:60" ht="15.6" thickBot="1">
      <c r="B10" s="777"/>
      <c r="C10" s="779"/>
      <c r="E10" s="348" t="b">
        <v>1</v>
      </c>
      <c r="F10" s="349" t="s">
        <v>321</v>
      </c>
      <c r="H10" s="356" t="s">
        <v>139</v>
      </c>
      <c r="I10" s="576">
        <f>Assumptions!D13</f>
        <v>5</v>
      </c>
      <c r="J10" s="569" t="inlineStr">
        <is>
          <t>On-Street Parking Crashes</t>
        </is>
      </c>
      <c r="K10" s="357" t="str">
        <f t="shared" si="0"/>
        <v>On-Street Parking Crashes</v>
      </c>
      <c r="L10" s="358" t="n">
        <f>IFERROR(INDEX(Trends!$C:$C,MATCH($J10,Trends!$F:$F,0)),IFERROR(INDEX(Trends!$I:$I,MATCH($J10,Trends!$L:$L,0)),""))</f>
        <v>3</v>
      </c>
      <c r="M10" s="358" t="n">
        <f>IFERROR(INDEX(Trends!$D:$D,MATCH($J10,Trends!$F:$F,0)),IFERROR(INDEX(Trends!$J:$J,MATCH($J10,Trends!$L:$L,0)),""))</f>
        <v>0</v>
      </c>
      <c r="N10" s="102" t="n">
        <f t="shared" si="1"/>
        <v>-1</v>
      </c>
      <c r="T10" s="105" t="s">
        <v>14</v>
      </c>
      <c r="U10" s="413" t="n">
        <f>ROUND(Before!AB10,2)</f>
        <v>2.06</v>
      </c>
      <c r="V10" s="413" t="n">
        <f>ROUND(Before!AC10,2)</f>
        <v>1</v>
      </c>
      <c r="W10" s="413" t="n">
        <f>ROUND(Before!AD10,2)</f>
        <v>0</v>
      </c>
      <c r="X10" s="413" t="n">
        <f>ROUND(Before!AE10,2)</f>
        <v>0</v>
      </c>
      <c r="Y10" s="413" t="n">
        <f>ROUND(Before!AF10,2)</f>
        <v>1</v>
      </c>
      <c r="Z10" s="413" t="n">
        <f>ROUND(After!AB10,2)</f>
        <v>1</v>
      </c>
      <c r="AA10" s="413" t="n">
        <f>ROUND(After!AC10,2)</f>
        <v>1</v>
      </c>
      <c r="AB10" s="413" t="n">
        <f>ROUND(After!AD10,2)</f>
        <v>0</v>
      </c>
      <c r="AC10" s="413" t="n">
        <f>ROUND(After!AE10,2)</f>
        <v>0</v>
      </c>
      <c r="AD10" s="413" t="n">
        <f>ROUND(After!AF10,2)</f>
        <v>1</v>
      </c>
      <c r="AF10" s="394" t="s">
        <v>23</v>
      </c>
      <c r="AG10" s="399" t="n">
        <f>V10</f>
        <v>1</v>
      </c>
      <c r="AH10" s="399" t="n">
        <f>$AA$10</f>
        <v>1</v>
      </c>
      <c r="AI10" s="397" t="n">
        <f t="shared" si="8"/>
        <v>0</v>
      </c>
      <c r="AK10" s="400" t="s">
        <v>65</v>
      </c>
      <c r="AL10" s="414" t="n">
        <f>Y10</f>
        <v>1</v>
      </c>
      <c r="AM10" s="415" t="n">
        <f>AD10</f>
        <v>1</v>
      </c>
      <c r="AN10" s="397" t="n">
        <f t="shared" si="9"/>
        <v>0</v>
      </c>
      <c r="AP10" s="394" t="s">
        <v>23</v>
      </c>
      <c r="AQ10" s="416" t="n">
        <f>Y10</f>
        <v>1</v>
      </c>
      <c r="AR10" s="399" t="n">
        <f>AD10</f>
        <v>1</v>
      </c>
      <c r="AS10" s="397" t="n">
        <f t="shared" si="10"/>
        <v>0</v>
      </c>
      <c r="AU10" s="394" t="s">
        <v>22</v>
      </c>
      <c r="AV10" s="409" t="n">
        <f>$V$9</f>
        <v>3</v>
      </c>
      <c r="AW10" s="396" t="n">
        <f>$AA$9</f>
        <v>2</v>
      </c>
      <c r="AX10" s="398" t="s">
        <v>343</v>
      </c>
      <c r="AZ10" s="410" t="s">
        <v>63</v>
      </c>
      <c r="BA10" s="411" t="n">
        <f>Y9</f>
        <v>3</v>
      </c>
      <c r="BB10" s="412" t="n">
        <f>AD9</f>
        <v>2</v>
      </c>
      <c r="BC10" s="398" t="s">
        <v>343</v>
      </c>
      <c r="BE10" s="394" t="s">
        <v>22</v>
      </c>
      <c r="BF10" s="409" t="n">
        <f>Y9</f>
        <v>3</v>
      </c>
      <c r="BG10" s="396" t="n">
        <f>AD9</f>
        <v>2</v>
      </c>
      <c r="BH10" s="398" t="s">
        <v>343</v>
      </c>
    </row>
    <row r="11" spans="2:60" ht="15.75" customHeight="1" thickBot="1">
      <c r="B11" s="777"/>
      <c r="C11" s="779"/>
      <c r="E11" s="354" t="b">
        <v>0</v>
      </c>
      <c r="F11" s="355" t="s">
        <v>322</v>
      </c>
      <c r="I11" s="359"/>
      <c r="J11" t="s">
        <v>867</v>
      </c>
      <c r="AF11" s="401"/>
      <c r="AG11" s="402"/>
      <c r="AH11" s="402"/>
      <c r="AI11" s="402"/>
      <c r="AK11" s="403"/>
      <c r="AL11" s="404"/>
      <c r="AM11" s="404"/>
      <c r="AN11" s="405"/>
      <c r="AP11" s="401"/>
      <c r="AQ11" s="402"/>
      <c r="AR11" s="402"/>
      <c r="AS11" s="402"/>
      <c r="AU11" s="394" t="s">
        <v>23</v>
      </c>
      <c r="AV11" s="399" t="n">
        <f>V10</f>
        <v>1</v>
      </c>
      <c r="AW11" s="399" t="n">
        <f>$AA$10</f>
        <v>1</v>
      </c>
      <c r="AX11" s="397" t="n">
        <f t="shared" ref="AX11:AX12" si="11">IFERROR(IF(((AW11-AV11)/AV11)&gt;1,"100+%",((AW11-AV11)/AV11)), "n/a")</f>
        <v>0</v>
      </c>
      <c r="AZ11" s="400" t="s">
        <v>65</v>
      </c>
      <c r="BA11" s="414" t="n">
        <f>Y10</f>
        <v>1</v>
      </c>
      <c r="BB11" s="415" t="n">
        <f>AD10</f>
        <v>1</v>
      </c>
      <c r="BC11" s="397" t="n">
        <f t="shared" ref="BC11:BC12" si="12">IFERROR(IF(((BB11-BA11)/BA11)&gt;1,"100+%",((BB11-BA11)/BA11)), "n/a")</f>
        <v>0</v>
      </c>
      <c r="BE11" s="394" t="s">
        <v>23</v>
      </c>
      <c r="BF11" s="416" t="n">
        <f>Y10</f>
        <v>1</v>
      </c>
      <c r="BG11" s="399" t="n">
        <f>AD10</f>
        <v>1</v>
      </c>
      <c r="BH11" s="397" t="n">
        <f t="shared" ref="BH11:BH12" si="13">IFERROR(IF(((BG11-BF11)/BF11)&gt;1,"100+%",((BG11-BF11)/BF11)), "n/a")</f>
        <v>0</v>
      </c>
    </row>
    <row r="12" spans="2:60" ht="29.1" thickBot="1">
      <c r="B12" s="777" t="s">
        <v>45</v>
      </c>
      <c r="C12" s="779" t="s">
        <v>363</v>
      </c>
      <c r="H12" s="345" t="s">
        <v>141</v>
      </c>
      <c r="I12" s="571" t="str">
        <f>Assumptions!D14</f>
        <v>Construct a Mini-Roundabout including pedestrian upgrades</v>
      </c>
      <c r="K12" s="98" t="s">
        <v>349</v>
      </c>
      <c r="AF12" s="394" t="str">
        <f>"Volume ("&amp;'Evaluation Set-up'!$N$5&amp;", "&amp;'Evaluation Set-up'!$N$6&amp;")"</f>
        <v>Volume (2019, 2025)</v>
      </c>
      <c r="AG12" s="417" t="n">
        <f>'Evaluation Set-up'!$R$5</f>
        <v>5100</v>
      </c>
      <c r="AH12" s="417" t="n">
        <f>'Evaluation Set-up'!$R$6</f>
        <v>4300</v>
      </c>
      <c r="AI12" s="397" t="n">
        <f t="shared" ref="AI12" si="14">IFERROR(IF(((AH12-AG12)/AG12)&gt;1,"100+%",((AH12-AG12)/AG12)), "n/a")</f>
        <v>-0.156862745098039</v>
      </c>
      <c r="AK12" s="410" t="s">
        <v>729</v>
      </c>
      <c r="AL12" s="411" t="n">
        <f>V9</f>
        <v>3</v>
      </c>
      <c r="AM12" s="412" t="n">
        <f>AA9</f>
        <v>2</v>
      </c>
      <c r="AN12" s="397" t="n">
        <f t="shared" ref="AN12:AN13" si="15">IFERROR(IF(((AM12-AL12)/AL12)&gt;1,"100+%",((AM12-AL12)/AL12)), "n/a")</f>
        <v>-0.333333333333333</v>
      </c>
      <c r="AP12" s="394" t="str">
        <f>"Volume ("&amp;'Evaluation Set-up'!$N$5&amp;", "&amp;'Evaluation Set-up'!$N$6&amp;")"</f>
        <v>Volume (2019, 2025)</v>
      </c>
      <c r="AQ12" s="417" t="n">
        <f>'Evaluation Set-up'!$R$5</f>
        <v>5100</v>
      </c>
      <c r="AR12" s="417" t="n">
        <f>'Evaluation Set-up'!$R$6</f>
        <v>4300</v>
      </c>
      <c r="AS12" s="397" t="n">
        <f t="shared" ref="AS12" si="16">IFERROR(IF(((AR12-AQ12)/AQ12)&gt;1,"100+%",((AR12-AQ12)/AQ12)), "n/a")</f>
        <v>-0.156862745098039</v>
      </c>
      <c r="AU12" s="406" t="s">
        <v>341</v>
      </c>
      <c r="AV12" s="407" t="n">
        <f>AV10/('Evaluation Set-up'!$F$9+'Evaluation Set-up'!$G$9/12)</f>
        <v>0.654545454545455</v>
      </c>
      <c r="AW12" s="407" t="n">
        <f>AW10/('Evaluation Set-up'!$F$11+'Evaluation Set-up'!$G$11/12)</f>
        <v>0.436363636363636</v>
      </c>
      <c r="AX12" s="408" t="n">
        <f t="shared" si="11"/>
        <v>-0.333333333333333</v>
      </c>
      <c r="AZ12" s="406" t="s">
        <v>345</v>
      </c>
      <c r="BA12" s="407" t="n">
        <f>BA10/('Evaluation Set-up'!$F$9+'Evaluation Set-up'!$G$9/12)</f>
        <v>0.654545454545455</v>
      </c>
      <c r="BB12" s="407" t="n">
        <f>BB10/('Evaluation Set-up'!$F$11+'Evaluation Set-up'!$G$11/12)</f>
        <v>0.436363636363636</v>
      </c>
      <c r="BC12" s="408" t="n">
        <f t="shared" si="12"/>
        <v>-0.333333333333333</v>
      </c>
      <c r="BE12" s="406" t="s">
        <v>345</v>
      </c>
      <c r="BF12" s="407" t="n">
        <f>BF10/('Evaluation Set-up'!$F$9+'Evaluation Set-up'!$G$9/12)</f>
        <v>0.654545454545455</v>
      </c>
      <c r="BG12" s="407" t="n">
        <f>BG10/('Evaluation Set-up'!$F$11+'Evaluation Set-up'!$G$11/12)</f>
        <v>0.436363636363636</v>
      </c>
      <c r="BH12" s="408" t="n">
        <f t="shared" si="13"/>
        <v>-0.333333333333333</v>
      </c>
    </row>
    <row r="13" spans="2:60" ht="15" customHeight="1" thickBot="1">
      <c r="B13" s="777"/>
      <c r="C13" s="779"/>
      <c r="E13" s="664" t="s">
        <v>42</v>
      </c>
      <c r="F13" s="665"/>
      <c r="H13" s="347" t="s">
        <v>156</v>
      </c>
      <c r="I13" s="572" t="n">
        <f>Assumptions!D16</f>
        <v>278000</v>
      </c>
      <c r="K13" s="786" t="s">
        <v>28</v>
      </c>
      <c r="L13" s="432" t="s">
        <v>16</v>
      </c>
      <c r="M13" s="432" t="s">
        <v>17</v>
      </c>
      <c r="N13" s="784" t="s">
        <v>29</v>
      </c>
      <c r="AF13" s="418"/>
      <c r="AG13" s="419"/>
      <c r="AH13" s="419"/>
      <c r="AI13" s="420"/>
      <c r="AK13" s="400" t="s">
        <v>730</v>
      </c>
      <c r="AL13" s="421" t="n">
        <f>V10</f>
        <v>1</v>
      </c>
      <c r="AM13" s="421" t="n">
        <f>AA10</f>
        <v>1</v>
      </c>
      <c r="AN13" s="397" t="n">
        <f t="shared" si="15"/>
        <v>0</v>
      </c>
      <c r="AP13" s="418"/>
      <c r="AQ13" s="419"/>
      <c r="AR13" s="419"/>
      <c r="AS13" s="420"/>
      <c r="AU13" s="401"/>
      <c r="AV13" s="402"/>
      <c r="AW13" s="402"/>
      <c r="AX13" s="402"/>
      <c r="AZ13" s="403"/>
      <c r="BA13" s="404"/>
      <c r="BB13" s="404"/>
      <c r="BC13" s="405"/>
      <c r="BE13" s="401"/>
      <c r="BF13" s="402"/>
      <c r="BG13" s="402"/>
      <c r="BH13" s="402"/>
    </row>
    <row r="14" spans="2:60" ht="15" customHeight="1" thickBot="1">
      <c r="B14" s="777"/>
      <c r="C14" s="779"/>
      <c r="E14" s="666" t="s">
        <v>38</v>
      </c>
      <c r="F14" s="667"/>
      <c r="H14" s="356" t="s">
        <v>158</v>
      </c>
      <c r="I14" s="573" t="n">
        <f>Assumptions!D17</f>
        <v>44545</v>
      </c>
      <c r="K14" s="787"/>
      <c r="L14" s="433" t="str">
        <f>"("&amp;TEXT(ROUND('Evaluation Set-up'!$F$9+'Evaluation Set-up'!$G$9/12, 2), "0.00")&amp;" years"&amp;")"</f>
        <v>(4.58 years)</v>
      </c>
      <c r="M14" s="433" t="str">
        <f>"("&amp;TEXT(ROUND('Evaluation Set-up'!$F$11+'Evaluation Set-up'!$G$11/12, 2), "0.00")&amp;" years"&amp;")"</f>
        <v>(4.58 years)</v>
      </c>
      <c r="N14" s="785"/>
      <c r="AF14" s="797" t="s">
        <v>24</v>
      </c>
      <c r="AG14" s="799" t="s">
        <v>16</v>
      </c>
      <c r="AH14" s="799" t="s">
        <v>17</v>
      </c>
      <c r="AI14" s="801" t="s">
        <v>25</v>
      </c>
      <c r="AK14" s="403"/>
      <c r="AL14" s="422"/>
      <c r="AM14" s="422"/>
      <c r="AN14" s="423"/>
      <c r="AP14" s="797" t="s">
        <v>24</v>
      </c>
      <c r="AQ14" s="799" t="s">
        <v>16</v>
      </c>
      <c r="AR14" s="799" t="s">
        <v>17</v>
      </c>
      <c r="AS14" s="801" t="s">
        <v>25</v>
      </c>
      <c r="AU14" s="394" t="str">
        <f>"Volume ("&amp;'Evaluation Set-up'!$N$5&amp;", "&amp;'Evaluation Set-up'!$N$6&amp;")"</f>
        <v>Volume (2019, 2025)</v>
      </c>
      <c r="AV14" s="417" t="n">
        <f>'Evaluation Set-up'!$R$5</f>
        <v>5100</v>
      </c>
      <c r="AW14" s="417" t="n">
        <f>'Evaluation Set-up'!$R$6</f>
        <v>4300</v>
      </c>
      <c r="AX14" s="397" t="n">
        <f t="shared" ref="AX14" si="17">IFERROR(IF(((AW14-AV14)/AV14)&gt;1,"100+%",((AW14-AV14)/AV14)), "n/a")</f>
        <v>-0.156862745098039</v>
      </c>
      <c r="AZ14" s="410" t="s">
        <v>729</v>
      </c>
      <c r="BA14" s="411" t="n">
        <f>V9</f>
        <v>3</v>
      </c>
      <c r="BB14" s="412" t="n">
        <f>AA9</f>
        <v>2</v>
      </c>
      <c r="BC14" s="398" t="s">
        <v>343</v>
      </c>
      <c r="BE14" s="394" t="str">
        <f>"Volume ("&amp;'Evaluation Set-up'!$N$5&amp;", "&amp;'Evaluation Set-up'!$N$6&amp;")"</f>
        <v>Volume (2019, 2025)</v>
      </c>
      <c r="BF14" s="417" t="n">
        <f>'Evaluation Set-up'!$R$5</f>
        <v>5100</v>
      </c>
      <c r="BG14" s="417" t="n">
        <f>'Evaluation Set-up'!$R$6</f>
        <v>4300</v>
      </c>
      <c r="BH14" s="397" t="n">
        <f t="shared" ref="BH14" si="18">IFERROR(IF(((BG14-BF14)/BF14)&gt;1,"100+%",((BG14-BF14)/BF14)), "n/a")</f>
        <v>-0.156862745098039</v>
      </c>
    </row>
    <row r="15" spans="2:60" ht="15.75" customHeight="1" thickBot="1">
      <c r="B15" s="777" t="s">
        <v>45</v>
      </c>
      <c r="C15" s="779" t="s">
        <v>708</v>
      </c>
      <c r="E15" s="782" t="s">
        <v>331</v>
      </c>
      <c r="F15" s="783"/>
      <c r="I15" s="359"/>
      <c r="K15" s="371" t="str">
        <f t="shared" ref="K15:K20" si="19">K5</f>
        <v>Target Crashes: Spring St At-Fault</v>
      </c>
      <c r="L15" s="372" t="str">
        <f>ROUND(L5/('Evaluation Set-up'!$F$9+'Evaluation Set-up'!$G$9/12),2)&amp;" cpy ("&amp;L5&amp;")"</f>
        <v>0.65 cpy (3)</v>
      </c>
      <c r="M15" s="372" t="str">
        <f>ROUND(M5/('Evaluation Set-up'!$F$11+'Evaluation Set-up'!$G$11/12),2)&amp;" cpy ("&amp;M5&amp;")"</f>
        <v>0.44 cpy (2)</v>
      </c>
      <c r="N15" s="373" t="n">
        <f>IFERROR(IF((((M5/('Evaluation Set-up'!$F$11+'Evaluation Set-up'!$G$11/12))-(L5/('Evaluation Set-up'!$F$9+'Evaluation Set-up'!$G$9/12)))/(L5/('Evaluation Set-up'!$F$9+'Evaluation Set-up'!$G$9/12)))&gt;1,"100+%",(((M5/('Evaluation Set-up'!$F$11+'Evaluation Set-up'!$G$11/12))-(L5/('Evaluation Set-up'!$F$9+'Evaluation Set-up'!$G$9/12)))/(L5/('Evaluation Set-up'!$F$9+'Evaluation Set-up'!$G$9/12)))), "n/a")</f>
        <v>-0.333333333333333</v>
      </c>
      <c r="AF15" s="798"/>
      <c r="AG15" s="800"/>
      <c r="AH15" s="800"/>
      <c r="AI15" s="802"/>
      <c r="AK15" s="410" t="s">
        <v>731</v>
      </c>
      <c r="AL15" s="411" t="n">
        <f>W9</f>
        <v>0</v>
      </c>
      <c r="AM15" s="412" t="n">
        <f>AB9</f>
        <v>0</v>
      </c>
      <c r="AN15" s="424" t="str">
        <f>IFERROR((AM15-AL15)/AL15, "n/a")</f>
        <v>n/a</v>
      </c>
      <c r="AP15" s="798"/>
      <c r="AQ15" s="800"/>
      <c r="AR15" s="800"/>
      <c r="AS15" s="802"/>
      <c r="AU15" s="418"/>
      <c r="AV15" s="419"/>
      <c r="AW15" s="419"/>
      <c r="AX15" s="420"/>
      <c r="AZ15" s="400" t="s">
        <v>730</v>
      </c>
      <c r="BA15" s="421" t="n">
        <f>V10</f>
        <v>1</v>
      </c>
      <c r="BB15" s="421" t="n">
        <f>AA10</f>
        <v>1</v>
      </c>
      <c r="BC15" s="397" t="n">
        <f t="shared" ref="BC15:BC16" si="20">IFERROR(IF(((BB15-BA15)/BA15)&gt;1,"100+%",((BB15-BA15)/BA15)), "n/a")</f>
        <v>0</v>
      </c>
      <c r="BE15" s="418"/>
      <c r="BF15" s="419"/>
      <c r="BG15" s="419"/>
      <c r="BH15" s="420"/>
    </row>
    <row r="16" spans="2:60" ht="14.7" thickBot="1">
      <c r="B16" s="777"/>
      <c r="C16" s="779"/>
      <c r="H16" s="360" t="s">
        <v>320</v>
      </c>
      <c r="I16" s="597" t="str">
        <f>IF(E10,"Treatment data consists of all crashes within "&amp;Assumptions!D19&amp;" ft of study intersection",IF(E11,"Treatment data consists of bike and ped crashes within "&amp;Assumptions!D19&amp;" ft of study intersection",""))</f>
        <v>Treatment data consists of all crashes within 150 ft of study intersection</v>
      </c>
      <c r="K16" s="374" t="str">
        <f t="shared" si="19"/>
        <v>Target Crashes: Main St At-Fault</v>
      </c>
      <c r="L16" s="375" t="str">
        <f>ROUND(L6/('Evaluation Set-up'!$F$9+'Evaluation Set-up'!$G$9/12),2)&amp;" cpy ("&amp;L6&amp;")"</f>
        <v>0 cpy (0)</v>
      </c>
      <c r="M16" s="375" t="str">
        <f>ROUND(M6/('Evaluation Set-up'!$F$11+'Evaluation Set-up'!$G$11/12),2)&amp;" cpy ("&amp;M6&amp;")"</f>
        <v>0 cpy (0)</v>
      </c>
      <c r="N16" s="376" t="str">
        <f>IFERROR(IF((((M6/('Evaluation Set-up'!$F$11+'Evaluation Set-up'!$G$11/12))-(L6/('Evaluation Set-up'!$F$9+'Evaluation Set-up'!$G$9/12)))/(L6/('Evaluation Set-up'!$F$9+'Evaluation Set-up'!$G$9/12)))&gt;1,"100+%",(((M6/('Evaluation Set-up'!$F$11+'Evaluation Set-up'!$G$11/12))-(L6/('Evaluation Set-up'!$F$9+'Evaluation Set-up'!$G$9/12)))/(L6/('Evaluation Set-up'!$F$9+'Evaluation Set-up'!$G$9/12)))), "n/a")</f>
        <v>n/a</v>
      </c>
      <c r="AF16" s="394" t="s">
        <v>114</v>
      </c>
      <c r="AG16" s="396" t="n">
        <f>U4</f>
        <v>0</v>
      </c>
      <c r="AH16" s="396" t="n">
        <f>Z4</f>
        <v>0</v>
      </c>
      <c r="AI16" s="397" t="str">
        <f t="shared" ref="AI16:AI20" si="21">IFERROR(IF(((AH16-AG16)/AG16)&gt;1,"100+%",((AH16-AG16)/AG16)), "n/a")</f>
        <v>n/a</v>
      </c>
      <c r="AK16" s="400" t="s">
        <v>732</v>
      </c>
      <c r="AL16" s="414" t="n">
        <f>W10</f>
        <v>0</v>
      </c>
      <c r="AM16" s="415" t="n">
        <f>AB10</f>
        <v>0</v>
      </c>
      <c r="AN16" s="397" t="str">
        <f t="shared" ref="AN16" si="22">IFERROR(IF(((AM16-AL16)/AL16)&gt;1,"100+%",((AM16-AL16)/AL16)), "n/a")</f>
        <v>n/a</v>
      </c>
      <c r="AP16" s="394" t="s">
        <v>114</v>
      </c>
      <c r="AQ16" s="396" t="n">
        <f>U4</f>
        <v>0</v>
      </c>
      <c r="AR16" s="396" t="n">
        <f>Z4</f>
        <v>0</v>
      </c>
      <c r="AS16" s="397" t="str">
        <f t="shared" ref="AS16:AS20" si="23">IFERROR(IF(((AR16-AQ16)/AQ16)&gt;1,"100+%",((AR16-AQ16)/AQ16)), "n/a")</f>
        <v>n/a</v>
      </c>
      <c r="AU16" s="797" t="s">
        <v>24</v>
      </c>
      <c r="AV16" s="392" t="s">
        <v>16</v>
      </c>
      <c r="AW16" s="392" t="s">
        <v>17</v>
      </c>
      <c r="AX16" s="801" t="s">
        <v>25</v>
      </c>
      <c r="AZ16" s="406" t="s">
        <v>733</v>
      </c>
      <c r="BA16" s="407" t="n">
        <f>BA14/('Evaluation Set-up'!$F$9+'Evaluation Set-up'!$G$9/12)</f>
        <v>0.654545454545455</v>
      </c>
      <c r="BB16" s="407" t="n">
        <f>BB14/('Evaluation Set-up'!$F$11+'Evaluation Set-up'!$G$11/12)</f>
        <v>0.436363636363636</v>
      </c>
      <c r="BC16" s="408" t="n">
        <f t="shared" si="20"/>
        <v>-0.333333333333333</v>
      </c>
      <c r="BE16" s="797" t="s">
        <v>24</v>
      </c>
      <c r="BF16" s="392" t="s">
        <v>16</v>
      </c>
      <c r="BG16" s="392" t="s">
        <v>17</v>
      </c>
      <c r="BH16" s="801" t="s">
        <v>25</v>
      </c>
    </row>
    <row r="17" spans="2:60" ht="14.7" thickBot="1">
      <c r="B17" s="777"/>
      <c r="C17" s="779"/>
      <c r="I17" s="359"/>
      <c r="K17" s="374" t="str">
        <f t="shared" si="19"/>
        <v>Target Crashes: Failed to Yield</v>
      </c>
      <c r="L17" s="375" t="str">
        <f>ROUND(L7/('Evaluation Set-up'!$F$9+'Evaluation Set-up'!$G$9/12),2)&amp;" cpy ("&amp;L7&amp;")"</f>
        <v>0.44 cpy (2)</v>
      </c>
      <c r="M17" s="375" t="str">
        <f>ROUND(M7/('Evaluation Set-up'!$F$11+'Evaluation Set-up'!$G$11/12),2)&amp;" cpy ("&amp;M7&amp;")"</f>
        <v>0.44 cpy (2)</v>
      </c>
      <c r="N17" s="376" t="n">
        <f>IFERROR(IF((((M7/('Evaluation Set-up'!$F$11+'Evaluation Set-up'!$G$11/12))-(L7/('Evaluation Set-up'!$F$9+'Evaluation Set-up'!$G$9/12)))/(L7/('Evaluation Set-up'!$F$9+'Evaluation Set-up'!$G$9/12)))&gt;1,"100+%",(((M7/('Evaluation Set-up'!$F$11+'Evaluation Set-up'!$G$11/12))-(L7/('Evaluation Set-up'!$F$9+'Evaluation Set-up'!$G$9/12)))/(L7/('Evaluation Set-up'!$F$9+'Evaluation Set-up'!$G$9/12)))), "n/a")</f>
        <v>0</v>
      </c>
      <c r="AF17" s="394" t="s">
        <v>115</v>
      </c>
      <c r="AG17" s="396" t="n">
        <f>U5</f>
        <v>0</v>
      </c>
      <c r="AH17" s="396" t="n">
        <f>Z5</f>
        <v>0</v>
      </c>
      <c r="AI17" s="397" t="str">
        <f t="shared" si="21"/>
        <v>n/a</v>
      </c>
      <c r="AK17" s="403"/>
      <c r="AL17" s="422"/>
      <c r="AM17" s="422"/>
      <c r="AN17" s="423"/>
      <c r="AP17" s="394" t="s">
        <v>115</v>
      </c>
      <c r="AQ17" s="396" t="n">
        <f>U5</f>
        <v>0</v>
      </c>
      <c r="AR17" s="396" t="n">
        <f>Z5</f>
        <v>0</v>
      </c>
      <c r="AS17" s="397" t="str">
        <f t="shared" si="23"/>
        <v>n/a</v>
      </c>
      <c r="AU17" s="798"/>
      <c r="AV17" s="393" t="str">
        <f>"("&amp;TEXT(ROUND('Evaluation Set-up'!$F$9+'Evaluation Set-up'!$G$9/12, 2), "0.00")&amp;" years"&amp;")"</f>
        <v>(4.58 years)</v>
      </c>
      <c r="AW17" s="393" t="str">
        <f>"("&amp;TEXT(ROUND('Evaluation Set-up'!$F$11+'Evaluation Set-up'!$G$11/12, 2), "0.00")&amp;" years"&amp;")"</f>
        <v>(4.58 years)</v>
      </c>
      <c r="AX17" s="802"/>
      <c r="AZ17" s="403"/>
      <c r="BA17" s="422"/>
      <c r="BB17" s="422"/>
      <c r="BC17" s="423"/>
      <c r="BE17" s="798"/>
      <c r="BF17" s="393" t="str">
        <f>"("&amp;TEXT(ROUND('Evaluation Set-up'!$F$9+'Evaluation Set-up'!$G$9/12, 2), "0.00")&amp;" years"&amp;")"</f>
        <v>(4.58 years)</v>
      </c>
      <c r="BG17" s="393" t="str">
        <f>"("&amp;TEXT(ROUND('Evaluation Set-up'!$F$11+'Evaluation Set-up'!$G$11/12, 2), "0.00")&amp;" years"&amp;")"</f>
        <v>(4.58 years)</v>
      </c>
      <c r="BH17" s="802"/>
    </row>
    <row r="18" spans="2:60" ht="15.3">
      <c r="B18" s="346" t="s">
        <v>45</v>
      </c>
      <c r="C18" s="361" t="s">
        <v>364</v>
      </c>
      <c r="H18" s="345" t="s">
        <v>242</v>
      </c>
      <c r="I18" s="574" t="str">
        <f>Assumptions!D20</f>
        <v>Frontal Impact Crashes in Intersection (Angle, LTDR, LTSR, RTDR, RTSR, Head-On)</v>
      </c>
      <c r="K18" s="374" t="str">
        <f t="shared" si="19"/>
        <v>Target Crashes: Ran Stop Sign</v>
      </c>
      <c r="L18" s="375" t="str">
        <f>ROUND(L8/('Evaluation Set-up'!$F$9+'Evaluation Set-up'!$G$9/12),2)&amp;" cpy ("&amp;L8&amp;")"</f>
        <v>0.22 cpy (1)</v>
      </c>
      <c r="M18" s="375" t="str">
        <f>ROUND(M8/('Evaluation Set-up'!$F$11+'Evaluation Set-up'!$G$11/12),2)&amp;" cpy ("&amp;M8&amp;")"</f>
        <v>0 cpy (0)</v>
      </c>
      <c r="N18" s="376" t="n">
        <f>IFERROR(IF((((M8/('Evaluation Set-up'!$F$11+'Evaluation Set-up'!$G$11/12))-(L8/('Evaluation Set-up'!$F$9+'Evaluation Set-up'!$G$9/12)))/(L8/('Evaluation Set-up'!$F$9+'Evaluation Set-up'!$G$9/12)))&gt;1,"100+%",(((M8/('Evaluation Set-up'!$F$11+'Evaluation Set-up'!$G$11/12))-(L8/('Evaluation Set-up'!$F$9+'Evaluation Set-up'!$G$9/12)))/(L8/('Evaluation Set-up'!$F$9+'Evaluation Set-up'!$G$9/12)))), "n/a")</f>
        <v>-1</v>
      </c>
      <c r="V18" s="100"/>
      <c r="AF18" s="394" t="s">
        <v>116</v>
      </c>
      <c r="AG18" s="396" t="n">
        <f>U6</f>
        <v>0</v>
      </c>
      <c r="AH18" s="396" t="n">
        <f>Z6</f>
        <v>0</v>
      </c>
      <c r="AI18" s="397" t="str">
        <f t="shared" si="21"/>
        <v>n/a</v>
      </c>
      <c r="AK18" s="410" t="str">
        <f>"Volume ("&amp;'Evaluation Set-up'!$N$5&amp;", "&amp;'Evaluation Set-up'!$N$6&amp;")"</f>
        <v>Volume (2019, 2025)</v>
      </c>
      <c r="AL18" s="425" t="n">
        <f>'Evaluation Set-up'!$R$5</f>
        <v>5100</v>
      </c>
      <c r="AM18" s="425" t="n">
        <f>'Evaluation Set-up'!$R$6</f>
        <v>4300</v>
      </c>
      <c r="AN18" s="397" t="n">
        <f t="shared" ref="AN18" si="24">IFERROR(IF(((AM18-AL18)/AL18)&gt;1,"100+%",((AM18-AL18)/AL18)), "n/a")</f>
        <v>-0.156862745098039</v>
      </c>
      <c r="AP18" s="394" t="s">
        <v>116</v>
      </c>
      <c r="AQ18" s="396" t="n">
        <f>U6</f>
        <v>0</v>
      </c>
      <c r="AR18" s="396" t="n">
        <f>Z6</f>
        <v>0</v>
      </c>
      <c r="AS18" s="397" t="str">
        <f t="shared" si="23"/>
        <v>n/a</v>
      </c>
      <c r="AU18" s="394" t="s">
        <v>114</v>
      </c>
      <c r="AV18" s="396" t="n">
        <f>U4</f>
        <v>0</v>
      </c>
      <c r="AW18" s="396" t="n">
        <f>Z4</f>
        <v>0</v>
      </c>
      <c r="AX18" s="398" t="s">
        <v>343</v>
      </c>
      <c r="AZ18" s="410" t="s">
        <v>731</v>
      </c>
      <c r="BA18" s="411" t="n">
        <f>W9</f>
        <v>0</v>
      </c>
      <c r="BB18" s="412" t="n">
        <f>AB9</f>
        <v>0</v>
      </c>
      <c r="BC18" s="398" t="s">
        <v>343</v>
      </c>
      <c r="BE18" s="394" t="s">
        <v>114</v>
      </c>
      <c r="BF18" s="396" t="n">
        <f>U4</f>
        <v>0</v>
      </c>
      <c r="BG18" s="396" t="n">
        <f>Z4</f>
        <v>0</v>
      </c>
      <c r="BH18" s="398" t="s">
        <v>343</v>
      </c>
    </row>
    <row r="19" spans="2:60" ht="15.3">
      <c r="B19" s="777" t="s">
        <v>45</v>
      </c>
      <c r="C19" s="779" t="s">
        <v>365</v>
      </c>
      <c r="H19" s="347" t="s">
        <v>243</v>
      </c>
      <c r="I19" s="575" t="str">
        <f>IF(Assumptions!D21&gt;0,Assumptions!D21,"")</f>
        <v/>
      </c>
      <c r="K19" s="374" t="str">
        <f t="shared" si="19"/>
        <v>Rear End Crashes</v>
      </c>
      <c r="L19" s="375" t="str">
        <f>ROUND(L9/('Evaluation Set-up'!$F$9+'Evaluation Set-up'!$G$9/12),2)&amp;" cpy ("&amp;L9&amp;")"</f>
        <v>0.22 cpy (1)</v>
      </c>
      <c r="M19" s="375" t="str">
        <f>ROUND(M9/('Evaluation Set-up'!$F$11+'Evaluation Set-up'!$G$11/12),2)&amp;" cpy ("&amp;M9&amp;")"</f>
        <v>0 cpy (0)</v>
      </c>
      <c r="N19" s="376" t="n">
        <f>IFERROR(IF((((M9/('Evaluation Set-up'!$F$11+'Evaluation Set-up'!$G$11/12))-(L9/('Evaluation Set-up'!$F$9+'Evaluation Set-up'!$G$9/12)))/(L9/('Evaluation Set-up'!$F$9+'Evaluation Set-up'!$G$9/12)))&gt;1,"100+%",(((M9/('Evaluation Set-up'!$F$11+'Evaluation Set-up'!$G$11/12))-(L9/('Evaluation Set-up'!$F$9+'Evaluation Set-up'!$G$9/12)))/(L9/('Evaluation Set-up'!$F$9+'Evaluation Set-up'!$G$9/12)))), "n/a")</f>
        <v>-1</v>
      </c>
      <c r="AF19" s="394" t="s">
        <v>26</v>
      </c>
      <c r="AG19" s="396" t="n">
        <f>U7</f>
        <v>1</v>
      </c>
      <c r="AH19" s="396" t="n">
        <f>Z7</f>
        <v>0</v>
      </c>
      <c r="AI19" s="397" t="n">
        <f t="shared" si="21"/>
        <v>-1</v>
      </c>
      <c r="AK19" s="418"/>
      <c r="AL19" s="419"/>
      <c r="AM19" s="419"/>
      <c r="AN19" s="420"/>
      <c r="AP19" s="394" t="s">
        <v>26</v>
      </c>
      <c r="AQ19" s="396" t="n">
        <f>U7</f>
        <v>1</v>
      </c>
      <c r="AR19" s="396" t="n">
        <f>Z7</f>
        <v>0</v>
      </c>
      <c r="AS19" s="397" t="n">
        <f t="shared" si="23"/>
        <v>-1</v>
      </c>
      <c r="AU19" s="394" t="s">
        <v>115</v>
      </c>
      <c r="AV19" s="396" t="n">
        <f>U5</f>
        <v>0</v>
      </c>
      <c r="AW19" s="396" t="n">
        <f>Z5</f>
        <v>0</v>
      </c>
      <c r="AX19" s="398" t="s">
        <v>343</v>
      </c>
      <c r="AZ19" s="400" t="s">
        <v>732</v>
      </c>
      <c r="BA19" s="414" t="n">
        <f>W10</f>
        <v>0</v>
      </c>
      <c r="BB19" s="415" t="n">
        <f>AB10</f>
        <v>0</v>
      </c>
      <c r="BC19" s="397" t="str">
        <f t="shared" ref="BC19:BC20" si="25">IFERROR(IF(((BB19-BA19)/BA19)&gt;1,"100+%",((BB19-BA19)/BA19)), "n/a")</f>
        <v>n/a</v>
      </c>
      <c r="BE19" s="394" t="s">
        <v>115</v>
      </c>
      <c r="BF19" s="396" t="n">
        <f>U5</f>
        <v>0</v>
      </c>
      <c r="BG19" s="396" t="n">
        <f>Z5</f>
        <v>0</v>
      </c>
      <c r="BH19" s="398" t="s">
        <v>343</v>
      </c>
    </row>
    <row r="20" spans="2:60" ht="15.6" thickBot="1">
      <c r="B20" s="777"/>
      <c r="C20" s="779"/>
      <c r="H20" s="356" t="s">
        <v>309</v>
      </c>
      <c r="I20" s="576" t="str">
        <f>IF(Assumptions!D22&gt;0,Assumptions!D22,"")</f>
        <v/>
      </c>
      <c r="K20" s="377" t="str">
        <f t="shared" si="19"/>
        <v>On-Street Parking Crashes</v>
      </c>
      <c r="L20" s="378" t="str">
        <f>ROUND(L10/('Evaluation Set-up'!$F$9+'Evaluation Set-up'!$G$9/12),2)&amp;" cpy ("&amp;L10&amp;")"</f>
        <v>0.65 cpy (3)</v>
      </c>
      <c r="M20" s="378" t="str">
        <f>ROUND(M10/('Evaluation Set-up'!$F$11+'Evaluation Set-up'!$G$11/12),2)&amp;" cpy ("&amp;M10&amp;")"</f>
        <v>0 cpy (0)</v>
      </c>
      <c r="N20" s="379" t="n">
        <f>IFERROR(IF((((M10/('Evaluation Set-up'!$F$11+'Evaluation Set-up'!$G$11/12))-(L10/('Evaluation Set-up'!$F$9+'Evaluation Set-up'!$G$9/12)))/(L10/('Evaluation Set-up'!$F$9+'Evaluation Set-up'!$G$9/12)))&gt;1,"100+%",(((M10/('Evaluation Set-up'!$F$11+'Evaluation Set-up'!$G$11/12))-(L10/('Evaluation Set-up'!$F$9+'Evaluation Set-up'!$G$9/12)))/(L10/('Evaluation Set-up'!$F$9+'Evaluation Set-up'!$G$9/12)))), "n/a")</f>
        <v>-1</v>
      </c>
      <c r="AF20" s="394" t="s">
        <v>27</v>
      </c>
      <c r="AG20" s="396" t="n">
        <f>U8</f>
        <v>6</v>
      </c>
      <c r="AH20" s="396" t="n">
        <f>Z8</f>
        <v>3</v>
      </c>
      <c r="AI20" s="397" t="n">
        <f t="shared" si="21"/>
        <v>-0.5</v>
      </c>
      <c r="AK20" s="797" t="s">
        <v>24</v>
      </c>
      <c r="AL20" s="799" t="s">
        <v>16</v>
      </c>
      <c r="AM20" s="799" t="s">
        <v>17</v>
      </c>
      <c r="AN20" s="801" t="s">
        <v>25</v>
      </c>
      <c r="AP20" s="394" t="s">
        <v>27</v>
      </c>
      <c r="AQ20" s="396" t="n">
        <f>U8</f>
        <v>6</v>
      </c>
      <c r="AR20" s="396" t="n">
        <f>Z8</f>
        <v>3</v>
      </c>
      <c r="AS20" s="397" t="n">
        <f t="shared" si="23"/>
        <v>-0.5</v>
      </c>
      <c r="AU20" s="394" t="s">
        <v>116</v>
      </c>
      <c r="AV20" s="396" t="n">
        <f>U6</f>
        <v>0</v>
      </c>
      <c r="AW20" s="396" t="n">
        <f>Z6</f>
        <v>0</v>
      </c>
      <c r="AX20" s="398" t="s">
        <v>343</v>
      </c>
      <c r="AZ20" s="406" t="s">
        <v>734</v>
      </c>
      <c r="BA20" s="407" t="n">
        <f>BA18/('Evaluation Set-up'!$F$9+'Evaluation Set-up'!$G$9/12)</f>
        <v>0</v>
      </c>
      <c r="BB20" s="407" t="n">
        <f>BB18/('Evaluation Set-up'!$F$11+'Evaluation Set-up'!$G$11/12)</f>
        <v>0</v>
      </c>
      <c r="BC20" s="408" t="str">
        <f t="shared" si="25"/>
        <v>n/a</v>
      </c>
      <c r="BE20" s="394" t="s">
        <v>116</v>
      </c>
      <c r="BF20" s="396" t="n">
        <f>U6</f>
        <v>0</v>
      </c>
      <c r="BG20" s="396" t="n">
        <f>Z6</f>
        <v>0</v>
      </c>
      <c r="BH20" s="398" t="s">
        <v>343</v>
      </c>
    </row>
    <row r="21" spans="2:60" ht="15.6" thickBot="1">
      <c r="B21" s="777" t="s">
        <v>45</v>
      </c>
      <c r="C21" s="779" t="s">
        <v>710</v>
      </c>
      <c r="AF21" s="426"/>
      <c r="AG21" s="426"/>
      <c r="AH21" s="426"/>
      <c r="AI21" s="426"/>
      <c r="AK21" s="798"/>
      <c r="AL21" s="800"/>
      <c r="AM21" s="800"/>
      <c r="AN21" s="802"/>
      <c r="AP21" s="426"/>
      <c r="AQ21" s="426"/>
      <c r="AR21" s="426"/>
      <c r="AS21" s="426"/>
      <c r="AU21" s="394" t="s">
        <v>26</v>
      </c>
      <c r="AV21" s="396" t="n">
        <f>U7</f>
        <v>1</v>
      </c>
      <c r="AW21" s="396" t="n">
        <f>Z7</f>
        <v>0</v>
      </c>
      <c r="AX21" s="398" t="s">
        <v>343</v>
      </c>
      <c r="AZ21" s="403"/>
      <c r="BA21" s="422"/>
      <c r="BB21" s="422"/>
      <c r="BC21" s="423"/>
      <c r="BE21" s="394" t="s">
        <v>26</v>
      </c>
      <c r="BF21" s="396" t="n">
        <f>U7</f>
        <v>1</v>
      </c>
      <c r="BG21" s="396" t="n">
        <f>Z7</f>
        <v>0</v>
      </c>
      <c r="BH21" s="398" t="s">
        <v>343</v>
      </c>
    </row>
    <row r="22" spans="2:60" ht="15" customHeight="1">
      <c r="B22" s="777"/>
      <c r="C22" s="779"/>
      <c r="H22" s="345" t="s">
        <v>147</v>
      </c>
      <c r="I22" s="362" t="s">
        <v>848</v>
      </c>
      <c r="K22" s="363"/>
      <c r="L22" s="364" t="s">
        <v>142</v>
      </c>
      <c r="M22" s="364" t="s">
        <v>143</v>
      </c>
      <c r="N22" s="364" t="s">
        <v>441</v>
      </c>
      <c r="T22" s="427"/>
      <c r="U22" s="427"/>
      <c r="V22" s="100"/>
      <c r="AF22" s="794" t="s">
        <v>66</v>
      </c>
      <c r="AG22" s="799" t="s">
        <v>16</v>
      </c>
      <c r="AH22" s="799" t="s">
        <v>17</v>
      </c>
      <c r="AI22" s="801" t="s">
        <v>25</v>
      </c>
      <c r="AK22" s="394" t="s">
        <v>114</v>
      </c>
      <c r="AL22" s="396" t="n">
        <f>U4</f>
        <v>0</v>
      </c>
      <c r="AM22" s="396" t="n">
        <f>Z4</f>
        <v>0</v>
      </c>
      <c r="AN22" s="397" t="str">
        <f t="shared" ref="AN22:AN26" si="26">IFERROR(IF(((AM22-AL22)/AL22)&gt;1,"100+%",((AM22-AL22)/AL22)), "n/a")</f>
        <v>n/a</v>
      </c>
      <c r="AP22" s="794" t="s">
        <v>154</v>
      </c>
      <c r="AQ22" s="799" t="s">
        <v>16</v>
      </c>
      <c r="AR22" s="799" t="s">
        <v>17</v>
      </c>
      <c r="AS22" s="801" t="s">
        <v>25</v>
      </c>
      <c r="AU22" s="394" t="s">
        <v>27</v>
      </c>
      <c r="AV22" s="396" t="n">
        <f>U8</f>
        <v>6</v>
      </c>
      <c r="AW22" s="396" t="n">
        <f>Z8</f>
        <v>3</v>
      </c>
      <c r="AX22" s="398" t="s">
        <v>343</v>
      </c>
      <c r="AZ22" s="410" t="str">
        <f>"Volume ("&amp;'Evaluation Set-up'!$N$5&amp;", "&amp;'Evaluation Set-up'!$N$6&amp;")"</f>
        <v>Volume (2019, 2025)</v>
      </c>
      <c r="BA22" s="425" t="n">
        <f>'Evaluation Set-up'!$R$5</f>
        <v>5100</v>
      </c>
      <c r="BB22" s="425" t="n">
        <f>'Evaluation Set-up'!$R$6</f>
        <v>4300</v>
      </c>
      <c r="BC22" s="397" t="n">
        <f t="shared" ref="BC22" si="27">IFERROR(IF(((BB22-BA22)/BA22)&gt;1,"100+%",((BB22-BA22)/BA22)), "n/a")</f>
        <v>-0.156862745098039</v>
      </c>
      <c r="BE22" s="394" t="s">
        <v>27</v>
      </c>
      <c r="BF22" s="396" t="n">
        <f>U8</f>
        <v>6</v>
      </c>
      <c r="BG22" s="396" t="n">
        <f>Z8</f>
        <v>3</v>
      </c>
      <c r="BH22" s="398" t="s">
        <v>343</v>
      </c>
    </row>
    <row r="23" spans="2:60">
      <c r="B23" s="777" t="s">
        <v>45</v>
      </c>
      <c r="C23" s="779" t="s">
        <v>711</v>
      </c>
      <c r="H23" s="347" t="s">
        <v>145</v>
      </c>
      <c r="I23" s="365" t="s">
        <v>849</v>
      </c>
      <c r="K23" s="366" t="s">
        <v>112</v>
      </c>
      <c r="L23" s="380" t="n">
        <f>'Evaluation Set-up'!D9</f>
        <v>42795</v>
      </c>
      <c r="M23" s="380" t="n">
        <f>'Evaluation Set-up'!E9</f>
        <v>44469</v>
      </c>
      <c r="N23" s="381" t="str">
        <f>'Evaluation Set-up'!F9&amp;"y, "&amp;'Evaluation Set-up'!G9&amp;"m"</f>
        <v>4y, 7m</v>
      </c>
      <c r="AF23" s="795"/>
      <c r="AG23" s="800"/>
      <c r="AH23" s="800"/>
      <c r="AI23" s="802"/>
      <c r="AK23" s="394" t="s">
        <v>115</v>
      </c>
      <c r="AL23" s="396" t="n">
        <f>U5</f>
        <v>0</v>
      </c>
      <c r="AM23" s="396" t="n">
        <f>Z5</f>
        <v>0</v>
      </c>
      <c r="AN23" s="397" t="str">
        <f t="shared" si="26"/>
        <v>n/a</v>
      </c>
      <c r="AP23" s="795"/>
      <c r="AQ23" s="800"/>
      <c r="AR23" s="800"/>
      <c r="AS23" s="802"/>
      <c r="AU23" s="401"/>
      <c r="AV23" s="402"/>
      <c r="AW23" s="402"/>
      <c r="AX23" s="402"/>
      <c r="AZ23" s="418"/>
      <c r="BA23" s="419"/>
      <c r="BB23" s="419"/>
      <c r="BC23" s="420"/>
      <c r="BE23" s="401"/>
      <c r="BF23" s="402"/>
      <c r="BG23" s="402"/>
      <c r="BH23" s="402"/>
    </row>
    <row r="24" spans="2:60" ht="14.7" thickBot="1">
      <c r="B24" s="777"/>
      <c r="C24" s="779"/>
      <c r="H24" s="356" t="s">
        <v>146</v>
      </c>
      <c r="I24" s="621">
        <v>46289</v>
      </c>
      <c r="K24" s="366" t="s">
        <v>144</v>
      </c>
      <c r="L24" s="380" t="n">
        <f>'Evaluation Set-up'!D10</f>
        <v>44470</v>
      </c>
      <c r="M24" s="380" t="n">
        <f>'Evaluation Set-up'!E10</f>
        <v>44561</v>
      </c>
      <c r="N24" s="381" t="str">
        <f>'Evaluation Set-up'!F10&amp;"y, "&amp;'Evaluation Set-up'!G10&amp;"m"</f>
        <v>0y, 3m</v>
      </c>
      <c r="AF24" s="394" t="s">
        <v>114</v>
      </c>
      <c r="AG24" s="396" t="n">
        <f>V4</f>
        <v>0</v>
      </c>
      <c r="AH24" s="396" t="n">
        <f>AA4</f>
        <v>0</v>
      </c>
      <c r="AI24" s="397" t="str">
        <f t="shared" ref="AI24:AI28" si="28">IFERROR(IF(((AH24-AG24)/AG24)&gt;1,"100+%",((AH24-AG24)/AG24)), "n/a")</f>
        <v>n/a</v>
      </c>
      <c r="AK24" s="394" t="s">
        <v>116</v>
      </c>
      <c r="AL24" s="396" t="n">
        <f>U6</f>
        <v>0</v>
      </c>
      <c r="AM24" s="396" t="n">
        <f>Z6</f>
        <v>0</v>
      </c>
      <c r="AN24" s="397" t="str">
        <f t="shared" si="26"/>
        <v>n/a</v>
      </c>
      <c r="AP24" s="394" t="s">
        <v>114</v>
      </c>
      <c r="AQ24" s="396" t="n">
        <f>Y4</f>
        <v>0</v>
      </c>
      <c r="AR24" s="396" t="n">
        <f>AD4</f>
        <v>0</v>
      </c>
      <c r="AS24" s="397" t="str">
        <f t="shared" ref="AS24:AS28" si="29">IFERROR(IF(((AR24-AQ24)/AQ24)&gt;1,"100+%",((AR24-AQ24)/AQ24)), "n/a")</f>
        <v>n/a</v>
      </c>
      <c r="AU24" s="406" t="s">
        <v>342</v>
      </c>
      <c r="AV24" s="428" t="n">
        <f>ROUND(SUM(AV18:AV21)/('Evaluation Set-up'!$F$9+'Evaluation Set-up'!$G$9/12),2)</f>
        <v>0.22</v>
      </c>
      <c r="AW24" s="428" t="n">
        <f>ROUND(SUM(AW18:AW21)/('Evaluation Set-up'!$F$11+'Evaluation Set-up'!$G$11/12),2)</f>
        <v>0</v>
      </c>
      <c r="AX24" s="408" t="n">
        <f t="shared" ref="AX24" si="30">IFERROR(IF(((AW24-AV24)/AV24)&gt;1,"100+%",((AW24-AV24)/AV24)), "n/a")</f>
        <v>-1</v>
      </c>
      <c r="AZ24" s="797" t="s">
        <v>24</v>
      </c>
      <c r="BA24" s="392" t="s">
        <v>16</v>
      </c>
      <c r="BB24" s="392" t="s">
        <v>17</v>
      </c>
      <c r="BC24" s="801" t="s">
        <v>25</v>
      </c>
      <c r="BE24" s="406" t="s">
        <v>342</v>
      </c>
      <c r="BF24" s="428" t="n">
        <f>ROUND(SUM(BF18:BF21)/('Evaluation Set-up'!$F$9+'Evaluation Set-up'!$G$9/12),2)</f>
        <v>0.22</v>
      </c>
      <c r="BG24" s="428" t="n">
        <f>ROUND(SUM(BG18:BG21)/('Evaluation Set-up'!$F$11+'Evaluation Set-up'!$G$11/12),2)</f>
        <v>0</v>
      </c>
      <c r="BH24" s="408" t="n">
        <f t="shared" ref="BH24" si="31">IFERROR(IF(((BG24-BF24)/BF24)&gt;1,"100+%",((BG24-BF24)/BF24)), "n/a")</f>
        <v>-1</v>
      </c>
    </row>
    <row r="25" spans="2:60" ht="14.7" thickBot="1">
      <c r="B25" s="777"/>
      <c r="C25" s="779"/>
      <c r="K25" s="366" t="s">
        <v>113</v>
      </c>
      <c r="L25" s="380" t="n">
        <f>'Evaluation Set-up'!D11</f>
        <v>44562</v>
      </c>
      <c r="M25" s="380" t="n">
        <f>'Evaluation Set-up'!E11</f>
        <v>46234</v>
      </c>
      <c r="N25" s="381" t="str">
        <f>'Evaluation Set-up'!F11&amp;"y, "&amp;'Evaluation Set-up'!G11&amp;"m"</f>
        <v>4y, 7m</v>
      </c>
      <c r="AF25" s="394" t="s">
        <v>115</v>
      </c>
      <c r="AG25" s="396" t="n">
        <f>V5</f>
        <v>0</v>
      </c>
      <c r="AH25" s="396" t="n">
        <f>AA5</f>
        <v>0</v>
      </c>
      <c r="AI25" s="397" t="str">
        <f t="shared" si="28"/>
        <v>n/a</v>
      </c>
      <c r="AK25" s="394" t="s">
        <v>26</v>
      </c>
      <c r="AL25" s="396" t="n">
        <f>U7</f>
        <v>1</v>
      </c>
      <c r="AM25" s="396" t="n">
        <f>Z7</f>
        <v>0</v>
      </c>
      <c r="AN25" s="397" t="n">
        <f t="shared" si="26"/>
        <v>-1</v>
      </c>
      <c r="AP25" s="394" t="s">
        <v>115</v>
      </c>
      <c r="AQ25" s="396" t="n">
        <f>Y5</f>
        <v>0</v>
      </c>
      <c r="AR25" s="396" t="n">
        <f>AD5</f>
        <v>0</v>
      </c>
      <c r="AS25" s="397" t="str">
        <f t="shared" si="29"/>
        <v>n/a</v>
      </c>
      <c r="AU25" s="418"/>
      <c r="AV25" s="429"/>
      <c r="AW25" s="429"/>
      <c r="AX25" s="420"/>
      <c r="AZ25" s="798"/>
      <c r="BA25" s="393" t="str">
        <f>"("&amp;TEXT(ROUND('Evaluation Set-up'!$F$9+'Evaluation Set-up'!$G$9/12, 2), "0.00")&amp;" years"&amp;")"</f>
        <v>(4.58 years)</v>
      </c>
      <c r="BB25" s="393" t="str">
        <f>"("&amp;TEXT(ROUND('Evaluation Set-up'!$F$11+'Evaluation Set-up'!$G$11/12, 2), "0.00")&amp;" years"&amp;")"</f>
        <v>(4.58 years)</v>
      </c>
      <c r="BC25" s="802"/>
      <c r="BE25" s="418"/>
      <c r="BF25" s="429"/>
      <c r="BG25" s="429"/>
      <c r="BH25" s="420"/>
    </row>
    <row r="26" spans="2:60" ht="15.6" thickBot="1">
      <c r="B26" s="777" t="s">
        <v>45</v>
      </c>
      <c r="C26" s="775" t="s">
        <v>738</v>
      </c>
      <c r="H26" s="360" t="s">
        <v>709</v>
      </c>
      <c r="I26" s="628" t="s">
        <v>852</v>
      </c>
      <c r="AF26" s="394" t="s">
        <v>116</v>
      </c>
      <c r="AG26" s="396" t="n">
        <f>V6</f>
        <v>0</v>
      </c>
      <c r="AH26" s="396" t="n">
        <f>AA6</f>
        <v>0</v>
      </c>
      <c r="AI26" s="397" t="str">
        <f t="shared" si="28"/>
        <v>n/a</v>
      </c>
      <c r="AK26" s="394" t="s">
        <v>27</v>
      </c>
      <c r="AL26" s="396" t="n">
        <f>U8</f>
        <v>6</v>
      </c>
      <c r="AM26" s="396" t="n">
        <f>Z8</f>
        <v>3</v>
      </c>
      <c r="AN26" s="397" t="n">
        <f t="shared" si="26"/>
        <v>-0.5</v>
      </c>
      <c r="AP26" s="394" t="s">
        <v>116</v>
      </c>
      <c r="AQ26" s="396" t="n">
        <f>Y6</f>
        <v>0</v>
      </c>
      <c r="AR26" s="396" t="n">
        <f>AD6</f>
        <v>0</v>
      </c>
      <c r="AS26" s="397" t="str">
        <f t="shared" si="29"/>
        <v>n/a</v>
      </c>
      <c r="AU26" s="796" t="s">
        <v>66</v>
      </c>
      <c r="AV26" s="392" t="s">
        <v>16</v>
      </c>
      <c r="AW26" s="430" t="s">
        <v>17</v>
      </c>
      <c r="AX26" s="803" t="s">
        <v>25</v>
      </c>
      <c r="AZ26" s="394" t="s">
        <v>114</v>
      </c>
      <c r="BA26" s="396" t="n">
        <f>U4</f>
        <v>0</v>
      </c>
      <c r="BB26" s="396" t="n">
        <f>Z4</f>
        <v>0</v>
      </c>
      <c r="BC26" s="398" t="s">
        <v>343</v>
      </c>
      <c r="BE26" s="794" t="s">
        <v>154</v>
      </c>
      <c r="BF26" s="392" t="s">
        <v>16</v>
      </c>
      <c r="BG26" s="392" t="s">
        <v>17</v>
      </c>
      <c r="BH26" s="801" t="s">
        <v>25</v>
      </c>
    </row>
    <row r="27" spans="2:60" ht="15.3">
      <c r="B27" s="777"/>
      <c r="C27" s="775"/>
      <c r="K27" s="808" t="s">
        <v>442</v>
      </c>
      <c r="L27" s="810" t="s">
        <v>111</v>
      </c>
      <c r="M27" s="810" t="s">
        <v>443</v>
      </c>
      <c r="N27" s="810" t="s">
        <v>444</v>
      </c>
      <c r="AF27" s="394" t="s">
        <v>26</v>
      </c>
      <c r="AG27" s="396" t="n">
        <f>V7</f>
        <v>0</v>
      </c>
      <c r="AH27" s="396" t="n">
        <f>AA7</f>
        <v>0</v>
      </c>
      <c r="AI27" s="397" t="str">
        <f t="shared" si="28"/>
        <v>n/a</v>
      </c>
      <c r="AK27" s="426"/>
      <c r="AL27" s="426"/>
      <c r="AM27" s="426"/>
      <c r="AN27" s="426"/>
      <c r="AP27" s="394" t="s">
        <v>26</v>
      </c>
      <c r="AQ27" s="396" t="n">
        <f>Y7</f>
        <v>0</v>
      </c>
      <c r="AR27" s="396" t="n">
        <f>AD7</f>
        <v>0</v>
      </c>
      <c r="AS27" s="397" t="str">
        <f t="shared" si="29"/>
        <v>n/a</v>
      </c>
      <c r="AU27" s="796"/>
      <c r="AV27" s="393" t="str">
        <f>"("&amp;TEXT(ROUND('Evaluation Set-up'!$F$9+'Evaluation Set-up'!$G$9/12, 2), "0.00")&amp;" years"&amp;")"</f>
        <v>(4.58 years)</v>
      </c>
      <c r="AW27" s="431" t="str">
        <f>"("&amp;TEXT(ROUND('Evaluation Set-up'!$F$11+'Evaluation Set-up'!$G$11/12, 2), "0.00")&amp;" years"&amp;")"</f>
        <v>(4.58 years)</v>
      </c>
      <c r="AX27" s="803"/>
      <c r="AZ27" s="394" t="s">
        <v>115</v>
      </c>
      <c r="BA27" s="396" t="n">
        <f>U5</f>
        <v>0</v>
      </c>
      <c r="BB27" s="396" t="n">
        <f>Z5</f>
        <v>0</v>
      </c>
      <c r="BC27" s="398" t="s">
        <v>343</v>
      </c>
      <c r="BE27" s="795"/>
      <c r="BF27" s="393" t="str">
        <f>"("&amp;TEXT(ROUND('Evaluation Set-up'!$F$9+'Evaluation Set-up'!$G$9/12, 2), "0.00")&amp;" years"&amp;")"</f>
        <v>(4.58 years)</v>
      </c>
      <c r="BG27" s="393" t="str">
        <f>"("&amp;TEXT(ROUND('Evaluation Set-up'!$F$11+'Evaluation Set-up'!$G$11/12, 2), "0.00")&amp;" years"&amp;")"</f>
        <v>(4.58 years)</v>
      </c>
      <c r="BH27" s="802"/>
    </row>
    <row r="28" spans="2:60" ht="15.3">
      <c r="B28" s="777"/>
      <c r="C28" s="775"/>
      <c r="K28" s="809"/>
      <c r="L28" s="811"/>
      <c r="M28" s="811"/>
      <c r="N28" s="811"/>
      <c r="AF28" s="394" t="s">
        <v>27</v>
      </c>
      <c r="AG28" s="396" t="n">
        <f>V8</f>
        <v>3</v>
      </c>
      <c r="AH28" s="396" t="n">
        <f>AA8</f>
        <v>2</v>
      </c>
      <c r="AI28" s="397" t="n">
        <f t="shared" si="28"/>
        <v>-0.333333333333333</v>
      </c>
      <c r="AK28" s="794" t="s">
        <v>154</v>
      </c>
      <c r="AL28" s="799" t="s">
        <v>16</v>
      </c>
      <c r="AM28" s="799" t="s">
        <v>17</v>
      </c>
      <c r="AN28" s="801" t="s">
        <v>25</v>
      </c>
      <c r="AP28" s="394" t="s">
        <v>27</v>
      </c>
      <c r="AQ28" s="396" t="n">
        <f>Y8</f>
        <v>3</v>
      </c>
      <c r="AR28" s="396" t="n">
        <f>AD8</f>
        <v>2</v>
      </c>
      <c r="AS28" s="397" t="n">
        <f t="shared" si="29"/>
        <v>-0.333333333333333</v>
      </c>
      <c r="AU28" s="394" t="s">
        <v>114</v>
      </c>
      <c r="AV28" s="412" t="n">
        <f>V4</f>
        <v>0</v>
      </c>
      <c r="AW28" s="412" t="n">
        <f>AA4</f>
        <v>0</v>
      </c>
      <c r="AX28" s="398" t="s">
        <v>343</v>
      </c>
      <c r="AZ28" s="394" t="s">
        <v>116</v>
      </c>
      <c r="BA28" s="396" t="n">
        <f>U6</f>
        <v>0</v>
      </c>
      <c r="BB28" s="396" t="n">
        <f>Z6</f>
        <v>0</v>
      </c>
      <c r="BC28" s="398" t="s">
        <v>343</v>
      </c>
      <c r="BE28" s="394" t="s">
        <v>114</v>
      </c>
      <c r="BF28" s="396" t="n">
        <f>Y4</f>
        <v>0</v>
      </c>
      <c r="BG28" s="396" t="n">
        <f>AD4</f>
        <v>0</v>
      </c>
      <c r="BH28" s="398" t="s">
        <v>343</v>
      </c>
    </row>
    <row r="29" spans="2:60" ht="15.6" thickBot="1">
      <c r="B29" s="778"/>
      <c r="C29" s="776"/>
      <c r="K29" s="367" t="s">
        <v>149</v>
      </c>
      <c r="L29" s="381" t="str">
        <f>ROUND(Assumptions!H6,2)&amp; " years"</f>
        <v>10 years</v>
      </c>
      <c r="M29" s="381" t="str">
        <f>TEXT(ROUND('Evaluation Set-up'!$F$9+'Evaluation Set-up'!$G$9/12, 2), "0.00")&amp;" years"</f>
        <v>4.58 years</v>
      </c>
      <c r="N29" s="381" t="str">
        <f>TEXT(ROUND('Evaluation Set-up'!$F$11+'Evaluation Set-up'!$G$11/12, 2), "0.00")&amp;" years"</f>
        <v>4.58 years</v>
      </c>
      <c r="AK29" s="795"/>
      <c r="AL29" s="800"/>
      <c r="AM29" s="800"/>
      <c r="AN29" s="802"/>
      <c r="AU29" s="394" t="s">
        <v>115</v>
      </c>
      <c r="AV29" s="396" t="n">
        <f>V5</f>
        <v>0</v>
      </c>
      <c r="AW29" s="396" t="n">
        <f>AA5</f>
        <v>0</v>
      </c>
      <c r="AX29" s="398" t="s">
        <v>343</v>
      </c>
      <c r="AZ29" s="394" t="s">
        <v>26</v>
      </c>
      <c r="BA29" s="396" t="n">
        <f>U7</f>
        <v>1</v>
      </c>
      <c r="BB29" s="396" t="n">
        <f>Z7</f>
        <v>0</v>
      </c>
      <c r="BC29" s="398" t="s">
        <v>343</v>
      </c>
      <c r="BE29" s="394" t="s">
        <v>115</v>
      </c>
      <c r="BF29" s="396" t="n">
        <f>Y5</f>
        <v>0</v>
      </c>
      <c r="BG29" s="396" t="n">
        <f>AD5</f>
        <v>0</v>
      </c>
      <c r="BH29" s="398" t="s">
        <v>343</v>
      </c>
    </row>
    <row r="30" spans="2:60" ht="15.3">
      <c r="K30" s="367" t="s">
        <v>142</v>
      </c>
      <c r="L30" s="380" t="n">
        <f>Assumptions!H7</f>
        <v>40391</v>
      </c>
      <c r="M30" s="380" t="n">
        <f>'Evaluation Set-up'!D9</f>
        <v>42795</v>
      </c>
      <c r="N30" s="380" t="n">
        <f>'Evaluation Set-up'!D11</f>
        <v>44562</v>
      </c>
      <c r="AK30" s="394" t="s">
        <v>114</v>
      </c>
      <c r="AL30" s="396" t="n">
        <f>Y4</f>
        <v>0</v>
      </c>
      <c r="AM30" s="396" t="n">
        <f>AD4</f>
        <v>0</v>
      </c>
      <c r="AN30" s="397" t="str">
        <f t="shared" ref="AN30:AN34" si="32">IFERROR(IF(((AM30-AL30)/AL30)&gt;1,"100+%",((AM30-AL30)/AL30)), "n/a")</f>
        <v>n/a</v>
      </c>
      <c r="AU30" s="394" t="s">
        <v>116</v>
      </c>
      <c r="AV30" s="396" t="n">
        <f>V6</f>
        <v>0</v>
      </c>
      <c r="AW30" s="396" t="n">
        <f>AA6</f>
        <v>0</v>
      </c>
      <c r="AX30" s="398" t="s">
        <v>343</v>
      </c>
      <c r="AZ30" s="394" t="s">
        <v>27</v>
      </c>
      <c r="BA30" s="396" t="n">
        <f>U8</f>
        <v>6</v>
      </c>
      <c r="BB30" s="396" t="n">
        <f>Z8</f>
        <v>3</v>
      </c>
      <c r="BC30" s="398" t="s">
        <v>343</v>
      </c>
      <c r="BE30" s="394" t="s">
        <v>116</v>
      </c>
      <c r="BF30" s="396" t="n">
        <f>Y6</f>
        <v>0</v>
      </c>
      <c r="BG30" s="396" t="n">
        <f>AD6</f>
        <v>0</v>
      </c>
      <c r="BH30" s="398" t="s">
        <v>343</v>
      </c>
    </row>
    <row r="31" spans="2:60" ht="15.3">
      <c r="K31" s="367" t="s">
        <v>143</v>
      </c>
      <c r="L31" s="380" t="n">
        <f>Assumptions!H8</f>
        <v>44043</v>
      </c>
      <c r="M31" s="380" t="n">
        <f>'Evaluation Set-up'!E9</f>
        <v>44469</v>
      </c>
      <c r="N31" s="380" t="n">
        <f>'Evaluation Set-up'!E11</f>
        <v>46234</v>
      </c>
      <c r="AK31" s="394" t="s">
        <v>115</v>
      </c>
      <c r="AL31" s="396" t="n">
        <f>Y5</f>
        <v>0</v>
      </c>
      <c r="AM31" s="396" t="n">
        <f>AD5</f>
        <v>0</v>
      </c>
      <c r="AN31" s="397" t="str">
        <f t="shared" si="32"/>
        <v>n/a</v>
      </c>
      <c r="AU31" s="394" t="s">
        <v>26</v>
      </c>
      <c r="AV31" s="396" t="n">
        <f>V7</f>
        <v>0</v>
      </c>
      <c r="AW31" s="396" t="n">
        <f>AA7</f>
        <v>0</v>
      </c>
      <c r="AX31" s="398" t="s">
        <v>343</v>
      </c>
      <c r="AZ31" s="401"/>
      <c r="BA31" s="402"/>
      <c r="BB31" s="402"/>
      <c r="BC31" s="402"/>
      <c r="BE31" s="394" t="s">
        <v>26</v>
      </c>
      <c r="BF31" s="396" t="n">
        <f>Y7</f>
        <v>0</v>
      </c>
      <c r="BG31" s="396" t="n">
        <f>AD7</f>
        <v>0</v>
      </c>
      <c r="BH31" s="398" t="s">
        <v>343</v>
      </c>
    </row>
    <row r="32" spans="2:60" ht="15.3">
      <c r="K32" s="368"/>
      <c r="L32" s="382"/>
      <c r="M32" s="383"/>
      <c r="N32" s="383"/>
      <c r="AK32" s="394" t="s">
        <v>116</v>
      </c>
      <c r="AL32" s="396" t="n">
        <f>Y6</f>
        <v>0</v>
      </c>
      <c r="AM32" s="396" t="n">
        <f>AD6</f>
        <v>0</v>
      </c>
      <c r="AN32" s="397" t="str">
        <f t="shared" si="32"/>
        <v>n/a</v>
      </c>
      <c r="AU32" s="394" t="s">
        <v>27</v>
      </c>
      <c r="AV32" s="396" t="n">
        <f>V8</f>
        <v>3</v>
      </c>
      <c r="AW32" s="396" t="n">
        <f>AA8</f>
        <v>2</v>
      </c>
      <c r="AX32" s="398" t="s">
        <v>343</v>
      </c>
      <c r="AZ32" s="406" t="s">
        <v>342</v>
      </c>
      <c r="BA32" s="428" t="n">
        <f>ROUND(SUM(BA26:BA29)/('Evaluation Set-up'!$F$9+'Evaluation Set-up'!$G$9/12),2)</f>
        <v>0.22</v>
      </c>
      <c r="BB32" s="428" t="n">
        <f>ROUND(SUM(BB26:BB29)/('Evaluation Set-up'!$F$11+'Evaluation Set-up'!$G$11/12),2)</f>
        <v>0</v>
      </c>
      <c r="BC32" s="408" t="n">
        <f t="shared" ref="BC32" si="33">IFERROR(IF(((BB32-BA32)/BA32)&gt;1,"100+%",((BB32-BA32)/BA32)), "n/a")</f>
        <v>-1</v>
      </c>
      <c r="BE32" s="394" t="s">
        <v>27</v>
      </c>
      <c r="BF32" s="396" t="n">
        <f>Y8</f>
        <v>3</v>
      </c>
      <c r="BG32" s="396" t="n">
        <f>AD8</f>
        <v>2</v>
      </c>
      <c r="BH32" s="398" t="s">
        <v>343</v>
      </c>
    </row>
    <row r="33" spans="2:60">
      <c r="K33" s="369" t="s">
        <v>13</v>
      </c>
      <c r="L33" s="384" t="n">
        <f>Assumptions!I10</f>
        <v>1.9</v>
      </c>
      <c r="M33" s="384" t="n">
        <f>U9/('Evaluation Set-up'!$F$9+'Evaluation Set-up'!$G$9/12)</f>
        <v>1.52727272727273</v>
      </c>
      <c r="N33" s="384" t="n">
        <f>Z9/('Evaluation Set-up'!$F$9+'Evaluation Set-up'!$G$9/12)</f>
        <v>0.654545454545455</v>
      </c>
      <c r="AK33" s="394" t="s">
        <v>26</v>
      </c>
      <c r="AL33" s="396" t="n">
        <f>Y7</f>
        <v>0</v>
      </c>
      <c r="AM33" s="396" t="n">
        <f>AD7</f>
        <v>0</v>
      </c>
      <c r="AN33" s="397" t="str">
        <f t="shared" si="32"/>
        <v>n/a</v>
      </c>
      <c r="AU33" s="401"/>
      <c r="AV33" s="402"/>
      <c r="AW33" s="402"/>
      <c r="AX33" s="402"/>
      <c r="AZ33" s="418"/>
      <c r="BA33" s="429"/>
      <c r="BB33" s="429"/>
      <c r="BC33" s="420"/>
      <c r="BE33" s="401"/>
      <c r="BF33" s="402"/>
      <c r="BG33" s="402"/>
      <c r="BH33" s="402"/>
    </row>
    <row r="34" spans="2:60">
      <c r="K34" s="353" t="s">
        <v>150</v>
      </c>
      <c r="L34" s="384" t="n">
        <f>Assumptions!I11</f>
        <v>0</v>
      </c>
      <c r="M34" s="384" t="n">
        <f>U4/('Evaluation Set-up'!$F$9+'Evaluation Set-up'!$G$9/12)</f>
        <v>0</v>
      </c>
      <c r="N34" s="384" t="n">
        <f>Z4/('Evaluation Set-up'!$F$9+'Evaluation Set-up'!$G$9/12)</f>
        <v>0</v>
      </c>
      <c r="AK34" s="394" t="s">
        <v>27</v>
      </c>
      <c r="AL34" s="396" t="n">
        <f>Y8</f>
        <v>3</v>
      </c>
      <c r="AM34" s="396" t="n">
        <f>AD8</f>
        <v>2</v>
      </c>
      <c r="AN34" s="397" t="n">
        <f t="shared" si="32"/>
        <v>-0.333333333333333</v>
      </c>
      <c r="AU34" s="406" t="s">
        <v>344</v>
      </c>
      <c r="AV34" s="428" t="n">
        <f>ROUND(SUM(AV28:AV31)/('Evaluation Set-up'!$F$9+'Evaluation Set-up'!$G$9/12),2)</f>
        <v>0</v>
      </c>
      <c r="AW34" s="428" t="n">
        <f>ROUND(SUM(AW28:AW31)/('Evaluation Set-up'!$F$11+'Evaluation Set-up'!$G$11/12),2)</f>
        <v>0</v>
      </c>
      <c r="AX34" s="408" t="str">
        <f t="shared" ref="AX34" si="34">IFERROR(IF(((AW34-AV34)/AV34)&gt;1,"100+%",((AW34-AV34)/AV34)), "n/a")</f>
        <v>n/a</v>
      </c>
      <c r="AZ34" s="794" t="s">
        <v>154</v>
      </c>
      <c r="BA34" s="392" t="s">
        <v>16</v>
      </c>
      <c r="BB34" s="392" t="s">
        <v>17</v>
      </c>
      <c r="BC34" s="801" t="s">
        <v>25</v>
      </c>
      <c r="BE34" s="406" t="s">
        <v>346</v>
      </c>
      <c r="BF34" s="428" t="n">
        <f>ROUND(SUM(BF28:BF31)/('Evaluation Set-up'!$F$9+'Evaluation Set-up'!$G$9/12),2)</f>
        <v>0</v>
      </c>
      <c r="BG34" s="428" t="n">
        <f>ROUND(SUM(BG28:BG31)/('Evaluation Set-up'!$F$11+'Evaluation Set-up'!$G$11/12),2)</f>
        <v>0</v>
      </c>
      <c r="BH34" s="408" t="str">
        <f t="shared" ref="BH34" si="35">IFERROR(IF(((BG34-BF34)/BF34)&gt;1,"100+%",((BG34-BF34)/BF34)), "n/a")</f>
        <v>n/a</v>
      </c>
    </row>
    <row r="35" spans="2:60">
      <c r="K35" s="353" t="s">
        <v>151</v>
      </c>
      <c r="L35" s="384" t="n">
        <f>Assumptions!I12</f>
        <v>0</v>
      </c>
      <c r="M35" s="384" t="n">
        <f>U5/('Evaluation Set-up'!$F$9+'Evaluation Set-up'!$G$9/12)</f>
        <v>0</v>
      </c>
      <c r="N35" s="384" t="n">
        <f>Z5/('Evaluation Set-up'!$F$9+'Evaluation Set-up'!$G$9/12)</f>
        <v>0</v>
      </c>
      <c r="AZ35" s="795"/>
      <c r="BA35" s="393" t="str">
        <f>"("&amp;TEXT(ROUND('Evaluation Set-up'!$F$9+'Evaluation Set-up'!$G$9/12, 2), "0.00")&amp;" years"&amp;")"</f>
        <v>(4.58 years)</v>
      </c>
      <c r="BB35" s="393" t="str">
        <f>"("&amp;TEXT(ROUND('Evaluation Set-up'!$F$11+'Evaluation Set-up'!$G$11/12, 2), "0.00")&amp;" years"&amp;")"</f>
        <v>(4.58 years)</v>
      </c>
      <c r="BC35" s="802"/>
    </row>
    <row r="36" spans="2:60" ht="15.3">
      <c r="B36" s="370"/>
      <c r="C36" s="97"/>
      <c r="K36" s="353" t="s">
        <v>152</v>
      </c>
      <c r="L36" s="384" t="n">
        <f>Assumptions!I13</f>
        <v>0.1</v>
      </c>
      <c r="M36" s="384" t="n">
        <f>U6/('Evaluation Set-up'!$F$9+'Evaluation Set-up'!$G$9/12)</f>
        <v>0</v>
      </c>
      <c r="N36" s="384" t="n">
        <f>Z6/('Evaluation Set-up'!$F$9+'Evaluation Set-up'!$G$9/12)</f>
        <v>0</v>
      </c>
      <c r="AZ36" s="394" t="s">
        <v>114</v>
      </c>
      <c r="BA36" s="396" t="n">
        <f>Y4</f>
        <v>0</v>
      </c>
      <c r="BB36" s="396" t="n">
        <f>AD4</f>
        <v>0</v>
      </c>
      <c r="BC36" s="398" t="s">
        <v>343</v>
      </c>
    </row>
    <row r="37" spans="2:60" ht="15.3">
      <c r="B37" s="370"/>
      <c r="C37" s="97"/>
      <c r="K37" s="353" t="s">
        <v>153</v>
      </c>
      <c r="L37" s="384" t="n">
        <f>Assumptions!I14</f>
        <v>0.3</v>
      </c>
      <c r="M37" s="384" t="n">
        <f>U7/('Evaluation Set-up'!$F$9+'Evaluation Set-up'!$G$9/12)</f>
        <v>0.218181818181818</v>
      </c>
      <c r="N37" s="384" t="n">
        <f>Z7/('Evaluation Set-up'!$F$9+'Evaluation Set-up'!$G$9/12)</f>
        <v>0</v>
      </c>
      <c r="AZ37" s="394" t="s">
        <v>115</v>
      </c>
      <c r="BA37" s="396" t="n">
        <f>Y5</f>
        <v>0</v>
      </c>
      <c r="BB37" s="396" t="n">
        <f>AD5</f>
        <v>0</v>
      </c>
      <c r="BC37" s="398" t="s">
        <v>343</v>
      </c>
    </row>
    <row r="38" spans="2:60" ht="15.3">
      <c r="B38" s="370"/>
      <c r="C38" s="97"/>
      <c r="K38" s="353" t="s">
        <v>27</v>
      </c>
      <c r="L38" s="384" t="n">
        <f>Assumptions!I15</f>
        <v>1.5</v>
      </c>
      <c r="M38" s="384" t="n">
        <f>U8/('Evaluation Set-up'!$F$9+'Evaluation Set-up'!$G$9/12)</f>
        <v>1.30909090909091</v>
      </c>
      <c r="N38" s="384" t="n">
        <f>Z8/('Evaluation Set-up'!$F$9+'Evaluation Set-up'!$G$9/12)</f>
        <v>0.654545454545455</v>
      </c>
      <c r="AZ38" s="394" t="s">
        <v>116</v>
      </c>
      <c r="BA38" s="396" t="n">
        <f>Y6</f>
        <v>0</v>
      </c>
      <c r="BB38" s="396" t="n">
        <f>AD6</f>
        <v>0</v>
      </c>
      <c r="BC38" s="398" t="s">
        <v>343</v>
      </c>
    </row>
    <row r="39" spans="2:60" ht="15.3">
      <c r="AZ39" s="394" t="s">
        <v>26</v>
      </c>
      <c r="BA39" s="396" t="n">
        <f>Y7</f>
        <v>0</v>
      </c>
      <c r="BB39" s="396" t="n">
        <f>AD7</f>
        <v>0</v>
      </c>
      <c r="BC39" s="398" t="s">
        <v>343</v>
      </c>
    </row>
    <row r="40" spans="2:60" ht="15.3">
      <c r="AZ40" s="394" t="s">
        <v>27</v>
      </c>
      <c r="BA40" s="396" t="n">
        <f>Y8</f>
        <v>3</v>
      </c>
      <c r="BB40" s="396" t="n">
        <f>AD8</f>
        <v>2</v>
      </c>
      <c r="BC40" s="398" t="s">
        <v>343</v>
      </c>
    </row>
    <row r="41" spans="2:60">
      <c r="AZ41" s="401"/>
      <c r="BA41" s="402"/>
      <c r="BB41" s="402"/>
      <c r="BC41" s="402"/>
    </row>
    <row r="42" spans="2:60">
      <c r="AZ42" s="406" t="s">
        <v>346</v>
      </c>
      <c r="BA42" s="428" t="n">
        <f>ROUND(SUM(BA36:BA39)/('Evaluation Set-up'!$F$9+'Evaluation Set-up'!$G$9/12),2)</f>
        <v>0</v>
      </c>
      <c r="BB42" s="428" t="n">
        <f>ROUND(SUM(BB36:BB39)/('Evaluation Set-up'!$F$11+'Evaluation Set-up'!$G$11/12),2)</f>
        <v>0</v>
      </c>
      <c r="BC42" s="408" t="str">
        <f t="shared" ref="BC42" si="36">IFERROR(IF(((BB42-BA42)/BA42)&gt;1,"100+%",((BB42-BA42)/BA42)), "n/a")</f>
        <v>n/a</v>
      </c>
    </row>
    <row r="44" spans="2:60" ht="15" customHeight="1"/>
    <row r="54" ht="15" customHeight="1"/>
    <row r="62" ht="15" customHeight="1"/>
  </sheetData>
  <sheetProtection formatColumns="0" formatRows="0"/>
  <mergeCells count="88">
    <mergeCell ref="K27:K28"/>
    <mergeCell ref="L27:L28"/>
    <mergeCell ref="M27:M28"/>
    <mergeCell ref="N27:N28"/>
    <mergeCell ref="AF22:AF23"/>
    <mergeCell ref="AF14:AF15"/>
    <mergeCell ref="AG14:AG15"/>
    <mergeCell ref="AH14:AH15"/>
    <mergeCell ref="AI14:AI15"/>
    <mergeCell ref="AG22:AG23"/>
    <mergeCell ref="AH22:AH23"/>
    <mergeCell ref="U2:Y2"/>
    <mergeCell ref="Z2:AD2"/>
    <mergeCell ref="AF4:AF5"/>
    <mergeCell ref="AG4:AG5"/>
    <mergeCell ref="AH4:AH5"/>
    <mergeCell ref="AK28:AK29"/>
    <mergeCell ref="AL28:AL29"/>
    <mergeCell ref="AM28:AM29"/>
    <mergeCell ref="AN28:AN29"/>
    <mergeCell ref="AI22:AI23"/>
    <mergeCell ref="AR22:AR23"/>
    <mergeCell ref="AS22:AS23"/>
    <mergeCell ref="AU4:AU5"/>
    <mergeCell ref="AU16:AU17"/>
    <mergeCell ref="AI4:AI5"/>
    <mergeCell ref="AN4:AN5"/>
    <mergeCell ref="AK20:AK21"/>
    <mergeCell ref="AL20:AL21"/>
    <mergeCell ref="AM20:AM21"/>
    <mergeCell ref="AN20:AN21"/>
    <mergeCell ref="AK4:AK5"/>
    <mergeCell ref="AL4:AL5"/>
    <mergeCell ref="AM4:AM5"/>
    <mergeCell ref="BE4:BE5"/>
    <mergeCell ref="BH4:BH5"/>
    <mergeCell ref="AX16:AX17"/>
    <mergeCell ref="BE16:BE17"/>
    <mergeCell ref="AX4:AX5"/>
    <mergeCell ref="AZ4:AZ5"/>
    <mergeCell ref="BC4:BC5"/>
    <mergeCell ref="BC34:BC35"/>
    <mergeCell ref="AX26:AX27"/>
    <mergeCell ref="BE26:BE27"/>
    <mergeCell ref="BH26:BH27"/>
    <mergeCell ref="BH16:BH17"/>
    <mergeCell ref="AZ24:AZ25"/>
    <mergeCell ref="BC24:BC25"/>
    <mergeCell ref="K3:K4"/>
    <mergeCell ref="L3:L4"/>
    <mergeCell ref="M3:M4"/>
    <mergeCell ref="N3:N4"/>
    <mergeCell ref="AZ34:AZ35"/>
    <mergeCell ref="AU26:AU27"/>
    <mergeCell ref="AP4:AP5"/>
    <mergeCell ref="AQ4:AQ5"/>
    <mergeCell ref="AR4:AR5"/>
    <mergeCell ref="AS4:AS5"/>
    <mergeCell ref="AP14:AP15"/>
    <mergeCell ref="AQ14:AQ15"/>
    <mergeCell ref="AR14:AR15"/>
    <mergeCell ref="AS14:AS15"/>
    <mergeCell ref="AP22:AP23"/>
    <mergeCell ref="AQ22:AQ23"/>
    <mergeCell ref="E13:F13"/>
    <mergeCell ref="E14:F14"/>
    <mergeCell ref="E15:F15"/>
    <mergeCell ref="C7:C8"/>
    <mergeCell ref="N13:N14"/>
    <mergeCell ref="K13:K14"/>
    <mergeCell ref="B2:C2"/>
    <mergeCell ref="C19:C20"/>
    <mergeCell ref="B7:B8"/>
    <mergeCell ref="B9:B11"/>
    <mergeCell ref="B12:B14"/>
    <mergeCell ref="B19:B20"/>
    <mergeCell ref="C9:C11"/>
    <mergeCell ref="C12:C14"/>
    <mergeCell ref="C4:C6"/>
    <mergeCell ref="B4:B6"/>
    <mergeCell ref="C15:C17"/>
    <mergeCell ref="C26:C29"/>
    <mergeCell ref="B26:B29"/>
    <mergeCell ref="B15:B17"/>
    <mergeCell ref="C21:C22"/>
    <mergeCell ref="C23:C25"/>
    <mergeCell ref="B21:B22"/>
    <mergeCell ref="B23:B25"/>
  </mergeCells>
  <conditionalFormatting sqref="L29:L31">
    <cfRule type="containsBlanks" dxfId="3" priority="2">
      <formula>LEN(TRIM(L29))=0</formula>
    </cfRule>
  </conditionalFormatting>
  <conditionalFormatting sqref="L33:L38">
    <cfRule type="containsBlanks" dxfId="2" priority="1">
      <formula>LEN(TRIM(L33))=0</formula>
    </cfRule>
  </conditionalFormatting>
  <dataValidations count="1">
    <dataValidation type="list" errorStyle="information" allowBlank="1" showInputMessage="1" showErrorMessage="1" errorTitle="Trends pick" error="Not a Trends line item; the counts will stay blank." sqref="J5:J10" xr:uid="{2095E604-6D62-4F90-9CFD-89FFA4742AE2}">
      <formula1>TrendsMetricList</formula1>
    </dataValidation>
  </dataValidations>
  <hyperlinks>
    <hyperlink ref="I26" r:id="rId1" xr:uid="{1E3AA406-4D9F-4650-ADB1-D203C36E340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S4_Equal.S4_Equal">
                <anchor moveWithCells="1">
                  <from>
                    <xdr:col>4</xdr:col>
                    <xdr:colOff>125730</xdr:colOff>
                    <xdr:row>16</xdr:row>
                    <xdr:rowOff>68580</xdr:rowOff>
                  </from>
                  <to>
                    <xdr:col>5</xdr:col>
                    <xdr:colOff>1314450</xdr:colOff>
                    <xdr:row>19</xdr:row>
                    <xdr:rowOff>163830</xdr:rowOff>
                  </to>
                </anchor>
              </controlPr>
            </control>
          </mc:Choice>
        </mc:AlternateContent>
        <mc:AlternateContent xmlns:mc="http://schemas.openxmlformats.org/markup-compatibility/2006">
          <mc:Choice Requires="x14">
            <control shapeId="17410" r:id="rId6" name="Button 2">
              <controlPr defaultSize="0" print="0" autoFill="0" autoPict="0" macro="[0]!S4_Unequal.S4_Unequal">
                <anchor moveWithCells="1">
                  <from>
                    <xdr:col>4</xdr:col>
                    <xdr:colOff>95250</xdr:colOff>
                    <xdr:row>20</xdr:row>
                    <xdr:rowOff>163830</xdr:rowOff>
                  </from>
                  <to>
                    <xdr:col>5</xdr:col>
                    <xdr:colOff>1287780</xdr:colOff>
                    <xdr:row>24</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7809-F558-487E-A7EF-3E2F3FD328F8}">
  <sheetPr codeName="Sheet15"/>
  <dimension ref="A1:BB139"/>
  <sheetViews>
    <sheetView workbookViewId="0">
      <selection activeCell="G11" sqref="G11"/>
    </sheetView>
  </sheetViews>
  <sheetFormatPr defaultRowHeight="14.4"/>
  <cols>
    <col min="1" max="1" width="7.734375" customWidth="1"/>
    <col min="2" max="2" width="11.26171875" customWidth="1"/>
    <col min="3" max="3" width="11" customWidth="1"/>
    <col min="4" max="5" width="9.734375" customWidth="1"/>
    <col min="6" max="6" width="9.5234375" customWidth="1"/>
    <col min="7" max="7" width="14.15625" style="1" customWidth="1"/>
    <col min="8" max="8" width="14.26171875" style="1" customWidth="1"/>
    <col min="9" max="9" width="9.7890625" style="1" customWidth="1"/>
    <col min="10" max="10" width="9" style="1" customWidth="1"/>
    <col min="11" max="11" width="9" customWidth="1"/>
    <col min="12" max="14" width="8" customWidth="1"/>
    <col min="15" max="17" width="7.15625" customWidth="1"/>
    <col min="18" max="18" width="10.47265625" customWidth="1"/>
    <col min="19" max="54" width="7.7890625" customWidth="1"/>
    <col min="55" max="102" width="9.734375" customWidth="1"/>
  </cols>
  <sheetData>
    <row r="1" spans="1:54" s="72" customFormat="1" ht="20.399999999999999">
      <c r="B1" s="72" t="s">
        <v>236</v>
      </c>
      <c r="G1" s="73"/>
      <c r="H1" s="73"/>
      <c r="I1" s="73"/>
      <c r="J1" s="73"/>
    </row>
    <row r="3" spans="1:54">
      <c r="Q3" s="1"/>
      <c r="R3" s="1"/>
      <c r="S3" s="804" t="s">
        <v>202</v>
      </c>
      <c r="T3" s="805"/>
      <c r="U3" s="805"/>
      <c r="V3" s="805"/>
      <c r="W3" s="805"/>
      <c r="X3" s="806"/>
      <c r="Y3" s="804" t="s">
        <v>203</v>
      </c>
      <c r="Z3" s="805"/>
      <c r="AA3" s="805"/>
      <c r="AB3" s="805"/>
      <c r="AC3" s="805"/>
      <c r="AD3" s="806"/>
      <c r="AE3" s="804" t="s">
        <v>204</v>
      </c>
      <c r="AF3" s="805"/>
      <c r="AG3" s="805"/>
      <c r="AH3" s="805"/>
      <c r="AI3" s="805"/>
      <c r="AJ3" s="806"/>
      <c r="AK3" s="804" t="s">
        <v>205</v>
      </c>
      <c r="AL3" s="805"/>
      <c r="AM3" s="805"/>
      <c r="AN3" s="805"/>
      <c r="AO3" s="805"/>
      <c r="AP3" s="806"/>
      <c r="AQ3" s="804" t="s">
        <v>206</v>
      </c>
      <c r="AR3" s="805"/>
      <c r="AS3" s="805"/>
      <c r="AT3" s="805"/>
      <c r="AU3" s="805"/>
      <c r="AV3" s="806"/>
      <c r="AW3" s="804" t="s">
        <v>207</v>
      </c>
      <c r="AX3" s="805"/>
      <c r="AY3" s="805"/>
      <c r="AZ3" s="805"/>
      <c r="BA3" s="805"/>
      <c r="BB3" s="806"/>
    </row>
    <row r="4" spans="1:54" s="46" customFormat="1" ht="43.2">
      <c r="B4" s="45" t="s">
        <v>185</v>
      </c>
      <c r="C4" s="45" t="s">
        <v>186</v>
      </c>
      <c r="D4" s="45" t="s">
        <v>187</v>
      </c>
      <c r="E4" s="45" t="s">
        <v>188</v>
      </c>
      <c r="F4" s="45" t="s">
        <v>189</v>
      </c>
      <c r="G4" s="45" t="s">
        <v>190</v>
      </c>
      <c r="H4" s="45" t="s">
        <v>191</v>
      </c>
      <c r="I4" s="45" t="s">
        <v>192</v>
      </c>
      <c r="J4" s="45" t="s">
        <v>193</v>
      </c>
      <c r="K4" s="45" t="s">
        <v>194</v>
      </c>
      <c r="L4" s="45" t="s">
        <v>195</v>
      </c>
      <c r="M4" s="45" t="s">
        <v>196</v>
      </c>
      <c r="N4" s="45" t="s">
        <v>197</v>
      </c>
      <c r="O4" s="45" t="s">
        <v>198</v>
      </c>
      <c r="P4" s="45" t="s">
        <v>199</v>
      </c>
      <c r="Q4" s="45" t="s">
        <v>200</v>
      </c>
      <c r="R4" s="52" t="s">
        <v>201</v>
      </c>
      <c r="S4" s="50" t="s">
        <v>19</v>
      </c>
      <c r="T4" s="50" t="s">
        <v>67</v>
      </c>
      <c r="U4" s="50" t="s">
        <v>39</v>
      </c>
      <c r="V4" s="50" t="s">
        <v>231</v>
      </c>
      <c r="W4" s="50" t="s">
        <v>68</v>
      </c>
      <c r="X4" s="50" t="s">
        <v>69</v>
      </c>
      <c r="Y4" s="50" t="s">
        <v>19</v>
      </c>
      <c r="Z4" s="50" t="s">
        <v>67</v>
      </c>
      <c r="AA4" s="50" t="s">
        <v>39</v>
      </c>
      <c r="AB4" s="50" t="s">
        <v>231</v>
      </c>
      <c r="AC4" s="50" t="s">
        <v>68</v>
      </c>
      <c r="AD4" s="50" t="s">
        <v>69</v>
      </c>
      <c r="AE4" s="50" t="s">
        <v>19</v>
      </c>
      <c r="AF4" s="50" t="s">
        <v>67</v>
      </c>
      <c r="AG4" s="50" t="s">
        <v>39</v>
      </c>
      <c r="AH4" s="50" t="s">
        <v>231</v>
      </c>
      <c r="AI4" s="50" t="s">
        <v>68</v>
      </c>
      <c r="AJ4" s="50" t="s">
        <v>69</v>
      </c>
      <c r="AK4" s="50" t="s">
        <v>19</v>
      </c>
      <c r="AL4" s="50" t="s">
        <v>67</v>
      </c>
      <c r="AM4" s="50" t="s">
        <v>39</v>
      </c>
      <c r="AN4" s="50" t="s">
        <v>231</v>
      </c>
      <c r="AO4" s="50" t="s">
        <v>68</v>
      </c>
      <c r="AP4" s="50" t="s">
        <v>69</v>
      </c>
      <c r="AQ4" s="50" t="s">
        <v>19</v>
      </c>
      <c r="AR4" s="50" t="s">
        <v>67</v>
      </c>
      <c r="AS4" s="50" t="s">
        <v>39</v>
      </c>
      <c r="AT4" s="50" t="s">
        <v>231</v>
      </c>
      <c r="AU4" s="50" t="s">
        <v>68</v>
      </c>
      <c r="AV4" s="50" t="s">
        <v>69</v>
      </c>
      <c r="AW4" s="50" t="s">
        <v>19</v>
      </c>
      <c r="AX4" s="50" t="s">
        <v>67</v>
      </c>
      <c r="AY4" s="50" t="s">
        <v>39</v>
      </c>
      <c r="AZ4" s="50" t="s">
        <v>231</v>
      </c>
      <c r="BA4" s="50" t="s">
        <v>68</v>
      </c>
      <c r="BB4" s="50" t="s">
        <v>69</v>
      </c>
    </row>
    <row r="5" spans="1:54">
      <c r="A5" s="33" t="s">
        <v>239</v>
      </c>
      <c r="B5" s="51" t="str">
        <f>'One Pager'!I4</f>
        <v>05-20-62123 (TIP #HS-2005A)</v>
      </c>
      <c r="C5" s="51" t="str">
        <f>'One Pager'!I6</f>
        <v>SR 1602 (Main Street) at SR 1207 (Spring Street)</v>
      </c>
      <c r="D5" s="51" t="str">
        <f>'One Pager'!I8</f>
        <v>Granville</v>
      </c>
      <c r="E5" s="51" t="str">
        <f>'One Pager'!I7</f>
        <v>36.310027, -78.587328</v>
      </c>
      <c r="F5" s="51" t="n">
        <f>'One Pager'!I13</f>
        <v>278000</v>
      </c>
      <c r="G5" s="51" t="str">
        <f>'One Pager'!I12</f>
        <v>Construct a Mini-Roundabout including pedestrian upgrades</v>
      </c>
      <c r="H5" s="34" t="str">
        <f>Assumptions!D15</f>
        <v>Roundabout</v>
      </c>
      <c r="I5" s="34" t="n">
        <f>Assumptions!O6</f>
        <v>35</v>
      </c>
      <c r="J5" s="34" t="n">
        <f>Assumptions!O7</f>
        <v>25</v>
      </c>
      <c r="K5" s="34" t="n">
        <f>IF(YEAR('Evaluation Set-up'!$D$10) = YEAR('Evaluation Set-up'!$E$10), YEAR('Evaluation Set-up'!$D$10), YEAR('Evaluation Set-up'!$D$10)&amp;" - "&amp;YEAR('Evaluation Set-up'!$E$10))</f>
        <v>2021</v>
      </c>
      <c r="L5" s="34" t="n">
        <f>IF(VLOOKUP(YEAR('Evaluation Set-up'!$D$10)-3,$J$13:$K$37,2,0)&lt;&gt;12,"",YEAR('Evaluation Set-up'!$D$10)-3)</f>
        <v>2018</v>
      </c>
      <c r="M5" s="34" t="n">
        <f>IF(VLOOKUP(YEAR('Evaluation Set-up'!$D$10)-2,$J$13:$K$37,2,0)&lt;&gt;12,"",YEAR('Evaluation Set-up'!$D$10)-2)</f>
        <v>2019</v>
      </c>
      <c r="N5" s="34" t="n">
        <f>IF(VLOOKUP(YEAR('Evaluation Set-up'!$D$10)-1,$J$13:$K$37,2,0)&lt;&gt;12,"",YEAR('Evaluation Set-up'!$D$10)-1)</f>
        <v>2020</v>
      </c>
      <c r="O5" s="34" t="n">
        <f>IF(VLOOKUP(YEAR('Evaluation Set-up'!$E$10)+1,$Y$13:$Z$37,2,0)&lt;&gt;12,"",YEAR('Evaluation Set-up'!$E$10)+1)</f>
        <v>2022</v>
      </c>
      <c r="P5" s="34" t="n">
        <f>IF(VLOOKUP(YEAR('Evaluation Set-up'!$E$10)+2,$Y$13:$Z$37,2,0)&lt;&gt;12,"",YEAR('Evaluation Set-up'!$E$10)+2)</f>
        <v>2023</v>
      </c>
      <c r="Q5" s="34" t="n">
        <f>IF(VLOOKUP(YEAR('Evaluation Set-up'!$E$10)+3,$Y$13:$Z$37,2,0)&lt;&gt;12,"",YEAR('Evaluation Set-up'!$E$10)+3)</f>
        <v>2024</v>
      </c>
      <c r="R5" s="434"/>
      <c r="S5" s="34" t="n">
        <f>IF(L5="","",VLOOKUP($L5,$B$12:$H$37,2,0))</f>
        <v>1</v>
      </c>
      <c r="T5" s="34" t="n">
        <f>IF(L5="","",VLOOKUP($L5,$B$12:$H$37,3,0))</f>
        <v>0</v>
      </c>
      <c r="U5" s="34" t="n">
        <f>IF(L5="","",VLOOKUP($L5,$B$12:$H$37,4,0))</f>
        <v>0</v>
      </c>
      <c r="V5" s="34" t="n">
        <f>IF(L5="","",VLOOKUP($L5,$B$12:$H$37,5,0))</f>
        <v>0</v>
      </c>
      <c r="W5" s="34" t="n">
        <f>IF(L5="","",VLOOKUP($L5,$B$12:$H$37,6,0))</f>
        <v>3000</v>
      </c>
      <c r="X5" s="34" t="n">
        <f>IF(L5="","",VLOOKUP($L5,$B$12:$H$37,7,0))</f>
        <v>2450</v>
      </c>
      <c r="Y5" s="34" t="n">
        <f>IF(M5="","",VLOOKUP($M5,$B$12:$H$37,2,0))</f>
        <v>1</v>
      </c>
      <c r="Z5" s="34" t="n">
        <f>IF(M5="","",VLOOKUP($M5,$B$12:$H$37,3,0))</f>
        <v>0</v>
      </c>
      <c r="AA5" s="34" t="n">
        <f>IF(M5="","",VLOOKUP($M5,$B$12:$H$37,4,0))</f>
        <v>1</v>
      </c>
      <c r="AB5" s="34" t="n">
        <f>IF(M5="","",VLOOKUP($M5,$B$12:$H$37,5,0))</f>
        <v>1</v>
      </c>
      <c r="AC5" s="34" t="n">
        <f>IF(M5="","",VLOOKUP($M5,$B$12:$H$37,6,0))</f>
        <v>2850</v>
      </c>
      <c r="AD5" s="34" t="n">
        <f>IF(M5="","",VLOOKUP($M5,$B$12:$H$37,7,0))</f>
        <v>2200</v>
      </c>
      <c r="AE5" s="34" t="n">
        <f>IF(N5="","",VLOOKUP($N5,$B$12:$H$37,2,0))</f>
        <v>1</v>
      </c>
      <c r="AF5" s="34" t="n">
        <f>IF(N5="","",VLOOKUP($N5,$B$12:$H$37,3,0))</f>
        <v>0</v>
      </c>
      <c r="AG5" s="34" t="n">
        <f>IF(N5="","",VLOOKUP($N5,$B$12:$H$37,4,0))</f>
        <v>0</v>
      </c>
      <c r="AH5" s="34" t="n">
        <f>IF(N5="","",VLOOKUP($N5,$B$12:$H$37,5,0))</f>
        <v>0</v>
      </c>
      <c r="AI5" s="34" t="n">
        <f>IF(N5="","",VLOOKUP($N5,$B$12:$H$37,6,0))</f>
        <v>2300</v>
      </c>
      <c r="AJ5" s="34" t="n">
        <f>IF(N5="","",VLOOKUP($N5,$B$12:$H$37,7,0))</f>
        <v>1750</v>
      </c>
      <c r="AK5" s="34" t="n">
        <f>IF(O5="","",VLOOKUP($O5,$B$12:$H$37,2,0))</f>
        <v>1</v>
      </c>
      <c r="AL5" s="34" t="n">
        <f>IF(O5="","",VLOOKUP($O5,$B$12:$H$37,3,0))</f>
        <v>1</v>
      </c>
      <c r="AM5" s="34" t="n">
        <f>IF(O5="","",VLOOKUP($O5,$B$12:$H$37,4,0))</f>
        <v>0</v>
      </c>
      <c r="AN5" s="34" t="n">
        <f>IF(O5="","",VLOOKUP($O5,$B$12:$H$37,5,0))</f>
        <v>0</v>
      </c>
      <c r="AO5" s="34" t="n">
        <f>IF(O5="","",VLOOKUP($O5,$B$12:$H$37,6,0))</f>
        <v>2500</v>
      </c>
      <c r="AP5" s="34" t="n">
        <f>IF(O5="","",VLOOKUP($O5,$B$12:$H$37,7,0))</f>
        <v>1800</v>
      </c>
      <c r="AQ5" s="34" t="n">
        <f>IF(P5="","",VLOOKUP($P5,$B$12:$H$37,2,0))</f>
        <v>0</v>
      </c>
      <c r="AR5" s="34" t="n">
        <f>IF(P5="","",VLOOKUP($P5,$B$12:$H$37,3,0))</f>
        <v>0</v>
      </c>
      <c r="AS5" s="34" t="n">
        <f>IF(P5="","",VLOOKUP($P5,$B$12:$H$37,4,0))</f>
        <v>0</v>
      </c>
      <c r="AT5" s="34" t="n">
        <f>IF(P5="","",VLOOKUP($P5,$B$12:$H$37,5,0))</f>
        <v>0</v>
      </c>
      <c r="AU5" s="34" t="n">
        <f>IF(P5="","",VLOOKUP($P5,$B$12:$H$37,6,0))</f>
        <v>2350</v>
      </c>
      <c r="AV5" s="34" t="n">
        <f>IF(P5="","",VLOOKUP($P5,$B$12:$H$37,7,0))</f>
        <v>1750</v>
      </c>
      <c r="AW5" s="34" t="n">
        <f>IF(Q5="","",VLOOKUP($Q5,$B$12:$H$37,2,0))</f>
        <v>1</v>
      </c>
      <c r="AX5" s="34" t="n">
        <f>IF(Q5="","",VLOOKUP($Q5,$B$12:$H$37,3,0))</f>
        <v>0</v>
      </c>
      <c r="AY5" s="34" t="n">
        <f>IF(Q5="","",VLOOKUP($Q5,$B$12:$H$37,4,0))</f>
        <v>0</v>
      </c>
      <c r="AZ5" s="34" t="n">
        <f>IF(Q5="","",VLOOKUP($Q5,$B$12:$H$37,5,0))</f>
        <v>0</v>
      </c>
      <c r="BA5" s="34" t="n">
        <f>IF(Q5="","",VLOOKUP($Q5,$B$12:$H$37,6,0))</f>
        <v>2450</v>
      </c>
      <c r="BB5" s="34" t="n">
        <f>IF(Q5="","",VLOOKUP($Q5,$B$12:$H$37,7,0))</f>
        <v>1800</v>
      </c>
    </row>
    <row r="6" spans="1:54">
      <c r="Q6" s="1"/>
      <c r="R6" s="1"/>
      <c r="S6" s="1"/>
    </row>
    <row r="7" spans="1:54">
      <c r="A7" t="s">
        <v>240</v>
      </c>
      <c r="Q7" s="1"/>
      <c r="R7" s="1"/>
      <c r="S7" s="1"/>
    </row>
    <row r="8" spans="1:54">
      <c r="Q8" s="1"/>
      <c r="R8" s="1"/>
      <c r="S8" s="1"/>
    </row>
    <row r="9" spans="1:54">
      <c r="Q9" s="1"/>
      <c r="R9" s="1"/>
      <c r="S9" s="1"/>
    </row>
    <row r="10" spans="1:54" ht="14.7" thickBot="1">
      <c r="J10"/>
      <c r="P10" s="1"/>
      <c r="Q10" s="1"/>
      <c r="R10" s="1"/>
    </row>
    <row r="11" spans="1:54" s="74" customFormat="1" ht="30" customHeight="1" thickBot="1">
      <c r="G11" s="48"/>
      <c r="H11" s="48"/>
      <c r="I11" s="48"/>
      <c r="J11" s="812" t="s">
        <v>234</v>
      </c>
      <c r="K11" s="814"/>
      <c r="L11" s="812" t="s">
        <v>230</v>
      </c>
      <c r="M11" s="813"/>
      <c r="N11" s="813"/>
      <c r="O11" s="813"/>
      <c r="P11" s="813"/>
      <c r="Q11" s="813"/>
      <c r="R11" s="813"/>
      <c r="S11" s="813"/>
      <c r="T11" s="813"/>
      <c r="U11" s="813"/>
      <c r="V11" s="813"/>
      <c r="W11" s="814"/>
      <c r="X11" s="48"/>
      <c r="Y11" s="812" t="s">
        <v>235</v>
      </c>
      <c r="Z11" s="814"/>
      <c r="AA11" s="812" t="s">
        <v>230</v>
      </c>
      <c r="AB11" s="813"/>
      <c r="AC11" s="813"/>
      <c r="AD11" s="813"/>
      <c r="AE11" s="813"/>
      <c r="AF11" s="813"/>
      <c r="AG11" s="813"/>
      <c r="AH11" s="813"/>
      <c r="AI11" s="813"/>
      <c r="AJ11" s="813"/>
      <c r="AK11" s="813"/>
      <c r="AL11" s="814"/>
    </row>
    <row r="12" spans="1:54" s="47" customFormat="1" ht="29.1" thickBot="1">
      <c r="B12" s="75" t="s">
        <v>31</v>
      </c>
      <c r="C12" s="56" t="s">
        <v>19</v>
      </c>
      <c r="D12" s="57" t="s">
        <v>67</v>
      </c>
      <c r="E12" s="57" t="s">
        <v>39</v>
      </c>
      <c r="F12" s="58" t="s">
        <v>231</v>
      </c>
      <c r="G12" s="56" t="s">
        <v>68</v>
      </c>
      <c r="H12" s="58" t="s">
        <v>69</v>
      </c>
      <c r="I12" s="46"/>
      <c r="J12" s="435" t="s">
        <v>241</v>
      </c>
      <c r="K12" s="436" t="s">
        <v>232</v>
      </c>
      <c r="L12" s="60">
        <v>1</v>
      </c>
      <c r="M12" s="61">
        <v>2</v>
      </c>
      <c r="N12" s="61">
        <v>3</v>
      </c>
      <c r="O12" s="61">
        <v>4</v>
      </c>
      <c r="P12" s="61">
        <v>5</v>
      </c>
      <c r="Q12" s="61">
        <v>6</v>
      </c>
      <c r="R12" s="61">
        <v>7</v>
      </c>
      <c r="S12" s="61">
        <v>8</v>
      </c>
      <c r="T12" s="61">
        <v>9</v>
      </c>
      <c r="U12" s="61">
        <v>10</v>
      </c>
      <c r="V12" s="61">
        <v>11</v>
      </c>
      <c r="W12" s="62">
        <v>12</v>
      </c>
      <c r="X12" s="46"/>
      <c r="Y12" s="43" t="s">
        <v>241</v>
      </c>
      <c r="Z12" s="44" t="s">
        <v>233</v>
      </c>
      <c r="AA12" s="61">
        <v>1</v>
      </c>
      <c r="AB12" s="61">
        <v>2</v>
      </c>
      <c r="AC12" s="61">
        <v>3</v>
      </c>
      <c r="AD12" s="61">
        <v>4</v>
      </c>
      <c r="AE12" s="61">
        <v>5</v>
      </c>
      <c r="AF12" s="61">
        <v>6</v>
      </c>
      <c r="AG12" s="61">
        <v>7</v>
      </c>
      <c r="AH12" s="61">
        <v>8</v>
      </c>
      <c r="AI12" s="61">
        <v>9</v>
      </c>
      <c r="AJ12" s="61">
        <v>10</v>
      </c>
      <c r="AK12" s="61">
        <v>11</v>
      </c>
      <c r="AL12" s="62">
        <v>12</v>
      </c>
    </row>
    <row r="13" spans="1:54">
      <c r="B13" s="76">
        <v>2010</v>
      </c>
      <c r="C13" s="78" t="n">
        <f>COUNTIF(Before!$Q:$Q,B13) + COUNTIF(After!$Q:$Q,B13)</f>
        <v>0</v>
      </c>
      <c r="D13" s="79" t="n">
        <f>COUNTIFS(Before!$C:$C,"&gt;=23",Before!$C:$C,"&lt;=27", Before!$Q:$Q,B13)+COUNTIFS(Before!$C:$C,"30", Before!$Q:$Q,B13) + COUNTIFS(After!$C:$C,"&gt;=23",After!$C:$C,"&lt;=27", After!$Q:$Q,B13)+COUNTIFS(After!$C:$C,"30", After!$Q:$Q,B13)</f>
        <v>0</v>
      </c>
      <c r="E13" s="79" t="n">
        <f>COUNTIFS(Before!$C:$C,"&gt;=21",Before!$C:$C,"&lt;=22", Before!$Q:$Q,B13) + COUNTIFS(After!$C:$C,"&gt;=21",After!$C:$C,"&lt;=22", After!$Q:$Q,B13)</f>
        <v>0</v>
      </c>
      <c r="F13" s="80" t="n">
        <f>COUNTIFS(Before!$Q:$Q,$B13, Before!$G:$G, "K") + COUNTIFS(Before!$Q:$Q,$B13, Before!$G:$G, "A") + COUNTIFS(Before!$Q:$Q,$B13, Before!$G:$G, "B") + COUNTIFS(Before!$Q:$Q,$B13, Before!$G:$G, "C")
+ COUNTIFS(After!$Q:$Q,$B13, After!$G:$G, "K") + COUNTIFS(After!$Q:$Q,$B13, After!$G:$G, "A") + COUNTIFS(After!$Q:$Q,$B13, After!$G:$G, "B") + COUNTIFS(After!$Q:$Q,$B13, After!$G:$G, "C")</f>
        <v>0</v>
      </c>
      <c r="G13" s="83" t="str">
        <f>VLOOKUP($B13, 'Evaluation Set-up'!$K$11:$R$35, 4, FALSE)</f>
        <v/>
      </c>
      <c r="H13" s="84" t="str">
        <f>VLOOKUP($B13, 'Evaluation Set-up'!$K$11:$R$35, 7, FALSE)</f>
        <v/>
      </c>
      <c r="J13" s="63">
        <v>2010</v>
      </c>
      <c r="K13" s="64" t="n">
        <f>COUNTIFS(L13:W13, "Before")</f>
        <v>0</v>
      </c>
      <c r="L13" s="68" t="str">
        <f>IF(OR(DATE($J13, L$12, 1) &lt; 'Evaluation Set-up'!$D$9, DATE($J13, L$12, 1) &gt;= 'Evaluation Set-up'!$E$9), "", "Before")</f>
        <v/>
      </c>
      <c r="M13" s="68" t="str">
        <f>IF(OR(DATE($J13, M$12, 1) &lt; 'Evaluation Set-up'!$D$9, DATE($J13, M$12, 1) &gt;= 'Evaluation Set-up'!$E$9), "", "Before")</f>
        <v/>
      </c>
      <c r="N13" s="68" t="str">
        <f>IF(OR(DATE($J13, N$12, 1) &lt; 'Evaluation Set-up'!$D$9, DATE($J13, N$12, 1) &gt;= 'Evaluation Set-up'!$E$9), "", "Before")</f>
        <v/>
      </c>
      <c r="O13" s="68" t="str">
        <f>IF(OR(DATE($J13, O$12, 1) &lt; 'Evaluation Set-up'!$D$9, DATE($J13, O$12, 1) &gt;= 'Evaluation Set-up'!$E$9), "", "Before")</f>
        <v/>
      </c>
      <c r="P13" s="68" t="str">
        <f>IF(OR(DATE($J13, P$12, 1) &lt; 'Evaluation Set-up'!$D$9, DATE($J13, P$12, 1) &gt;= 'Evaluation Set-up'!$E$9), "", "Before")</f>
        <v/>
      </c>
      <c r="Q13" s="68" t="str">
        <f>IF(OR(DATE($J13, Q$12, 1) &lt; 'Evaluation Set-up'!$D$9, DATE($J13, Q$12, 1) &gt;= 'Evaluation Set-up'!$E$9), "", "Before")</f>
        <v/>
      </c>
      <c r="R13" s="68" t="str">
        <f>IF(OR(DATE($J13, R$12, 1) &lt; 'Evaluation Set-up'!$D$9, DATE($J13, R$12, 1) &gt;= 'Evaluation Set-up'!$E$9), "", "Before")</f>
        <v/>
      </c>
      <c r="S13" s="68" t="str">
        <f>IF(OR(DATE($J13, S$12, 1) &lt; 'Evaluation Set-up'!$D$9, DATE($J13, S$12, 1) &gt;= 'Evaluation Set-up'!$E$9), "", "Before")</f>
        <v/>
      </c>
      <c r="T13" s="68" t="str">
        <f>IF(OR(DATE($J13, T$12, 1) &lt; 'Evaluation Set-up'!$D$9, DATE($J13, T$12, 1) &gt;= 'Evaluation Set-up'!$E$9), "", "Before")</f>
        <v/>
      </c>
      <c r="U13" s="68" t="str">
        <f>IF(OR(DATE($J13, U$12, 1) &lt; 'Evaluation Set-up'!$D$9, DATE($J13, U$12, 1) &gt;= 'Evaluation Set-up'!$E$9), "", "Before")</f>
        <v/>
      </c>
      <c r="V13" s="68" t="str">
        <f>IF(OR(DATE($J13, V$12, 1) &lt; 'Evaluation Set-up'!$D$9, DATE($J13, V$12, 1) &gt;= 'Evaluation Set-up'!$E$9), "", "Before")</f>
        <v/>
      </c>
      <c r="W13" s="69" t="str">
        <f>IF(OR(DATE($J13, W$12, 1) &lt; 'Evaluation Set-up'!$D$9, DATE($J13, W$12, 1) &gt;= 'Evaluation Set-up'!$E$9), "", "Before")</f>
        <v/>
      </c>
      <c r="X13" s="1"/>
      <c r="Y13" s="63">
        <v>2010</v>
      </c>
      <c r="Z13" s="64" t="n">
        <f>COUNTIFS(AA13:AL13, "After")</f>
        <v>0</v>
      </c>
      <c r="AA13" s="68" t="str">
        <f>IF(OR(DATE($Y13, L$12, 1) &lt; 'Evaluation Set-up'!$D$11, DATE($Y13, L$12, 1) &gt;= 'Evaluation Set-up'!$E$11), "", "After")</f>
        <v/>
      </c>
      <c r="AB13" s="68" t="str">
        <f>IF(OR(DATE($Y13, M$12, 1) &lt; 'Evaluation Set-up'!$D$11, DATE($Y13, M$12, 1) &gt;= 'Evaluation Set-up'!$E$11), "", "After")</f>
        <v/>
      </c>
      <c r="AC13" s="68" t="str">
        <f>IF(OR(DATE($Y13, N$12, 1) &lt; 'Evaluation Set-up'!$D$11, DATE($Y13, N$12, 1) &gt;= 'Evaluation Set-up'!$E$11), "", "After")</f>
        <v/>
      </c>
      <c r="AD13" s="68" t="str">
        <f>IF(OR(DATE($Y13, O$12, 1) &lt; 'Evaluation Set-up'!$D$11, DATE($Y13, O$12, 1) &gt;= 'Evaluation Set-up'!$E$11), "", "After")</f>
        <v/>
      </c>
      <c r="AE13" s="68" t="str">
        <f>IF(OR(DATE($Y13, P$12, 1) &lt; 'Evaluation Set-up'!$D$11, DATE($Y13, P$12, 1) &gt;= 'Evaluation Set-up'!$E$11), "", "After")</f>
        <v/>
      </c>
      <c r="AF13" s="68" t="str">
        <f>IF(OR(DATE($Y13, Q$12, 1) &lt; 'Evaluation Set-up'!$D$11, DATE($Y13, Q$12, 1) &gt;= 'Evaluation Set-up'!$E$11), "", "After")</f>
        <v/>
      </c>
      <c r="AG13" s="68" t="str">
        <f>IF(OR(DATE($Y13, R$12, 1) &lt; 'Evaluation Set-up'!$D$11, DATE($Y13, R$12, 1) &gt;= 'Evaluation Set-up'!$E$11), "", "After")</f>
        <v/>
      </c>
      <c r="AH13" s="68" t="str">
        <f>IF(OR(DATE($Y13, S$12, 1) &lt; 'Evaluation Set-up'!$D$11, DATE($Y13, S$12, 1) &gt;= 'Evaluation Set-up'!$E$11), "", "After")</f>
        <v/>
      </c>
      <c r="AI13" s="68" t="str">
        <f>IF(OR(DATE($Y13, T$12, 1) &lt; 'Evaluation Set-up'!$D$11, DATE($Y13, T$12, 1) &gt;= 'Evaluation Set-up'!$E$11), "", "After")</f>
        <v/>
      </c>
      <c r="AJ13" s="68" t="str">
        <f>IF(OR(DATE($Y13, U$12, 1) &lt; 'Evaluation Set-up'!$D$11, DATE($Y13, U$12, 1) &gt;= 'Evaluation Set-up'!$E$11), "", "After")</f>
        <v/>
      </c>
      <c r="AK13" s="68" t="str">
        <f>IF(OR(DATE($Y13, V$12, 1) &lt; 'Evaluation Set-up'!$D$11, DATE($Y13, V$12, 1) &gt;= 'Evaluation Set-up'!$E$11), "", "After")</f>
        <v/>
      </c>
      <c r="AL13" s="69" t="str">
        <f>IF(OR(DATE($Y13, W$12, 1) &lt; 'Evaluation Set-up'!$D$11, DATE($Y13, W$12, 1) &gt;= 'Evaluation Set-up'!$E$11), "", "After")</f>
        <v/>
      </c>
    </row>
    <row r="14" spans="1:54">
      <c r="B14" s="77">
        <v>2011</v>
      </c>
      <c r="C14" s="81" t="n">
        <f>COUNTIF(Before!$Q:$Q,B14) + COUNTIF(After!$Q:$Q,B14)</f>
        <v>0</v>
      </c>
      <c r="D14" s="34" t="n">
        <f>COUNTIFS(Before!$C:$C,"&gt;=23",Before!$C:$C,"&lt;=27", Before!$Q:$Q,B14)+COUNTIFS(Before!$C:$C,"30", Before!$Q:$Q,B14) + COUNTIFS(After!$C:$C,"&gt;=23",After!$C:$C,"&lt;=27", After!$Q:$Q,B14)+COUNTIFS(After!$C:$C,"30", After!$Q:$Q,B14)</f>
        <v>0</v>
      </c>
      <c r="E14" s="34" t="n">
        <f>COUNTIFS(Before!$C:$C,"&gt;=21",Before!$C:$C,"&lt;=22", Before!$Q:$Q,B14) + COUNTIFS(After!$C:$C,"&gt;=21",After!$C:$C,"&lt;=22", After!$Q:$Q,B14)</f>
        <v>0</v>
      </c>
      <c r="F14" s="82" t="n">
        <f>COUNTIFS(Before!$Q:$Q,$B14, Before!$G:$G, "K") + COUNTIFS(Before!$Q:$Q,$B14, Before!$G:$G, "A") + COUNTIFS(Before!$Q:$Q,$B14, Before!$G:$G, "B") + COUNTIFS(Before!$Q:$Q,$B14, Before!$G:$G, "C")
+ COUNTIFS(After!$Q:$Q,$B14, After!$G:$G, "K") + COUNTIFS(After!$Q:$Q,$B14, After!$G:$G, "A") + COUNTIFS(After!$Q:$Q,$B14, After!$G:$G, "B") + COUNTIFS(After!$Q:$Q,$B14, After!$G:$G, "C")</f>
        <v>0</v>
      </c>
      <c r="G14" s="85" t="str">
        <f>VLOOKUP($B14, 'Evaluation Set-up'!$K$11:$R$35, 4, FALSE)</f>
        <v/>
      </c>
      <c r="H14" s="86" t="str">
        <f>VLOOKUP($B14, 'Evaluation Set-up'!$K$11:$R$35, 7, FALSE)</f>
        <v/>
      </c>
      <c r="J14" s="49">
        <v>2011</v>
      </c>
      <c r="K14" s="65" t="n">
        <f t="shared" ref="K14:K37" si="0">COUNTIFS(L14:W14, "Before")</f>
        <v>0</v>
      </c>
      <c r="L14" s="1" t="str">
        <f>IF(OR(DATE($J14, L$12, 1) &lt; 'Evaluation Set-up'!$D$9, DATE($J14, L$12, 1) &gt;= 'Evaluation Set-up'!$E$9), "", "Before")</f>
        <v/>
      </c>
      <c r="M14" s="1" t="str">
        <f>IF(OR(DATE($J14, M$12, 1) &lt; 'Evaluation Set-up'!$D$9, DATE($J14, M$12, 1) &gt;= 'Evaluation Set-up'!$E$9), "", "Before")</f>
        <v/>
      </c>
      <c r="N14" s="1" t="str">
        <f>IF(OR(DATE($J14, N$12, 1) &lt; 'Evaluation Set-up'!$D$9, DATE($J14, N$12, 1) &gt;= 'Evaluation Set-up'!$E$9), "", "Before")</f>
        <v/>
      </c>
      <c r="O14" s="1" t="str">
        <f>IF(OR(DATE($J14, O$12, 1) &lt; 'Evaluation Set-up'!$D$9, DATE($J14, O$12, 1) &gt;= 'Evaluation Set-up'!$E$9), "", "Before")</f>
        <v/>
      </c>
      <c r="P14" s="1" t="str">
        <f>IF(OR(DATE($J14, P$12, 1) &lt; 'Evaluation Set-up'!$D$9, DATE($J14, P$12, 1) &gt;= 'Evaluation Set-up'!$E$9), "", "Before")</f>
        <v/>
      </c>
      <c r="Q14" s="1" t="str">
        <f>IF(OR(DATE($J14, Q$12, 1) &lt; 'Evaluation Set-up'!$D$9, DATE($J14, Q$12, 1) &gt;= 'Evaluation Set-up'!$E$9), "", "Before")</f>
        <v/>
      </c>
      <c r="R14" s="1" t="str">
        <f>IF(OR(DATE($J14, R$12, 1) &lt; 'Evaluation Set-up'!$D$9, DATE($J14, R$12, 1) &gt;= 'Evaluation Set-up'!$E$9), "", "Before")</f>
        <v/>
      </c>
      <c r="S14" s="1" t="str">
        <f>IF(OR(DATE($J14, S$12, 1) &lt; 'Evaluation Set-up'!$D$9, DATE($J14, S$12, 1) &gt;= 'Evaluation Set-up'!$E$9), "", "Before")</f>
        <v/>
      </c>
      <c r="T14" s="1" t="str">
        <f>IF(OR(DATE($J14, T$12, 1) &lt; 'Evaluation Set-up'!$D$9, DATE($J14, T$12, 1) &gt;= 'Evaluation Set-up'!$E$9), "", "Before")</f>
        <v/>
      </c>
      <c r="U14" s="1" t="str">
        <f>IF(OR(DATE($J14, U$12, 1) &lt; 'Evaluation Set-up'!$D$9, DATE($J14, U$12, 1) &gt;= 'Evaluation Set-up'!$E$9), "", "Before")</f>
        <v/>
      </c>
      <c r="V14" s="1" t="str">
        <f>IF(OR(DATE($J14, V$12, 1) &lt; 'Evaluation Set-up'!$D$9, DATE($J14, V$12, 1) &gt;= 'Evaluation Set-up'!$E$9), "", "Before")</f>
        <v/>
      </c>
      <c r="W14" s="70" t="str">
        <f>IF(OR(DATE($J14, W$12, 1) &lt; 'Evaluation Set-up'!$D$9, DATE($J14, W$12, 1) &gt;= 'Evaluation Set-up'!$E$9), "", "Before")</f>
        <v/>
      </c>
      <c r="X14" s="1"/>
      <c r="Y14" s="49">
        <v>2011</v>
      </c>
      <c r="Z14" s="65" t="n">
        <f t="shared" ref="Z14:Z37" si="1">COUNTIFS(AA14:AL14, "After")</f>
        <v>0</v>
      </c>
      <c r="AA14" s="1" t="str">
        <f>IF(OR(DATE($Y14, L$12, 1) &lt; 'Evaluation Set-up'!$D$11, DATE($Y14, L$12, 1) &gt;= 'Evaluation Set-up'!$E$11), "", "After")</f>
        <v/>
      </c>
      <c r="AB14" s="1" t="str">
        <f>IF(OR(DATE($Y14, M$12, 1) &lt; 'Evaluation Set-up'!$D$11, DATE($Y14, M$12, 1) &gt;= 'Evaluation Set-up'!$E$11), "", "After")</f>
        <v/>
      </c>
      <c r="AC14" s="1" t="str">
        <f>IF(OR(DATE($Y14, N$12, 1) &lt; 'Evaluation Set-up'!$D$11, DATE($Y14, N$12, 1) &gt;= 'Evaluation Set-up'!$E$11), "", "After")</f>
        <v/>
      </c>
      <c r="AD14" s="1" t="str">
        <f>IF(OR(DATE($Y14, O$12, 1) &lt; 'Evaluation Set-up'!$D$11, DATE($Y14, O$12, 1) &gt;= 'Evaluation Set-up'!$E$11), "", "After")</f>
        <v/>
      </c>
      <c r="AE14" s="1" t="str">
        <f>IF(OR(DATE($Y14, P$12, 1) &lt; 'Evaluation Set-up'!$D$11, DATE($Y14, P$12, 1) &gt;= 'Evaluation Set-up'!$E$11), "", "After")</f>
        <v/>
      </c>
      <c r="AF14" s="1" t="str">
        <f>IF(OR(DATE($Y14, Q$12, 1) &lt; 'Evaluation Set-up'!$D$11, DATE($Y14, Q$12, 1) &gt;= 'Evaluation Set-up'!$E$11), "", "After")</f>
        <v/>
      </c>
      <c r="AG14" s="1" t="str">
        <f>IF(OR(DATE($Y14, R$12, 1) &lt; 'Evaluation Set-up'!$D$11, DATE($Y14, R$12, 1) &gt;= 'Evaluation Set-up'!$E$11), "", "After")</f>
        <v/>
      </c>
      <c r="AH14" s="1" t="str">
        <f>IF(OR(DATE($Y14, S$12, 1) &lt; 'Evaluation Set-up'!$D$11, DATE($Y14, S$12, 1) &gt;= 'Evaluation Set-up'!$E$11), "", "After")</f>
        <v/>
      </c>
      <c r="AI14" s="1" t="str">
        <f>IF(OR(DATE($Y14, T$12, 1) &lt; 'Evaluation Set-up'!$D$11, DATE($Y14, T$12, 1) &gt;= 'Evaluation Set-up'!$E$11), "", "After")</f>
        <v/>
      </c>
      <c r="AJ14" s="1" t="str">
        <f>IF(OR(DATE($Y14, U$12, 1) &lt; 'Evaluation Set-up'!$D$11, DATE($Y14, U$12, 1) &gt;= 'Evaluation Set-up'!$E$11), "", "After")</f>
        <v/>
      </c>
      <c r="AK14" s="1" t="str">
        <f>IF(OR(DATE($Y14, V$12, 1) &lt; 'Evaluation Set-up'!$D$11, DATE($Y14, V$12, 1) &gt;= 'Evaluation Set-up'!$E$11), "", "After")</f>
        <v/>
      </c>
      <c r="AL14" s="70" t="str">
        <f>IF(OR(DATE($Y14, W$12, 1) &lt; 'Evaluation Set-up'!$D$11, DATE($Y14, W$12, 1) &gt;= 'Evaluation Set-up'!$E$11), "", "After")</f>
        <v/>
      </c>
      <c r="AM14" s="1"/>
      <c r="AN14" s="1"/>
      <c r="AO14" s="1"/>
      <c r="AP14" s="1"/>
      <c r="AQ14" s="1"/>
    </row>
    <row r="15" spans="1:54">
      <c r="B15" s="77">
        <v>2012</v>
      </c>
      <c r="C15" s="81" t="n">
        <f>COUNTIF(Before!$Q:$Q,B15) + COUNTIF(After!$Q:$Q,B15)</f>
        <v>0</v>
      </c>
      <c r="D15" s="34" t="n">
        <f>COUNTIFS(Before!$C:$C,"&gt;=23",Before!$C:$C,"&lt;=27", Before!$Q:$Q,B15)+COUNTIFS(Before!$C:$C,"30", Before!$Q:$Q,B15) + COUNTIFS(After!$C:$C,"&gt;=23",After!$C:$C,"&lt;=27", After!$Q:$Q,B15)+COUNTIFS(After!$C:$C,"30", After!$Q:$Q,B15)</f>
        <v>0</v>
      </c>
      <c r="E15" s="34" t="n">
        <f>COUNTIFS(Before!$C:$C,"&gt;=21",Before!$C:$C,"&lt;=22", Before!$Q:$Q,B15) + COUNTIFS(After!$C:$C,"&gt;=21",After!$C:$C,"&lt;=22", After!$Q:$Q,B15)</f>
        <v>0</v>
      </c>
      <c r="F15" s="82" t="n">
        <f>COUNTIFS(Before!$Q:$Q,$B15, Before!$G:$G, "K") + COUNTIFS(Before!$Q:$Q,$B15, Before!$G:$G, "A") + COUNTIFS(Before!$Q:$Q,$B15, Before!$G:$G, "B") + COUNTIFS(Before!$Q:$Q,$B15, Before!$G:$G, "C")
+ COUNTIFS(After!$Q:$Q,$B15, After!$G:$G, "K") + COUNTIFS(After!$Q:$Q,$B15, After!$G:$G, "A") + COUNTIFS(After!$Q:$Q,$B15, After!$G:$G, "B") + COUNTIFS(After!$Q:$Q,$B15, After!$G:$G, "C")</f>
        <v>0</v>
      </c>
      <c r="G15" s="85" t="str">
        <f>VLOOKUP($B15, 'Evaluation Set-up'!$K$11:$R$35, 4, FALSE)</f>
        <v/>
      </c>
      <c r="H15" s="86" t="str">
        <f>VLOOKUP($B15, 'Evaluation Set-up'!$K$11:$R$35, 7, FALSE)</f>
        <v/>
      </c>
      <c r="J15" s="49">
        <v>2012</v>
      </c>
      <c r="K15" s="65" t="n">
        <f t="shared" si="0"/>
        <v>0</v>
      </c>
      <c r="L15" s="1" t="str">
        <f>IF(OR(DATE($J15, L$12, 1) &lt; 'Evaluation Set-up'!$D$9, DATE($J15, L$12, 1) &gt;= 'Evaluation Set-up'!$E$9), "", "Before")</f>
        <v/>
      </c>
      <c r="M15" s="1" t="str">
        <f>IF(OR(DATE($J15, M$12, 1) &lt; 'Evaluation Set-up'!$D$9, DATE($J15, M$12, 1) &gt;= 'Evaluation Set-up'!$E$9), "", "Before")</f>
        <v/>
      </c>
      <c r="N15" s="1" t="str">
        <f>IF(OR(DATE($J15, N$12, 1) &lt; 'Evaluation Set-up'!$D$9, DATE($J15, N$12, 1) &gt;= 'Evaluation Set-up'!$E$9), "", "Before")</f>
        <v/>
      </c>
      <c r="O15" s="1" t="str">
        <f>IF(OR(DATE($J15, O$12, 1) &lt; 'Evaluation Set-up'!$D$9, DATE($J15, O$12, 1) &gt;= 'Evaluation Set-up'!$E$9), "", "Before")</f>
        <v/>
      </c>
      <c r="P15" s="1" t="str">
        <f>IF(OR(DATE($J15, P$12, 1) &lt; 'Evaluation Set-up'!$D$9, DATE($J15, P$12, 1) &gt;= 'Evaluation Set-up'!$E$9), "", "Before")</f>
        <v/>
      </c>
      <c r="Q15" s="1" t="str">
        <f>IF(OR(DATE($J15, Q$12, 1) &lt; 'Evaluation Set-up'!$D$9, DATE($J15, Q$12, 1) &gt;= 'Evaluation Set-up'!$E$9), "", "Before")</f>
        <v/>
      </c>
      <c r="R15" s="1" t="str">
        <f>IF(OR(DATE($J15, R$12, 1) &lt; 'Evaluation Set-up'!$D$9, DATE($J15, R$12, 1) &gt;= 'Evaluation Set-up'!$E$9), "", "Before")</f>
        <v/>
      </c>
      <c r="S15" s="1" t="str">
        <f>IF(OR(DATE($J15, S$12, 1) &lt; 'Evaluation Set-up'!$D$9, DATE($J15, S$12, 1) &gt;= 'Evaluation Set-up'!$E$9), "", "Before")</f>
        <v/>
      </c>
      <c r="T15" s="1" t="str">
        <f>IF(OR(DATE($J15, T$12, 1) &lt; 'Evaluation Set-up'!$D$9, DATE($J15, T$12, 1) &gt;= 'Evaluation Set-up'!$E$9), "", "Before")</f>
        <v/>
      </c>
      <c r="U15" s="1" t="str">
        <f>IF(OR(DATE($J15, U$12, 1) &lt; 'Evaluation Set-up'!$D$9, DATE($J15, U$12, 1) &gt;= 'Evaluation Set-up'!$E$9), "", "Before")</f>
        <v/>
      </c>
      <c r="V15" s="1" t="str">
        <f>IF(OR(DATE($J15, V$12, 1) &lt; 'Evaluation Set-up'!$D$9, DATE($J15, V$12, 1) &gt;= 'Evaluation Set-up'!$E$9), "", "Before")</f>
        <v/>
      </c>
      <c r="W15" s="70" t="str">
        <f>IF(OR(DATE($J15, W$12, 1) &lt; 'Evaluation Set-up'!$D$9, DATE($J15, W$12, 1) &gt;= 'Evaluation Set-up'!$E$9), "", "Before")</f>
        <v/>
      </c>
      <c r="X15" s="1"/>
      <c r="Y15" s="49">
        <v>2012</v>
      </c>
      <c r="Z15" s="65" t="n">
        <f t="shared" si="1"/>
        <v>0</v>
      </c>
      <c r="AA15" s="1" t="str">
        <f>IF(OR(DATE($Y15, L$12, 1) &lt; 'Evaluation Set-up'!$D$11, DATE($Y15, L$12, 1) &gt;= 'Evaluation Set-up'!$E$11), "", "After")</f>
        <v/>
      </c>
      <c r="AB15" s="1" t="str">
        <f>IF(OR(DATE($Y15, M$12, 1) &lt; 'Evaluation Set-up'!$D$11, DATE($Y15, M$12, 1) &gt;= 'Evaluation Set-up'!$E$11), "", "After")</f>
        <v/>
      </c>
      <c r="AC15" s="1" t="str">
        <f>IF(OR(DATE($Y15, N$12, 1) &lt; 'Evaluation Set-up'!$D$11, DATE($Y15, N$12, 1) &gt;= 'Evaluation Set-up'!$E$11), "", "After")</f>
        <v/>
      </c>
      <c r="AD15" s="1" t="str">
        <f>IF(OR(DATE($Y15, O$12, 1) &lt; 'Evaluation Set-up'!$D$11, DATE($Y15, O$12, 1) &gt;= 'Evaluation Set-up'!$E$11), "", "After")</f>
        <v/>
      </c>
      <c r="AE15" s="1" t="str">
        <f>IF(OR(DATE($Y15, P$12, 1) &lt; 'Evaluation Set-up'!$D$11, DATE($Y15, P$12, 1) &gt;= 'Evaluation Set-up'!$E$11), "", "After")</f>
        <v/>
      </c>
      <c r="AF15" s="1" t="str">
        <f>IF(OR(DATE($Y15, Q$12, 1) &lt; 'Evaluation Set-up'!$D$11, DATE($Y15, Q$12, 1) &gt;= 'Evaluation Set-up'!$E$11), "", "After")</f>
        <v/>
      </c>
      <c r="AG15" s="1" t="str">
        <f>IF(OR(DATE($Y15, R$12, 1) &lt; 'Evaluation Set-up'!$D$11, DATE($Y15, R$12, 1) &gt;= 'Evaluation Set-up'!$E$11), "", "After")</f>
        <v/>
      </c>
      <c r="AH15" s="1" t="str">
        <f>IF(OR(DATE($Y15, S$12, 1) &lt; 'Evaluation Set-up'!$D$11, DATE($Y15, S$12, 1) &gt;= 'Evaluation Set-up'!$E$11), "", "After")</f>
        <v/>
      </c>
      <c r="AI15" s="1" t="str">
        <f>IF(OR(DATE($Y15, T$12, 1) &lt; 'Evaluation Set-up'!$D$11, DATE($Y15, T$12, 1) &gt;= 'Evaluation Set-up'!$E$11), "", "After")</f>
        <v/>
      </c>
      <c r="AJ15" s="1" t="str">
        <f>IF(OR(DATE($Y15, U$12, 1) &lt; 'Evaluation Set-up'!$D$11, DATE($Y15, U$12, 1) &gt;= 'Evaluation Set-up'!$E$11), "", "After")</f>
        <v/>
      </c>
      <c r="AK15" s="1" t="str">
        <f>IF(OR(DATE($Y15, V$12, 1) &lt; 'Evaluation Set-up'!$D$11, DATE($Y15, V$12, 1) &gt;= 'Evaluation Set-up'!$E$11), "", "After")</f>
        <v/>
      </c>
      <c r="AL15" s="70" t="str">
        <f>IF(OR(DATE($Y15, W$12, 1) &lt; 'Evaluation Set-up'!$D$11, DATE($Y15, W$12, 1) &gt;= 'Evaluation Set-up'!$E$11), "", "After")</f>
        <v/>
      </c>
    </row>
    <row r="16" spans="1:54">
      <c r="B16" s="77">
        <v>2013</v>
      </c>
      <c r="C16" s="81" t="n">
        <f>COUNTIF(Before!$Q:$Q,B16) + COUNTIF(After!$Q:$Q,B16)</f>
        <v>0</v>
      </c>
      <c r="D16" s="34" t="n">
        <f>COUNTIFS(Before!$C:$C,"&gt;=23",Before!$C:$C,"&lt;=27", Before!$Q:$Q,B16)+COUNTIFS(Before!$C:$C,"30", Before!$Q:$Q,B16) + COUNTIFS(After!$C:$C,"&gt;=23",After!$C:$C,"&lt;=27", After!$Q:$Q,B16)+COUNTIFS(After!$C:$C,"30", After!$Q:$Q,B16)</f>
        <v>0</v>
      </c>
      <c r="E16" s="34" t="n">
        <f>COUNTIFS(Before!$C:$C,"&gt;=21",Before!$C:$C,"&lt;=22", Before!$Q:$Q,B16) + COUNTIFS(After!$C:$C,"&gt;=21",After!$C:$C,"&lt;=22", After!$Q:$Q,B16)</f>
        <v>0</v>
      </c>
      <c r="F16" s="82" t="n">
        <f>COUNTIFS(Before!$Q:$Q,$B16, Before!$G:$G, "K") + COUNTIFS(Before!$Q:$Q,$B16, Before!$G:$G, "A") + COUNTIFS(Before!$Q:$Q,$B16, Before!$G:$G, "B") + COUNTIFS(Before!$Q:$Q,$B16, Before!$G:$G, "C")
+ COUNTIFS(After!$Q:$Q,$B16, After!$G:$G, "K") + COUNTIFS(After!$Q:$Q,$B16, After!$G:$G, "A") + COUNTIFS(After!$Q:$Q,$B16, After!$G:$G, "B") + COUNTIFS(After!$Q:$Q,$B16, After!$G:$G, "C")</f>
        <v>0</v>
      </c>
      <c r="G16" s="85" t="str">
        <f>VLOOKUP($B16, 'Evaluation Set-up'!$K$11:$R$35, 4, FALSE)</f>
        <v/>
      </c>
      <c r="H16" s="86" t="str">
        <f>VLOOKUP($B16, 'Evaluation Set-up'!$K$11:$R$35, 7, FALSE)</f>
        <v/>
      </c>
      <c r="J16" s="49">
        <v>2013</v>
      </c>
      <c r="K16" s="65" t="n">
        <f t="shared" si="0"/>
        <v>0</v>
      </c>
      <c r="L16" s="1" t="str">
        <f>IF(OR(DATE($J16, L$12, 1) &lt; 'Evaluation Set-up'!$D$9, DATE($J16, L$12, 1) &gt;= 'Evaluation Set-up'!$E$9), "", "Before")</f>
        <v/>
      </c>
      <c r="M16" s="1" t="str">
        <f>IF(OR(DATE($J16, M$12, 1) &lt; 'Evaluation Set-up'!$D$9, DATE($J16, M$12, 1) &gt;= 'Evaluation Set-up'!$E$9), "", "Before")</f>
        <v/>
      </c>
      <c r="N16" s="1" t="str">
        <f>IF(OR(DATE($J16, N$12, 1) &lt; 'Evaluation Set-up'!$D$9, DATE($J16, N$12, 1) &gt;= 'Evaluation Set-up'!$E$9), "", "Before")</f>
        <v/>
      </c>
      <c r="O16" s="1" t="str">
        <f>IF(OR(DATE($J16, O$12, 1) &lt; 'Evaluation Set-up'!$D$9, DATE($J16, O$12, 1) &gt;= 'Evaluation Set-up'!$E$9), "", "Before")</f>
        <v/>
      </c>
      <c r="P16" s="1" t="str">
        <f>IF(OR(DATE($J16, P$12, 1) &lt; 'Evaluation Set-up'!$D$9, DATE($J16, P$12, 1) &gt;= 'Evaluation Set-up'!$E$9), "", "Before")</f>
        <v/>
      </c>
      <c r="Q16" s="1" t="str">
        <f>IF(OR(DATE($J16, Q$12, 1) &lt; 'Evaluation Set-up'!$D$9, DATE($J16, Q$12, 1) &gt;= 'Evaluation Set-up'!$E$9), "", "Before")</f>
        <v/>
      </c>
      <c r="R16" s="1" t="str">
        <f>IF(OR(DATE($J16, R$12, 1) &lt; 'Evaluation Set-up'!$D$9, DATE($J16, R$12, 1) &gt;= 'Evaluation Set-up'!$E$9), "", "Before")</f>
        <v/>
      </c>
      <c r="S16" s="1" t="str">
        <f>IF(OR(DATE($J16, S$12, 1) &lt; 'Evaluation Set-up'!$D$9, DATE($J16, S$12, 1) &gt;= 'Evaluation Set-up'!$E$9), "", "Before")</f>
        <v/>
      </c>
      <c r="T16" s="1" t="str">
        <f>IF(OR(DATE($J16, T$12, 1) &lt; 'Evaluation Set-up'!$D$9, DATE($J16, T$12, 1) &gt;= 'Evaluation Set-up'!$E$9), "", "Before")</f>
        <v/>
      </c>
      <c r="U16" s="1" t="str">
        <f>IF(OR(DATE($J16, U$12, 1) &lt; 'Evaluation Set-up'!$D$9, DATE($J16, U$12, 1) &gt;= 'Evaluation Set-up'!$E$9), "", "Before")</f>
        <v/>
      </c>
      <c r="V16" s="1" t="str">
        <f>IF(OR(DATE($J16, V$12, 1) &lt; 'Evaluation Set-up'!$D$9, DATE($J16, V$12, 1) &gt;= 'Evaluation Set-up'!$E$9), "", "Before")</f>
        <v/>
      </c>
      <c r="W16" s="70" t="str">
        <f>IF(OR(DATE($J16, W$12, 1) &lt; 'Evaluation Set-up'!$D$9, DATE($J16, W$12, 1) &gt;= 'Evaluation Set-up'!$E$9), "", "Before")</f>
        <v/>
      </c>
      <c r="X16" s="1"/>
      <c r="Y16" s="49">
        <v>2013</v>
      </c>
      <c r="Z16" s="65" t="n">
        <f t="shared" si="1"/>
        <v>0</v>
      </c>
      <c r="AA16" s="1" t="str">
        <f>IF(OR(DATE($Y16, L$12, 1) &lt; 'Evaluation Set-up'!$D$11, DATE($Y16, L$12, 1) &gt;= 'Evaluation Set-up'!$E$11), "", "After")</f>
        <v/>
      </c>
      <c r="AB16" s="1" t="str">
        <f>IF(OR(DATE($Y16, M$12, 1) &lt; 'Evaluation Set-up'!$D$11, DATE($Y16, M$12, 1) &gt;= 'Evaluation Set-up'!$E$11), "", "After")</f>
        <v/>
      </c>
      <c r="AC16" s="1" t="str">
        <f>IF(OR(DATE($Y16, N$12, 1) &lt; 'Evaluation Set-up'!$D$11, DATE($Y16, N$12, 1) &gt;= 'Evaluation Set-up'!$E$11), "", "After")</f>
        <v/>
      </c>
      <c r="AD16" s="1" t="str">
        <f>IF(OR(DATE($Y16, O$12, 1) &lt; 'Evaluation Set-up'!$D$11, DATE($Y16, O$12, 1) &gt;= 'Evaluation Set-up'!$E$11), "", "After")</f>
        <v/>
      </c>
      <c r="AE16" s="1" t="str">
        <f>IF(OR(DATE($Y16, P$12, 1) &lt; 'Evaluation Set-up'!$D$11, DATE($Y16, P$12, 1) &gt;= 'Evaluation Set-up'!$E$11), "", "After")</f>
        <v/>
      </c>
      <c r="AF16" s="1" t="str">
        <f>IF(OR(DATE($Y16, Q$12, 1) &lt; 'Evaluation Set-up'!$D$11, DATE($Y16, Q$12, 1) &gt;= 'Evaluation Set-up'!$E$11), "", "After")</f>
        <v/>
      </c>
      <c r="AG16" s="1" t="str">
        <f>IF(OR(DATE($Y16, R$12, 1) &lt; 'Evaluation Set-up'!$D$11, DATE($Y16, R$12, 1) &gt;= 'Evaluation Set-up'!$E$11), "", "After")</f>
        <v/>
      </c>
      <c r="AH16" s="1" t="str">
        <f>IF(OR(DATE($Y16, S$12, 1) &lt; 'Evaluation Set-up'!$D$11, DATE($Y16, S$12, 1) &gt;= 'Evaluation Set-up'!$E$11), "", "After")</f>
        <v/>
      </c>
      <c r="AI16" s="1" t="str">
        <f>IF(OR(DATE($Y16, T$12, 1) &lt; 'Evaluation Set-up'!$D$11, DATE($Y16, T$12, 1) &gt;= 'Evaluation Set-up'!$E$11), "", "After")</f>
        <v/>
      </c>
      <c r="AJ16" s="1" t="str">
        <f>IF(OR(DATE($Y16, U$12, 1) &lt; 'Evaluation Set-up'!$D$11, DATE($Y16, U$12, 1) &gt;= 'Evaluation Set-up'!$E$11), "", "After")</f>
        <v/>
      </c>
      <c r="AK16" s="1" t="str">
        <f>IF(OR(DATE($Y16, V$12, 1) &lt; 'Evaluation Set-up'!$D$11, DATE($Y16, V$12, 1) &gt;= 'Evaluation Set-up'!$E$11), "", "After")</f>
        <v/>
      </c>
      <c r="AL16" s="70" t="str">
        <f>IF(OR(DATE($Y16, W$12, 1) &lt; 'Evaluation Set-up'!$D$11, DATE($Y16, W$12, 1) &gt;= 'Evaluation Set-up'!$E$11), "", "After")</f>
        <v/>
      </c>
    </row>
    <row r="17" spans="2:38">
      <c r="B17" s="77">
        <v>2014</v>
      </c>
      <c r="C17" s="81" t="n">
        <f>COUNTIF(Before!$Q:$Q,B17) + COUNTIF(After!$Q:$Q,B17)</f>
        <v>0</v>
      </c>
      <c r="D17" s="34" t="n">
        <f>COUNTIFS(Before!$C:$C,"&gt;=23",Before!$C:$C,"&lt;=27", Before!$Q:$Q,B17)+COUNTIFS(Before!$C:$C,"30", Before!$Q:$Q,B17) + COUNTIFS(After!$C:$C,"&gt;=23",After!$C:$C,"&lt;=27", After!$Q:$Q,B17)+COUNTIFS(After!$C:$C,"30", After!$Q:$Q,B17)</f>
        <v>0</v>
      </c>
      <c r="E17" s="34" t="n">
        <f>COUNTIFS(Before!$C:$C,"&gt;=21",Before!$C:$C,"&lt;=22", Before!$Q:$Q,B17) + COUNTIFS(After!$C:$C,"&gt;=21",After!$C:$C,"&lt;=22", After!$Q:$Q,B17)</f>
        <v>0</v>
      </c>
      <c r="F17" s="82" t="n">
        <f>COUNTIFS(Before!$Q:$Q,$B17, Before!$G:$G, "K") + COUNTIFS(Before!$Q:$Q,$B17, Before!$G:$G, "A") + COUNTIFS(Before!$Q:$Q,$B17, Before!$G:$G, "B") + COUNTIFS(Before!$Q:$Q,$B17, Before!$G:$G, "C")
+ COUNTIFS(After!$Q:$Q,$B17, After!$G:$G, "K") + COUNTIFS(After!$Q:$Q,$B17, After!$G:$G, "A") + COUNTIFS(After!$Q:$Q,$B17, After!$G:$G, "B") + COUNTIFS(After!$Q:$Q,$B17, After!$G:$G, "C")</f>
        <v>0</v>
      </c>
      <c r="G17" s="85" t="str">
        <f>VLOOKUP($B17, 'Evaluation Set-up'!$K$11:$R$35, 4, FALSE)</f>
        <v/>
      </c>
      <c r="H17" s="86" t="str">
        <f>VLOOKUP($B17, 'Evaluation Set-up'!$K$11:$R$35, 7, FALSE)</f>
        <v/>
      </c>
      <c r="J17" s="49">
        <v>2014</v>
      </c>
      <c r="K17" s="65" t="n">
        <f t="shared" si="0"/>
        <v>0</v>
      </c>
      <c r="L17" s="1" t="str">
        <f>IF(OR(DATE($J17, L$12, 1) &lt; 'Evaluation Set-up'!$D$9, DATE($J17, L$12, 1) &gt;= 'Evaluation Set-up'!$E$9), "", "Before")</f>
        <v/>
      </c>
      <c r="M17" s="1" t="str">
        <f>IF(OR(DATE($J17, M$12, 1) &lt; 'Evaluation Set-up'!$D$9, DATE($J17, M$12, 1) &gt;= 'Evaluation Set-up'!$E$9), "", "Before")</f>
        <v/>
      </c>
      <c r="N17" s="1" t="str">
        <f>IF(OR(DATE($J17, N$12, 1) &lt; 'Evaluation Set-up'!$D$9, DATE($J17, N$12, 1) &gt;= 'Evaluation Set-up'!$E$9), "", "Before")</f>
        <v/>
      </c>
      <c r="O17" s="1" t="str">
        <f>IF(OR(DATE($J17, O$12, 1) &lt; 'Evaluation Set-up'!$D$9, DATE($J17, O$12, 1) &gt;= 'Evaluation Set-up'!$E$9), "", "Before")</f>
        <v/>
      </c>
      <c r="P17" s="1" t="str">
        <f>IF(OR(DATE($J17, P$12, 1) &lt; 'Evaluation Set-up'!$D$9, DATE($J17, P$12, 1) &gt;= 'Evaluation Set-up'!$E$9), "", "Before")</f>
        <v/>
      </c>
      <c r="Q17" s="1" t="str">
        <f>IF(OR(DATE($J17, Q$12, 1) &lt; 'Evaluation Set-up'!$D$9, DATE($J17, Q$12, 1) &gt;= 'Evaluation Set-up'!$E$9), "", "Before")</f>
        <v/>
      </c>
      <c r="R17" s="1" t="str">
        <f>IF(OR(DATE($J17, R$12, 1) &lt; 'Evaluation Set-up'!$D$9, DATE($J17, R$12, 1) &gt;= 'Evaluation Set-up'!$E$9), "", "Before")</f>
        <v/>
      </c>
      <c r="S17" s="1" t="str">
        <f>IF(OR(DATE($J17, S$12, 1) &lt; 'Evaluation Set-up'!$D$9, DATE($J17, S$12, 1) &gt;= 'Evaluation Set-up'!$E$9), "", "Before")</f>
        <v/>
      </c>
      <c r="T17" s="1" t="str">
        <f>IF(OR(DATE($J17, T$12, 1) &lt; 'Evaluation Set-up'!$D$9, DATE($J17, T$12, 1) &gt;= 'Evaluation Set-up'!$E$9), "", "Before")</f>
        <v/>
      </c>
      <c r="U17" s="1" t="str">
        <f>IF(OR(DATE($J17, U$12, 1) &lt; 'Evaluation Set-up'!$D$9, DATE($J17, U$12, 1) &gt;= 'Evaluation Set-up'!$E$9), "", "Before")</f>
        <v/>
      </c>
      <c r="V17" s="1" t="str">
        <f>IF(OR(DATE($J17, V$12, 1) &lt; 'Evaluation Set-up'!$D$9, DATE($J17, V$12, 1) &gt;= 'Evaluation Set-up'!$E$9), "", "Before")</f>
        <v/>
      </c>
      <c r="W17" s="70" t="str">
        <f>IF(OR(DATE($J17, W$12, 1) &lt; 'Evaluation Set-up'!$D$9, DATE($J17, W$12, 1) &gt;= 'Evaluation Set-up'!$E$9), "", "Before")</f>
        <v/>
      </c>
      <c r="X17" s="46"/>
      <c r="Y17" s="49">
        <v>2014</v>
      </c>
      <c r="Z17" s="65" t="n">
        <f t="shared" si="1"/>
        <v>0</v>
      </c>
      <c r="AA17" s="1" t="str">
        <f>IF(OR(DATE($Y17, L$12, 1) &lt; 'Evaluation Set-up'!$D$11, DATE($Y17, L$12, 1) &gt;= 'Evaluation Set-up'!$E$11), "", "After")</f>
        <v/>
      </c>
      <c r="AB17" s="1" t="str">
        <f>IF(OR(DATE($Y17, M$12, 1) &lt; 'Evaluation Set-up'!$D$11, DATE($Y17, M$12, 1) &gt;= 'Evaluation Set-up'!$E$11), "", "After")</f>
        <v/>
      </c>
      <c r="AC17" s="1" t="str">
        <f>IF(OR(DATE($Y17, N$12, 1) &lt; 'Evaluation Set-up'!$D$11, DATE($Y17, N$12, 1) &gt;= 'Evaluation Set-up'!$E$11), "", "After")</f>
        <v/>
      </c>
      <c r="AD17" s="1" t="str">
        <f>IF(OR(DATE($Y17, O$12, 1) &lt; 'Evaluation Set-up'!$D$11, DATE($Y17, O$12, 1) &gt;= 'Evaluation Set-up'!$E$11), "", "After")</f>
        <v/>
      </c>
      <c r="AE17" s="1" t="str">
        <f>IF(OR(DATE($Y17, P$12, 1) &lt; 'Evaluation Set-up'!$D$11, DATE($Y17, P$12, 1) &gt;= 'Evaluation Set-up'!$E$11), "", "After")</f>
        <v/>
      </c>
      <c r="AF17" s="1" t="str">
        <f>IF(OR(DATE($Y17, Q$12, 1) &lt; 'Evaluation Set-up'!$D$11, DATE($Y17, Q$12, 1) &gt;= 'Evaluation Set-up'!$E$11), "", "After")</f>
        <v/>
      </c>
      <c r="AG17" s="1" t="str">
        <f>IF(OR(DATE($Y17, R$12, 1) &lt; 'Evaluation Set-up'!$D$11, DATE($Y17, R$12, 1) &gt;= 'Evaluation Set-up'!$E$11), "", "After")</f>
        <v/>
      </c>
      <c r="AH17" s="1" t="str">
        <f>IF(OR(DATE($Y17, S$12, 1) &lt; 'Evaluation Set-up'!$D$11, DATE($Y17, S$12, 1) &gt;= 'Evaluation Set-up'!$E$11), "", "After")</f>
        <v/>
      </c>
      <c r="AI17" s="1" t="str">
        <f>IF(OR(DATE($Y17, T$12, 1) &lt; 'Evaluation Set-up'!$D$11, DATE($Y17, T$12, 1) &gt;= 'Evaluation Set-up'!$E$11), "", "After")</f>
        <v/>
      </c>
      <c r="AJ17" s="1" t="str">
        <f>IF(OR(DATE($Y17, U$12, 1) &lt; 'Evaluation Set-up'!$D$11, DATE($Y17, U$12, 1) &gt;= 'Evaluation Set-up'!$E$11), "", "After")</f>
        <v/>
      </c>
      <c r="AK17" s="1" t="str">
        <f>IF(OR(DATE($Y17, V$12, 1) &lt; 'Evaluation Set-up'!$D$11, DATE($Y17, V$12, 1) &gt;= 'Evaluation Set-up'!$E$11), "", "After")</f>
        <v/>
      </c>
      <c r="AL17" s="70" t="str">
        <f>IF(OR(DATE($Y17, W$12, 1) &lt; 'Evaluation Set-up'!$D$11, DATE($Y17, W$12, 1) &gt;= 'Evaluation Set-up'!$E$11), "", "After")</f>
        <v/>
      </c>
    </row>
    <row r="18" spans="2:38">
      <c r="B18" s="77">
        <v>2015</v>
      </c>
      <c r="C18" s="81" t="n">
        <f>COUNTIF(Before!$Q:$Q,B18) + COUNTIF(After!$Q:$Q,B18)</f>
        <v>0</v>
      </c>
      <c r="D18" s="34" t="n">
        <f>COUNTIFS(Before!$C:$C,"&gt;=23",Before!$C:$C,"&lt;=27", Before!$Q:$Q,B18)+COUNTIFS(Before!$C:$C,"30", Before!$Q:$Q,B18) + COUNTIFS(After!$C:$C,"&gt;=23",After!$C:$C,"&lt;=27", After!$Q:$Q,B18)+COUNTIFS(After!$C:$C,"30", After!$Q:$Q,B18)</f>
        <v>0</v>
      </c>
      <c r="E18" s="34" t="n">
        <f>COUNTIFS(Before!$C:$C,"&gt;=21",Before!$C:$C,"&lt;=22", Before!$Q:$Q,B18) + COUNTIFS(After!$C:$C,"&gt;=21",After!$C:$C,"&lt;=22", After!$Q:$Q,B18)</f>
        <v>0</v>
      </c>
      <c r="F18" s="82" t="n">
        <f>COUNTIFS(Before!$Q:$Q,$B18, Before!$G:$G, "K") + COUNTIFS(Before!$Q:$Q,$B18, Before!$G:$G, "A") + COUNTIFS(Before!$Q:$Q,$B18, Before!$G:$G, "B") + COUNTIFS(Before!$Q:$Q,$B18, Before!$G:$G, "C")
+ COUNTIFS(After!$Q:$Q,$B18, After!$G:$G, "K") + COUNTIFS(After!$Q:$Q,$B18, After!$G:$G, "A") + COUNTIFS(After!$Q:$Q,$B18, After!$G:$G, "B") + COUNTIFS(After!$Q:$Q,$B18, After!$G:$G, "C")</f>
        <v>0</v>
      </c>
      <c r="G18" s="85" t="str">
        <f>VLOOKUP($B18, 'Evaluation Set-up'!$K$11:$R$35, 4, FALSE)</f>
        <v/>
      </c>
      <c r="H18" s="86" t="str">
        <f>VLOOKUP($B18, 'Evaluation Set-up'!$K$11:$R$35, 7, FALSE)</f>
        <v/>
      </c>
      <c r="J18" s="49">
        <v>2015</v>
      </c>
      <c r="K18" s="65" t="n">
        <f t="shared" si="0"/>
        <v>0</v>
      </c>
      <c r="L18" s="1" t="str">
        <f>IF(OR(DATE($J18, L$12, 1) &lt; 'Evaluation Set-up'!$D$9, DATE($J18, L$12, 1) &gt;= 'Evaluation Set-up'!$E$9), "", "Before")</f>
        <v/>
      </c>
      <c r="M18" s="1" t="str">
        <f>IF(OR(DATE($J18, M$12, 1) &lt; 'Evaluation Set-up'!$D$9, DATE($J18, M$12, 1) &gt;= 'Evaluation Set-up'!$E$9), "", "Before")</f>
        <v/>
      </c>
      <c r="N18" s="1" t="str">
        <f>IF(OR(DATE($J18, N$12, 1) &lt; 'Evaluation Set-up'!$D$9, DATE($J18, N$12, 1) &gt;= 'Evaluation Set-up'!$E$9), "", "Before")</f>
        <v/>
      </c>
      <c r="O18" s="1" t="str">
        <f>IF(OR(DATE($J18, O$12, 1) &lt; 'Evaluation Set-up'!$D$9, DATE($J18, O$12, 1) &gt;= 'Evaluation Set-up'!$E$9), "", "Before")</f>
        <v/>
      </c>
      <c r="P18" s="1" t="str">
        <f>IF(OR(DATE($J18, P$12, 1) &lt; 'Evaluation Set-up'!$D$9, DATE($J18, P$12, 1) &gt;= 'Evaluation Set-up'!$E$9), "", "Before")</f>
        <v/>
      </c>
      <c r="Q18" s="1" t="str">
        <f>IF(OR(DATE($J18, Q$12, 1) &lt; 'Evaluation Set-up'!$D$9, DATE($J18, Q$12, 1) &gt;= 'Evaluation Set-up'!$E$9), "", "Before")</f>
        <v/>
      </c>
      <c r="R18" s="1" t="str">
        <f>IF(OR(DATE($J18, R$12, 1) &lt; 'Evaluation Set-up'!$D$9, DATE($J18, R$12, 1) &gt;= 'Evaluation Set-up'!$E$9), "", "Before")</f>
        <v/>
      </c>
      <c r="S18" s="1" t="str">
        <f>IF(OR(DATE($J18, S$12, 1) &lt; 'Evaluation Set-up'!$D$9, DATE($J18, S$12, 1) &gt;= 'Evaluation Set-up'!$E$9), "", "Before")</f>
        <v/>
      </c>
      <c r="T18" s="1" t="str">
        <f>IF(OR(DATE($J18, T$12, 1) &lt; 'Evaluation Set-up'!$D$9, DATE($J18, T$12, 1) &gt;= 'Evaluation Set-up'!$E$9), "", "Before")</f>
        <v/>
      </c>
      <c r="U18" s="1" t="str">
        <f>IF(OR(DATE($J18, U$12, 1) &lt; 'Evaluation Set-up'!$D$9, DATE($J18, U$12, 1) &gt;= 'Evaluation Set-up'!$E$9), "", "Before")</f>
        <v/>
      </c>
      <c r="V18" s="1" t="str">
        <f>IF(OR(DATE($J18, V$12, 1) &lt; 'Evaluation Set-up'!$D$9, DATE($J18, V$12, 1) &gt;= 'Evaluation Set-up'!$E$9), "", "Before")</f>
        <v/>
      </c>
      <c r="W18" s="70" t="str">
        <f>IF(OR(DATE($J18, W$12, 1) &lt; 'Evaluation Set-up'!$D$9, DATE($J18, W$12, 1) &gt;= 'Evaluation Set-up'!$E$9), "", "Before")</f>
        <v/>
      </c>
      <c r="X18" s="1"/>
      <c r="Y18" s="49">
        <v>2015</v>
      </c>
      <c r="Z18" s="65" t="n">
        <f t="shared" si="1"/>
        <v>0</v>
      </c>
      <c r="AA18" s="1" t="str">
        <f>IF(OR(DATE($Y18, L$12, 1) &lt; 'Evaluation Set-up'!$D$11, DATE($Y18, L$12, 1) &gt;= 'Evaluation Set-up'!$E$11), "", "After")</f>
        <v/>
      </c>
      <c r="AB18" s="1" t="str">
        <f>IF(OR(DATE($Y18, M$12, 1) &lt; 'Evaluation Set-up'!$D$11, DATE($Y18, M$12, 1) &gt;= 'Evaluation Set-up'!$E$11), "", "After")</f>
        <v/>
      </c>
      <c r="AC18" s="1" t="str">
        <f>IF(OR(DATE($Y18, N$12, 1) &lt; 'Evaluation Set-up'!$D$11, DATE($Y18, N$12, 1) &gt;= 'Evaluation Set-up'!$E$11), "", "After")</f>
        <v/>
      </c>
      <c r="AD18" s="1" t="str">
        <f>IF(OR(DATE($Y18, O$12, 1) &lt; 'Evaluation Set-up'!$D$11, DATE($Y18, O$12, 1) &gt;= 'Evaluation Set-up'!$E$11), "", "After")</f>
        <v/>
      </c>
      <c r="AE18" s="1" t="str">
        <f>IF(OR(DATE($Y18, P$12, 1) &lt; 'Evaluation Set-up'!$D$11, DATE($Y18, P$12, 1) &gt;= 'Evaluation Set-up'!$E$11), "", "After")</f>
        <v/>
      </c>
      <c r="AF18" s="1" t="str">
        <f>IF(OR(DATE($Y18, Q$12, 1) &lt; 'Evaluation Set-up'!$D$11, DATE($Y18, Q$12, 1) &gt;= 'Evaluation Set-up'!$E$11), "", "After")</f>
        <v/>
      </c>
      <c r="AG18" s="1" t="str">
        <f>IF(OR(DATE($Y18, R$12, 1) &lt; 'Evaluation Set-up'!$D$11, DATE($Y18, R$12, 1) &gt;= 'Evaluation Set-up'!$E$11), "", "After")</f>
        <v/>
      </c>
      <c r="AH18" s="1" t="str">
        <f>IF(OR(DATE($Y18, S$12, 1) &lt; 'Evaluation Set-up'!$D$11, DATE($Y18, S$12, 1) &gt;= 'Evaluation Set-up'!$E$11), "", "After")</f>
        <v/>
      </c>
      <c r="AI18" s="1" t="str">
        <f>IF(OR(DATE($Y18, T$12, 1) &lt; 'Evaluation Set-up'!$D$11, DATE($Y18, T$12, 1) &gt;= 'Evaluation Set-up'!$E$11), "", "After")</f>
        <v/>
      </c>
      <c r="AJ18" s="1" t="str">
        <f>IF(OR(DATE($Y18, U$12, 1) &lt; 'Evaluation Set-up'!$D$11, DATE($Y18, U$12, 1) &gt;= 'Evaluation Set-up'!$E$11), "", "After")</f>
        <v/>
      </c>
      <c r="AK18" s="1" t="str">
        <f>IF(OR(DATE($Y18, V$12, 1) &lt; 'Evaluation Set-up'!$D$11, DATE($Y18, V$12, 1) &gt;= 'Evaluation Set-up'!$E$11), "", "After")</f>
        <v/>
      </c>
      <c r="AL18" s="70" t="str">
        <f>IF(OR(DATE($Y18, W$12, 1) &lt; 'Evaluation Set-up'!$D$11, DATE($Y18, W$12, 1) &gt;= 'Evaluation Set-up'!$E$11), "", "After")</f>
        <v/>
      </c>
    </row>
    <row r="19" spans="2:38">
      <c r="B19" s="77">
        <v>2016</v>
      </c>
      <c r="C19" s="81" t="n">
        <f>COUNTIF(Before!$Q:$Q,B19) + COUNTIF(After!$Q:$Q,B19)</f>
        <v>0</v>
      </c>
      <c r="D19" s="34" t="n">
        <f>COUNTIFS(Before!$C:$C,"&gt;=23",Before!$C:$C,"&lt;=27", Before!$Q:$Q,B19)+COUNTIFS(Before!$C:$C,"30", Before!$Q:$Q,B19) + COUNTIFS(After!$C:$C,"&gt;=23",After!$C:$C,"&lt;=27", After!$Q:$Q,B19)+COUNTIFS(After!$C:$C,"30", After!$Q:$Q,B19)</f>
        <v>0</v>
      </c>
      <c r="E19" s="34" t="n">
        <f>COUNTIFS(Before!$C:$C,"&gt;=21",Before!$C:$C,"&lt;=22", Before!$Q:$Q,B19) + COUNTIFS(After!$C:$C,"&gt;=21",After!$C:$C,"&lt;=22", After!$Q:$Q,B19)</f>
        <v>0</v>
      </c>
      <c r="F19" s="82" t="n">
        <f>COUNTIFS(Before!$Q:$Q,$B19, Before!$G:$G, "K") + COUNTIFS(Before!$Q:$Q,$B19, Before!$G:$G, "A") + COUNTIFS(Before!$Q:$Q,$B19, Before!$G:$G, "B") + COUNTIFS(Before!$Q:$Q,$B19, Before!$G:$G, "C")
+ COUNTIFS(After!$Q:$Q,$B19, After!$G:$G, "K") + COUNTIFS(After!$Q:$Q,$B19, After!$G:$G, "A") + COUNTIFS(After!$Q:$Q,$B19, After!$G:$G, "B") + COUNTIFS(After!$Q:$Q,$B19, After!$G:$G, "C")</f>
        <v>0</v>
      </c>
      <c r="G19" s="85" t="str">
        <f>VLOOKUP($B19, 'Evaluation Set-up'!$K$11:$R$35, 4, FALSE)</f>
        <v/>
      </c>
      <c r="H19" s="86" t="str">
        <f>VLOOKUP($B19, 'Evaluation Set-up'!$K$11:$R$35, 7, FALSE)</f>
        <v/>
      </c>
      <c r="J19" s="49">
        <v>2016</v>
      </c>
      <c r="K19" s="65" t="n">
        <f t="shared" si="0"/>
        <v>0</v>
      </c>
      <c r="L19" s="1" t="str">
        <f>IF(OR(DATE($J19, L$12, 1) &lt; 'Evaluation Set-up'!$D$9, DATE($J19, L$12, 1) &gt;= 'Evaluation Set-up'!$E$9), "", "Before")</f>
        <v/>
      </c>
      <c r="M19" s="1" t="str">
        <f>IF(OR(DATE($J19, M$12, 1) &lt; 'Evaluation Set-up'!$D$9, DATE($J19, M$12, 1) &gt;= 'Evaluation Set-up'!$E$9), "", "Before")</f>
        <v/>
      </c>
      <c r="N19" s="1" t="str">
        <f>IF(OR(DATE($J19, N$12, 1) &lt; 'Evaluation Set-up'!$D$9, DATE($J19, N$12, 1) &gt;= 'Evaluation Set-up'!$E$9), "", "Before")</f>
        <v/>
      </c>
      <c r="O19" s="1" t="str">
        <f>IF(OR(DATE($J19, O$12, 1) &lt; 'Evaluation Set-up'!$D$9, DATE($J19, O$12, 1) &gt;= 'Evaluation Set-up'!$E$9), "", "Before")</f>
        <v/>
      </c>
      <c r="P19" s="1" t="str">
        <f>IF(OR(DATE($J19, P$12, 1) &lt; 'Evaluation Set-up'!$D$9, DATE($J19, P$12, 1) &gt;= 'Evaluation Set-up'!$E$9), "", "Before")</f>
        <v/>
      </c>
      <c r="Q19" s="1" t="str">
        <f>IF(OR(DATE($J19, Q$12, 1) &lt; 'Evaluation Set-up'!$D$9, DATE($J19, Q$12, 1) &gt;= 'Evaluation Set-up'!$E$9), "", "Before")</f>
        <v/>
      </c>
      <c r="R19" s="1" t="str">
        <f>IF(OR(DATE($J19, R$12, 1) &lt; 'Evaluation Set-up'!$D$9, DATE($J19, R$12, 1) &gt;= 'Evaluation Set-up'!$E$9), "", "Before")</f>
        <v/>
      </c>
      <c r="S19" s="1" t="str">
        <f>IF(OR(DATE($J19, S$12, 1) &lt; 'Evaluation Set-up'!$D$9, DATE($J19, S$12, 1) &gt;= 'Evaluation Set-up'!$E$9), "", "Before")</f>
        <v/>
      </c>
      <c r="T19" s="1" t="str">
        <f>IF(OR(DATE($J19, T$12, 1) &lt; 'Evaluation Set-up'!$D$9, DATE($J19, T$12, 1) &gt;= 'Evaluation Set-up'!$E$9), "", "Before")</f>
        <v/>
      </c>
      <c r="U19" s="1" t="str">
        <f>IF(OR(DATE($J19, U$12, 1) &lt; 'Evaluation Set-up'!$D$9, DATE($J19, U$12, 1) &gt;= 'Evaluation Set-up'!$E$9), "", "Before")</f>
        <v/>
      </c>
      <c r="V19" s="1" t="str">
        <f>IF(OR(DATE($J19, V$12, 1) &lt; 'Evaluation Set-up'!$D$9, DATE($J19, V$12, 1) &gt;= 'Evaluation Set-up'!$E$9), "", "Before")</f>
        <v/>
      </c>
      <c r="W19" s="70" t="str">
        <f>IF(OR(DATE($J19, W$12, 1) &lt; 'Evaluation Set-up'!$D$9, DATE($J19, W$12, 1) &gt;= 'Evaluation Set-up'!$E$9), "", "Before")</f>
        <v/>
      </c>
      <c r="X19" s="1"/>
      <c r="Y19" s="49">
        <v>2016</v>
      </c>
      <c r="Z19" s="65" t="n">
        <f t="shared" si="1"/>
        <v>0</v>
      </c>
      <c r="AA19" s="1" t="str">
        <f>IF(OR(DATE($Y19, L$12, 1) &lt; 'Evaluation Set-up'!$D$11, DATE($Y19, L$12, 1) &gt;= 'Evaluation Set-up'!$E$11), "", "After")</f>
        <v/>
      </c>
      <c r="AB19" s="1" t="str">
        <f>IF(OR(DATE($Y19, M$12, 1) &lt; 'Evaluation Set-up'!$D$11, DATE($Y19, M$12, 1) &gt;= 'Evaluation Set-up'!$E$11), "", "After")</f>
        <v/>
      </c>
      <c r="AC19" s="1" t="str">
        <f>IF(OR(DATE($Y19, N$12, 1) &lt; 'Evaluation Set-up'!$D$11, DATE($Y19, N$12, 1) &gt;= 'Evaluation Set-up'!$E$11), "", "After")</f>
        <v/>
      </c>
      <c r="AD19" s="1" t="str">
        <f>IF(OR(DATE($Y19, O$12, 1) &lt; 'Evaluation Set-up'!$D$11, DATE($Y19, O$12, 1) &gt;= 'Evaluation Set-up'!$E$11), "", "After")</f>
        <v/>
      </c>
      <c r="AE19" s="1" t="str">
        <f>IF(OR(DATE($Y19, P$12, 1) &lt; 'Evaluation Set-up'!$D$11, DATE($Y19, P$12, 1) &gt;= 'Evaluation Set-up'!$E$11), "", "After")</f>
        <v/>
      </c>
      <c r="AF19" s="1" t="str">
        <f>IF(OR(DATE($Y19, Q$12, 1) &lt; 'Evaluation Set-up'!$D$11, DATE($Y19, Q$12, 1) &gt;= 'Evaluation Set-up'!$E$11), "", "After")</f>
        <v/>
      </c>
      <c r="AG19" s="1" t="str">
        <f>IF(OR(DATE($Y19, R$12, 1) &lt; 'Evaluation Set-up'!$D$11, DATE($Y19, R$12, 1) &gt;= 'Evaluation Set-up'!$E$11), "", "After")</f>
        <v/>
      </c>
      <c r="AH19" s="1" t="str">
        <f>IF(OR(DATE($Y19, S$12, 1) &lt; 'Evaluation Set-up'!$D$11, DATE($Y19, S$12, 1) &gt;= 'Evaluation Set-up'!$E$11), "", "After")</f>
        <v/>
      </c>
      <c r="AI19" s="1" t="str">
        <f>IF(OR(DATE($Y19, T$12, 1) &lt; 'Evaluation Set-up'!$D$11, DATE($Y19, T$12, 1) &gt;= 'Evaluation Set-up'!$E$11), "", "After")</f>
        <v/>
      </c>
      <c r="AJ19" s="1" t="str">
        <f>IF(OR(DATE($Y19, U$12, 1) &lt; 'Evaluation Set-up'!$D$11, DATE($Y19, U$12, 1) &gt;= 'Evaluation Set-up'!$E$11), "", "After")</f>
        <v/>
      </c>
      <c r="AK19" s="1" t="str">
        <f>IF(OR(DATE($Y19, V$12, 1) &lt; 'Evaluation Set-up'!$D$11, DATE($Y19, V$12, 1) &gt;= 'Evaluation Set-up'!$E$11), "", "After")</f>
        <v/>
      </c>
      <c r="AL19" s="70" t="str">
        <f>IF(OR(DATE($Y19, W$12, 1) &lt; 'Evaluation Set-up'!$D$11, DATE($Y19, W$12, 1) &gt;= 'Evaluation Set-up'!$E$11), "", "After")</f>
        <v/>
      </c>
    </row>
    <row r="20" spans="2:38">
      <c r="B20" s="77">
        <v>2017</v>
      </c>
      <c r="C20" s="81" t="n">
        <f>COUNTIF(Before!$Q:$Q,B20) + COUNTIF(After!$Q:$Q,B20)</f>
        <v>3</v>
      </c>
      <c r="D20" s="34" t="n">
        <f>COUNTIFS(Before!$C:$C,"&gt;=23",Before!$C:$C,"&lt;=27", Before!$Q:$Q,B20)+COUNTIFS(Before!$C:$C,"30", Before!$Q:$Q,B20) + COUNTIFS(After!$C:$C,"&gt;=23",After!$C:$C,"&lt;=27", After!$Q:$Q,B20)+COUNTIFS(After!$C:$C,"30", After!$Q:$Q,B20)</f>
        <v>1</v>
      </c>
      <c r="E20" s="34" t="n">
        <f>COUNTIFS(Before!$C:$C,"&gt;=21",Before!$C:$C,"&lt;=22", Before!$Q:$Q,B20) + COUNTIFS(After!$C:$C,"&gt;=21",After!$C:$C,"&lt;=22", After!$Q:$Q,B20)</f>
        <v>0</v>
      </c>
      <c r="F20" s="82" t="n">
        <f>COUNTIFS(Before!$Q:$Q,$B20, Before!$G:$G, "K") + COUNTIFS(Before!$Q:$Q,$B20, Before!$G:$G, "A") + COUNTIFS(Before!$Q:$Q,$B20, Before!$G:$G, "B") + COUNTIFS(Before!$Q:$Q,$B20, Before!$G:$G, "C")
+ COUNTIFS(After!$Q:$Q,$B20, After!$G:$G, "K") + COUNTIFS(After!$Q:$Q,$B20, After!$G:$G, "A") + COUNTIFS(After!$Q:$Q,$B20, After!$G:$G, "B") + COUNTIFS(After!$Q:$Q,$B20, After!$G:$G, "C")</f>
        <v>0</v>
      </c>
      <c r="G20" s="85" t="n">
        <f>VLOOKUP($B20, 'Evaluation Set-up'!$K$11:$R$35, 4, FALSE)</f>
        <v>3150</v>
      </c>
      <c r="H20" s="86" t="n">
        <f>VLOOKUP($B20, 'Evaluation Set-up'!$K$11:$R$35, 7, FALSE)</f>
        <v>2650</v>
      </c>
      <c r="J20" s="49">
        <v>2017</v>
      </c>
      <c r="K20" s="65" t="n">
        <f t="shared" si="0"/>
        <v>10</v>
      </c>
      <c r="L20" s="1" t="str">
        <f>IF(OR(DATE($J20, L$12, 1) &lt; 'Evaluation Set-up'!$D$9, DATE($J20, L$12, 1) &gt;= 'Evaluation Set-up'!$E$9), "", "Before")</f>
        <v/>
      </c>
      <c r="M20" s="1" t="str">
        <f>IF(OR(DATE($J20, M$12, 1) &lt; 'Evaluation Set-up'!$D$9, DATE($J20, M$12, 1) &gt;= 'Evaluation Set-up'!$E$9), "", "Before")</f>
        <v/>
      </c>
      <c r="N20" s="1" t="str">
        <f>IF(OR(DATE($J20, N$12, 1) &lt; 'Evaluation Set-up'!$D$9, DATE($J20, N$12, 1) &gt;= 'Evaluation Set-up'!$E$9), "", "Before")</f>
        <v>Before</v>
      </c>
      <c r="O20" s="1" t="str">
        <f>IF(OR(DATE($J20, O$12, 1) &lt; 'Evaluation Set-up'!$D$9, DATE($J20, O$12, 1) &gt;= 'Evaluation Set-up'!$E$9), "", "Before")</f>
        <v>Before</v>
      </c>
      <c r="P20" s="1" t="str">
        <f>IF(OR(DATE($J20, P$12, 1) &lt; 'Evaluation Set-up'!$D$9, DATE($J20, P$12, 1) &gt;= 'Evaluation Set-up'!$E$9), "", "Before")</f>
        <v>Before</v>
      </c>
      <c r="Q20" s="1" t="str">
        <f>IF(OR(DATE($J20, Q$12, 1) &lt; 'Evaluation Set-up'!$D$9, DATE($J20, Q$12, 1) &gt;= 'Evaluation Set-up'!$E$9), "", "Before")</f>
        <v>Before</v>
      </c>
      <c r="R20" s="1" t="str">
        <f>IF(OR(DATE($J20, R$12, 1) &lt; 'Evaluation Set-up'!$D$9, DATE($J20, R$12, 1) &gt;= 'Evaluation Set-up'!$E$9), "", "Before")</f>
        <v>Before</v>
      </c>
      <c r="S20" s="1" t="str">
        <f>IF(OR(DATE($J20, S$12, 1) &lt; 'Evaluation Set-up'!$D$9, DATE($J20, S$12, 1) &gt;= 'Evaluation Set-up'!$E$9), "", "Before")</f>
        <v>Before</v>
      </c>
      <c r="T20" s="1" t="str">
        <f>IF(OR(DATE($J20, T$12, 1) &lt; 'Evaluation Set-up'!$D$9, DATE($J20, T$12, 1) &gt;= 'Evaluation Set-up'!$E$9), "", "Before")</f>
        <v>Before</v>
      </c>
      <c r="U20" s="1" t="str">
        <f>IF(OR(DATE($J20, U$12, 1) &lt; 'Evaluation Set-up'!$D$9, DATE($J20, U$12, 1) &gt;= 'Evaluation Set-up'!$E$9), "", "Before")</f>
        <v>Before</v>
      </c>
      <c r="V20" s="1" t="str">
        <f>IF(OR(DATE($J20, V$12, 1) &lt; 'Evaluation Set-up'!$D$9, DATE($J20, V$12, 1) &gt;= 'Evaluation Set-up'!$E$9), "", "Before")</f>
        <v>Before</v>
      </c>
      <c r="W20" s="70" t="str">
        <f>IF(OR(DATE($J20, W$12, 1) &lt; 'Evaluation Set-up'!$D$9, DATE($J20, W$12, 1) &gt;= 'Evaluation Set-up'!$E$9), "", "Before")</f>
        <v>Before</v>
      </c>
      <c r="X20" s="1"/>
      <c r="Y20" s="49">
        <v>2017</v>
      </c>
      <c r="Z20" s="65" t="n">
        <f t="shared" si="1"/>
        <v>0</v>
      </c>
      <c r="AA20" s="1" t="str">
        <f>IF(OR(DATE($Y20, L$12, 1) &lt; 'Evaluation Set-up'!$D$11, DATE($Y20, L$12, 1) &gt;= 'Evaluation Set-up'!$E$11), "", "After")</f>
        <v/>
      </c>
      <c r="AB20" s="1" t="str">
        <f>IF(OR(DATE($Y20, M$12, 1) &lt; 'Evaluation Set-up'!$D$11, DATE($Y20, M$12, 1) &gt;= 'Evaluation Set-up'!$E$11), "", "After")</f>
        <v/>
      </c>
      <c r="AC20" s="1" t="str">
        <f>IF(OR(DATE($Y20, N$12, 1) &lt; 'Evaluation Set-up'!$D$11, DATE($Y20, N$12, 1) &gt;= 'Evaluation Set-up'!$E$11), "", "After")</f>
        <v/>
      </c>
      <c r="AD20" s="1" t="str">
        <f>IF(OR(DATE($Y20, O$12, 1) &lt; 'Evaluation Set-up'!$D$11, DATE($Y20, O$12, 1) &gt;= 'Evaluation Set-up'!$E$11), "", "After")</f>
        <v/>
      </c>
      <c r="AE20" s="1" t="str">
        <f>IF(OR(DATE($Y20, P$12, 1) &lt; 'Evaluation Set-up'!$D$11, DATE($Y20, P$12, 1) &gt;= 'Evaluation Set-up'!$E$11), "", "After")</f>
        <v/>
      </c>
      <c r="AF20" s="1" t="str">
        <f>IF(OR(DATE($Y20, Q$12, 1) &lt; 'Evaluation Set-up'!$D$11, DATE($Y20, Q$12, 1) &gt;= 'Evaluation Set-up'!$E$11), "", "After")</f>
        <v/>
      </c>
      <c r="AG20" s="1" t="str">
        <f>IF(OR(DATE($Y20, R$12, 1) &lt; 'Evaluation Set-up'!$D$11, DATE($Y20, R$12, 1) &gt;= 'Evaluation Set-up'!$E$11), "", "After")</f>
        <v/>
      </c>
      <c r="AH20" s="1" t="str">
        <f>IF(OR(DATE($Y20, S$12, 1) &lt; 'Evaluation Set-up'!$D$11, DATE($Y20, S$12, 1) &gt;= 'Evaluation Set-up'!$E$11), "", "After")</f>
        <v/>
      </c>
      <c r="AI20" s="1" t="str">
        <f>IF(OR(DATE($Y20, T$12, 1) &lt; 'Evaluation Set-up'!$D$11, DATE($Y20, T$12, 1) &gt;= 'Evaluation Set-up'!$E$11), "", "After")</f>
        <v/>
      </c>
      <c r="AJ20" s="1" t="str">
        <f>IF(OR(DATE($Y20, U$12, 1) &lt; 'Evaluation Set-up'!$D$11, DATE($Y20, U$12, 1) &gt;= 'Evaluation Set-up'!$E$11), "", "After")</f>
        <v/>
      </c>
      <c r="AK20" s="1" t="str">
        <f>IF(OR(DATE($Y20, V$12, 1) &lt; 'Evaluation Set-up'!$D$11, DATE($Y20, V$12, 1) &gt;= 'Evaluation Set-up'!$E$11), "", "After")</f>
        <v/>
      </c>
      <c r="AL20" s="70" t="str">
        <f>IF(OR(DATE($Y20, W$12, 1) &lt; 'Evaluation Set-up'!$D$11, DATE($Y20, W$12, 1) &gt;= 'Evaluation Set-up'!$E$11), "", "After")</f>
        <v/>
      </c>
    </row>
    <row r="21" spans="2:38">
      <c r="B21" s="77">
        <v>2018</v>
      </c>
      <c r="C21" s="81" t="n">
        <f>COUNTIF(Before!$Q:$Q,B21) + COUNTIF(After!$Q:$Q,B21)</f>
        <v>1</v>
      </c>
      <c r="D21" s="34" t="n">
        <f>COUNTIFS(Before!$C:$C,"&gt;=23",Before!$C:$C,"&lt;=27", Before!$Q:$Q,B21)+COUNTIFS(Before!$C:$C,"30", Before!$Q:$Q,B21) + COUNTIFS(After!$C:$C,"&gt;=23",After!$C:$C,"&lt;=27", After!$Q:$Q,B21)+COUNTIFS(After!$C:$C,"30", After!$Q:$Q,B21)</f>
        <v>0</v>
      </c>
      <c r="E21" s="34" t="n">
        <f>COUNTIFS(Before!$C:$C,"&gt;=21",Before!$C:$C,"&lt;=22", Before!$Q:$Q,B21) + COUNTIFS(After!$C:$C,"&gt;=21",After!$C:$C,"&lt;=22", After!$Q:$Q,B21)</f>
        <v>0</v>
      </c>
      <c r="F21" s="82" t="n">
        <f>COUNTIFS(Before!$Q:$Q,$B21, Before!$G:$G, "K") + COUNTIFS(Before!$Q:$Q,$B21, Before!$G:$G, "A") + COUNTIFS(Before!$Q:$Q,$B21, Before!$G:$G, "B") + COUNTIFS(Before!$Q:$Q,$B21, Before!$G:$G, "C")
+ COUNTIFS(After!$Q:$Q,$B21, After!$G:$G, "K") + COUNTIFS(After!$Q:$Q,$B21, After!$G:$G, "A") + COUNTIFS(After!$Q:$Q,$B21, After!$G:$G, "B") + COUNTIFS(After!$Q:$Q,$B21, After!$G:$G, "C")</f>
        <v>0</v>
      </c>
      <c r="G21" s="85" t="n">
        <f>VLOOKUP($B21, 'Evaluation Set-up'!$K$11:$R$35, 4, FALSE)</f>
        <v>3000</v>
      </c>
      <c r="H21" s="86" t="n">
        <f>VLOOKUP($B21, 'Evaluation Set-up'!$K$11:$R$35, 7, FALSE)</f>
        <v>2450</v>
      </c>
      <c r="J21" s="49">
        <v>2018</v>
      </c>
      <c r="K21" s="65" t="n">
        <f t="shared" si="0"/>
        <v>12</v>
      </c>
      <c r="L21" s="1" t="str">
        <f>IF(OR(DATE($J21, L$12, 1) &lt; 'Evaluation Set-up'!$D$9, DATE($J21, L$12, 1) &gt;= 'Evaluation Set-up'!$E$9), "", "Before")</f>
        <v>Before</v>
      </c>
      <c r="M21" s="1" t="str">
        <f>IF(OR(DATE($J21, M$12, 1) &lt; 'Evaluation Set-up'!$D$9, DATE($J21, M$12, 1) &gt;= 'Evaluation Set-up'!$E$9), "", "Before")</f>
        <v>Before</v>
      </c>
      <c r="N21" s="1" t="str">
        <f>IF(OR(DATE($J21, N$12, 1) &lt; 'Evaluation Set-up'!$D$9, DATE($J21, N$12, 1) &gt;= 'Evaluation Set-up'!$E$9), "", "Before")</f>
        <v>Before</v>
      </c>
      <c r="O21" s="1" t="str">
        <f>IF(OR(DATE($J21, O$12, 1) &lt; 'Evaluation Set-up'!$D$9, DATE($J21, O$12, 1) &gt;= 'Evaluation Set-up'!$E$9), "", "Before")</f>
        <v>Before</v>
      </c>
      <c r="P21" s="1" t="str">
        <f>IF(OR(DATE($J21, P$12, 1) &lt; 'Evaluation Set-up'!$D$9, DATE($J21, P$12, 1) &gt;= 'Evaluation Set-up'!$E$9), "", "Before")</f>
        <v>Before</v>
      </c>
      <c r="Q21" s="1" t="str">
        <f>IF(OR(DATE($J21, Q$12, 1) &lt; 'Evaluation Set-up'!$D$9, DATE($J21, Q$12, 1) &gt;= 'Evaluation Set-up'!$E$9), "", "Before")</f>
        <v>Before</v>
      </c>
      <c r="R21" s="1" t="str">
        <f>IF(OR(DATE($J21, R$12, 1) &lt; 'Evaluation Set-up'!$D$9, DATE($J21, R$12, 1) &gt;= 'Evaluation Set-up'!$E$9), "", "Before")</f>
        <v>Before</v>
      </c>
      <c r="S21" s="1" t="str">
        <f>IF(OR(DATE($J21, S$12, 1) &lt; 'Evaluation Set-up'!$D$9, DATE($J21, S$12, 1) &gt;= 'Evaluation Set-up'!$E$9), "", "Before")</f>
        <v>Before</v>
      </c>
      <c r="T21" s="1" t="str">
        <f>IF(OR(DATE($J21, T$12, 1) &lt; 'Evaluation Set-up'!$D$9, DATE($J21, T$12, 1) &gt;= 'Evaluation Set-up'!$E$9), "", "Before")</f>
        <v>Before</v>
      </c>
      <c r="U21" s="1" t="str">
        <f>IF(OR(DATE($J21, U$12, 1) &lt; 'Evaluation Set-up'!$D$9, DATE($J21, U$12, 1) &gt;= 'Evaluation Set-up'!$E$9), "", "Before")</f>
        <v>Before</v>
      </c>
      <c r="V21" s="1" t="str">
        <f>IF(OR(DATE($J21, V$12, 1) &lt; 'Evaluation Set-up'!$D$9, DATE($J21, V$12, 1) &gt;= 'Evaluation Set-up'!$E$9), "", "Before")</f>
        <v>Before</v>
      </c>
      <c r="W21" s="70" t="str">
        <f>IF(OR(DATE($J21, W$12, 1) &lt; 'Evaluation Set-up'!$D$9, DATE($J21, W$12, 1) &gt;= 'Evaluation Set-up'!$E$9), "", "Before")</f>
        <v>Before</v>
      </c>
      <c r="X21" s="1"/>
      <c r="Y21" s="49">
        <v>2018</v>
      </c>
      <c r="Z21" s="65" t="n">
        <f t="shared" si="1"/>
        <v>0</v>
      </c>
      <c r="AA21" s="1" t="str">
        <f>IF(OR(DATE($Y21, L$12, 1) &lt; 'Evaluation Set-up'!$D$11, DATE($Y21, L$12, 1) &gt;= 'Evaluation Set-up'!$E$11), "", "After")</f>
        <v/>
      </c>
      <c r="AB21" s="1" t="str">
        <f>IF(OR(DATE($Y21, M$12, 1) &lt; 'Evaluation Set-up'!$D$11, DATE($Y21, M$12, 1) &gt;= 'Evaluation Set-up'!$E$11), "", "After")</f>
        <v/>
      </c>
      <c r="AC21" s="1" t="str">
        <f>IF(OR(DATE($Y21, N$12, 1) &lt; 'Evaluation Set-up'!$D$11, DATE($Y21, N$12, 1) &gt;= 'Evaluation Set-up'!$E$11), "", "After")</f>
        <v/>
      </c>
      <c r="AD21" s="1" t="str">
        <f>IF(OR(DATE($Y21, O$12, 1) &lt; 'Evaluation Set-up'!$D$11, DATE($Y21, O$12, 1) &gt;= 'Evaluation Set-up'!$E$11), "", "After")</f>
        <v/>
      </c>
      <c r="AE21" s="1" t="str">
        <f>IF(OR(DATE($Y21, P$12, 1) &lt; 'Evaluation Set-up'!$D$11, DATE($Y21, P$12, 1) &gt;= 'Evaluation Set-up'!$E$11), "", "After")</f>
        <v/>
      </c>
      <c r="AF21" s="1" t="str">
        <f>IF(OR(DATE($Y21, Q$12, 1) &lt; 'Evaluation Set-up'!$D$11, DATE($Y21, Q$12, 1) &gt;= 'Evaluation Set-up'!$E$11), "", "After")</f>
        <v/>
      </c>
      <c r="AG21" s="1" t="str">
        <f>IF(OR(DATE($Y21, R$12, 1) &lt; 'Evaluation Set-up'!$D$11, DATE($Y21, R$12, 1) &gt;= 'Evaluation Set-up'!$E$11), "", "After")</f>
        <v/>
      </c>
      <c r="AH21" s="1" t="str">
        <f>IF(OR(DATE($Y21, S$12, 1) &lt; 'Evaluation Set-up'!$D$11, DATE($Y21, S$12, 1) &gt;= 'Evaluation Set-up'!$E$11), "", "After")</f>
        <v/>
      </c>
      <c r="AI21" s="1" t="str">
        <f>IF(OR(DATE($Y21, T$12, 1) &lt; 'Evaluation Set-up'!$D$11, DATE($Y21, T$12, 1) &gt;= 'Evaluation Set-up'!$E$11), "", "After")</f>
        <v/>
      </c>
      <c r="AJ21" s="1" t="str">
        <f>IF(OR(DATE($Y21, U$12, 1) &lt; 'Evaluation Set-up'!$D$11, DATE($Y21, U$12, 1) &gt;= 'Evaluation Set-up'!$E$11), "", "After")</f>
        <v/>
      </c>
      <c r="AK21" s="1" t="str">
        <f>IF(OR(DATE($Y21, V$12, 1) &lt; 'Evaluation Set-up'!$D$11, DATE($Y21, V$12, 1) &gt;= 'Evaluation Set-up'!$E$11), "", "After")</f>
        <v/>
      </c>
      <c r="AL21" s="70" t="str">
        <f>IF(OR(DATE($Y21, W$12, 1) &lt; 'Evaluation Set-up'!$D$11, DATE($Y21, W$12, 1) &gt;= 'Evaluation Set-up'!$E$11), "", "After")</f>
        <v/>
      </c>
    </row>
    <row r="22" spans="2:38">
      <c r="B22" s="77">
        <v>2019</v>
      </c>
      <c r="C22" s="81" t="n">
        <f>COUNTIF(Before!$Q:$Q,B22) + COUNTIF(After!$Q:$Q,B22)</f>
        <v>1</v>
      </c>
      <c r="D22" s="34" t="n">
        <f>COUNTIFS(Before!$C:$C,"&gt;=23",Before!$C:$C,"&lt;=27", Before!$Q:$Q,B22)+COUNTIFS(Before!$C:$C,"30", Before!$Q:$Q,B22) + COUNTIFS(After!$C:$C,"&gt;=23",After!$C:$C,"&lt;=27", After!$Q:$Q,B22)+COUNTIFS(After!$C:$C,"30", After!$Q:$Q,B22)</f>
        <v>0</v>
      </c>
      <c r="E22" s="34" t="n">
        <f>COUNTIFS(Before!$C:$C,"&gt;=21",Before!$C:$C,"&lt;=22", Before!$Q:$Q,B22) + COUNTIFS(After!$C:$C,"&gt;=21",After!$C:$C,"&lt;=22", After!$Q:$Q,B22)</f>
        <v>1</v>
      </c>
      <c r="F22" s="82" t="n">
        <f>COUNTIFS(Before!$Q:$Q,$B22, Before!$G:$G, "K") + COUNTIFS(Before!$Q:$Q,$B22, Before!$G:$G, "A") + COUNTIFS(Before!$Q:$Q,$B22, Before!$G:$G, "B") + COUNTIFS(Before!$Q:$Q,$B22, Before!$G:$G, "C")
+ COUNTIFS(After!$Q:$Q,$B22, After!$G:$G, "K") + COUNTIFS(After!$Q:$Q,$B22, After!$G:$G, "A") + COUNTIFS(After!$Q:$Q,$B22, After!$G:$G, "B") + COUNTIFS(After!$Q:$Q,$B22, After!$G:$G, "C")</f>
        <v>1</v>
      </c>
      <c r="G22" s="85" t="n">
        <f>VLOOKUP($B22, 'Evaluation Set-up'!$K$11:$R$35, 4, FALSE)</f>
        <v>2850</v>
      </c>
      <c r="H22" s="86" t="n">
        <f>VLOOKUP($B22, 'Evaluation Set-up'!$K$11:$R$35, 7, FALSE)</f>
        <v>2200</v>
      </c>
      <c r="J22" s="49">
        <v>2019</v>
      </c>
      <c r="K22" s="65" t="n">
        <f t="shared" si="0"/>
        <v>12</v>
      </c>
      <c r="L22" s="1" t="str">
        <f>IF(OR(DATE($J22, L$12, 1) &lt; 'Evaluation Set-up'!$D$9, DATE($J22, L$12, 1) &gt;= 'Evaluation Set-up'!$E$9), "", "Before")</f>
        <v>Before</v>
      </c>
      <c r="M22" s="1" t="str">
        <f>IF(OR(DATE($J22, M$12, 1) &lt; 'Evaluation Set-up'!$D$9, DATE($J22, M$12, 1) &gt;= 'Evaluation Set-up'!$E$9), "", "Before")</f>
        <v>Before</v>
      </c>
      <c r="N22" s="1" t="str">
        <f>IF(OR(DATE($J22, N$12, 1) &lt; 'Evaluation Set-up'!$D$9, DATE($J22, N$12, 1) &gt;= 'Evaluation Set-up'!$E$9), "", "Before")</f>
        <v>Before</v>
      </c>
      <c r="O22" s="1" t="str">
        <f>IF(OR(DATE($J22, O$12, 1) &lt; 'Evaluation Set-up'!$D$9, DATE($J22, O$12, 1) &gt;= 'Evaluation Set-up'!$E$9), "", "Before")</f>
        <v>Before</v>
      </c>
      <c r="P22" s="1" t="str">
        <f>IF(OR(DATE($J22, P$12, 1) &lt; 'Evaluation Set-up'!$D$9, DATE($J22, P$12, 1) &gt;= 'Evaluation Set-up'!$E$9), "", "Before")</f>
        <v>Before</v>
      </c>
      <c r="Q22" s="1" t="str">
        <f>IF(OR(DATE($J22, Q$12, 1) &lt; 'Evaluation Set-up'!$D$9, DATE($J22, Q$12, 1) &gt;= 'Evaluation Set-up'!$E$9), "", "Before")</f>
        <v>Before</v>
      </c>
      <c r="R22" s="1" t="str">
        <f>IF(OR(DATE($J22, R$12, 1) &lt; 'Evaluation Set-up'!$D$9, DATE($J22, R$12, 1) &gt;= 'Evaluation Set-up'!$E$9), "", "Before")</f>
        <v>Before</v>
      </c>
      <c r="S22" s="1" t="str">
        <f>IF(OR(DATE($J22, S$12, 1) &lt; 'Evaluation Set-up'!$D$9, DATE($J22, S$12, 1) &gt;= 'Evaluation Set-up'!$E$9), "", "Before")</f>
        <v>Before</v>
      </c>
      <c r="T22" s="1" t="str">
        <f>IF(OR(DATE($J22, T$12, 1) &lt; 'Evaluation Set-up'!$D$9, DATE($J22, T$12, 1) &gt;= 'Evaluation Set-up'!$E$9), "", "Before")</f>
        <v>Before</v>
      </c>
      <c r="U22" s="1" t="str">
        <f>IF(OR(DATE($J22, U$12, 1) &lt; 'Evaluation Set-up'!$D$9, DATE($J22, U$12, 1) &gt;= 'Evaluation Set-up'!$E$9), "", "Before")</f>
        <v>Before</v>
      </c>
      <c r="V22" s="1" t="str">
        <f>IF(OR(DATE($J22, V$12, 1) &lt; 'Evaluation Set-up'!$D$9, DATE($J22, V$12, 1) &gt;= 'Evaluation Set-up'!$E$9), "", "Before")</f>
        <v>Before</v>
      </c>
      <c r="W22" s="70" t="str">
        <f>IF(OR(DATE($J22, W$12, 1) &lt; 'Evaluation Set-up'!$D$9, DATE($J22, W$12, 1) &gt;= 'Evaluation Set-up'!$E$9), "", "Before")</f>
        <v>Before</v>
      </c>
      <c r="X22" s="1"/>
      <c r="Y22" s="49">
        <v>2019</v>
      </c>
      <c r="Z22" s="65" t="n">
        <f t="shared" si="1"/>
        <v>0</v>
      </c>
      <c r="AA22" s="1" t="str">
        <f>IF(OR(DATE($Y22, L$12, 1) &lt; 'Evaluation Set-up'!$D$11, DATE($Y22, L$12, 1) &gt;= 'Evaluation Set-up'!$E$11), "", "After")</f>
        <v/>
      </c>
      <c r="AB22" s="1" t="str">
        <f>IF(OR(DATE($Y22, M$12, 1) &lt; 'Evaluation Set-up'!$D$11, DATE($Y22, M$12, 1) &gt;= 'Evaluation Set-up'!$E$11), "", "After")</f>
        <v/>
      </c>
      <c r="AC22" s="1" t="str">
        <f>IF(OR(DATE($Y22, N$12, 1) &lt; 'Evaluation Set-up'!$D$11, DATE($Y22, N$12, 1) &gt;= 'Evaluation Set-up'!$E$11), "", "After")</f>
        <v/>
      </c>
      <c r="AD22" s="1" t="str">
        <f>IF(OR(DATE($Y22, O$12, 1) &lt; 'Evaluation Set-up'!$D$11, DATE($Y22, O$12, 1) &gt;= 'Evaluation Set-up'!$E$11), "", "After")</f>
        <v/>
      </c>
      <c r="AE22" s="1" t="str">
        <f>IF(OR(DATE($Y22, P$12, 1) &lt; 'Evaluation Set-up'!$D$11, DATE($Y22, P$12, 1) &gt;= 'Evaluation Set-up'!$E$11), "", "After")</f>
        <v/>
      </c>
      <c r="AF22" s="1" t="str">
        <f>IF(OR(DATE($Y22, Q$12, 1) &lt; 'Evaluation Set-up'!$D$11, DATE($Y22, Q$12, 1) &gt;= 'Evaluation Set-up'!$E$11), "", "After")</f>
        <v/>
      </c>
      <c r="AG22" s="1" t="str">
        <f>IF(OR(DATE($Y22, R$12, 1) &lt; 'Evaluation Set-up'!$D$11, DATE($Y22, R$12, 1) &gt;= 'Evaluation Set-up'!$E$11), "", "After")</f>
        <v/>
      </c>
      <c r="AH22" s="1" t="str">
        <f>IF(OR(DATE($Y22, S$12, 1) &lt; 'Evaluation Set-up'!$D$11, DATE($Y22, S$12, 1) &gt;= 'Evaluation Set-up'!$E$11), "", "After")</f>
        <v/>
      </c>
      <c r="AI22" s="1" t="str">
        <f>IF(OR(DATE($Y22, T$12, 1) &lt; 'Evaluation Set-up'!$D$11, DATE($Y22, T$12, 1) &gt;= 'Evaluation Set-up'!$E$11), "", "After")</f>
        <v/>
      </c>
      <c r="AJ22" s="1" t="str">
        <f>IF(OR(DATE($Y22, U$12, 1) &lt; 'Evaluation Set-up'!$D$11, DATE($Y22, U$12, 1) &gt;= 'Evaluation Set-up'!$E$11), "", "After")</f>
        <v/>
      </c>
      <c r="AK22" s="1" t="str">
        <f>IF(OR(DATE($Y22, V$12, 1) &lt; 'Evaluation Set-up'!$D$11, DATE($Y22, V$12, 1) &gt;= 'Evaluation Set-up'!$E$11), "", "After")</f>
        <v/>
      </c>
      <c r="AL22" s="70" t="str">
        <f>IF(OR(DATE($Y22, W$12, 1) &lt; 'Evaluation Set-up'!$D$11, DATE($Y22, W$12, 1) &gt;= 'Evaluation Set-up'!$E$11), "", "After")</f>
        <v/>
      </c>
    </row>
    <row r="23" spans="2:38">
      <c r="B23" s="77">
        <v>2020</v>
      </c>
      <c r="C23" s="81" t="n">
        <f>COUNTIF(Before!$Q:$Q,B23) + COUNTIF(After!$Q:$Q,B23)</f>
        <v>1</v>
      </c>
      <c r="D23" s="34" t="n">
        <f>COUNTIFS(Before!$C:$C,"&gt;=23",Before!$C:$C,"&lt;=27", Before!$Q:$Q,B23)+COUNTIFS(Before!$C:$C,"30", Before!$Q:$Q,B23) + COUNTIFS(After!$C:$C,"&gt;=23",After!$C:$C,"&lt;=27", After!$Q:$Q,B23)+COUNTIFS(After!$C:$C,"30", After!$Q:$Q,B23)</f>
        <v>0</v>
      </c>
      <c r="E23" s="34" t="n">
        <f>COUNTIFS(Before!$C:$C,"&gt;=21",Before!$C:$C,"&lt;=22", Before!$Q:$Q,B23) + COUNTIFS(After!$C:$C,"&gt;=21",After!$C:$C,"&lt;=22", After!$Q:$Q,B23)</f>
        <v>0</v>
      </c>
      <c r="F23" s="82" t="n">
        <f>COUNTIFS(Before!$Q:$Q,$B23, Before!$G:$G, "K") + COUNTIFS(Before!$Q:$Q,$B23, Before!$G:$G, "A") + COUNTIFS(Before!$Q:$Q,$B23, Before!$G:$G, "B") + COUNTIFS(Before!$Q:$Q,$B23, Before!$G:$G, "C")
+ COUNTIFS(After!$Q:$Q,$B23, After!$G:$G, "K") + COUNTIFS(After!$Q:$Q,$B23, After!$G:$G, "A") + COUNTIFS(After!$Q:$Q,$B23, After!$G:$G, "B") + COUNTIFS(After!$Q:$Q,$B23, After!$G:$G, "C")</f>
        <v>0</v>
      </c>
      <c r="G23" s="85" t="n">
        <f>VLOOKUP($B23, 'Evaluation Set-up'!$K$11:$R$35, 4, FALSE)</f>
        <v>2300</v>
      </c>
      <c r="H23" s="86" t="n">
        <f>VLOOKUP($B23, 'Evaluation Set-up'!$K$11:$R$35, 7, FALSE)</f>
        <v>1750</v>
      </c>
      <c r="J23" s="49">
        <v>2020</v>
      </c>
      <c r="K23" s="65" t="n">
        <f t="shared" si="0"/>
        <v>12</v>
      </c>
      <c r="L23" s="1" t="str">
        <f>IF(OR(DATE($J23, L$12, 1) &lt; 'Evaluation Set-up'!$D$9, DATE($J23, L$12, 1) &gt;= 'Evaluation Set-up'!$E$9), "", "Before")</f>
        <v>Before</v>
      </c>
      <c r="M23" s="1" t="str">
        <f>IF(OR(DATE($J23, M$12, 1) &lt; 'Evaluation Set-up'!$D$9, DATE($J23, M$12, 1) &gt;= 'Evaluation Set-up'!$E$9), "", "Before")</f>
        <v>Before</v>
      </c>
      <c r="N23" s="1" t="str">
        <f>IF(OR(DATE($J23, N$12, 1) &lt; 'Evaluation Set-up'!$D$9, DATE($J23, N$12, 1) &gt;= 'Evaluation Set-up'!$E$9), "", "Before")</f>
        <v>Before</v>
      </c>
      <c r="O23" s="1" t="str">
        <f>IF(OR(DATE($J23, O$12, 1) &lt; 'Evaluation Set-up'!$D$9, DATE($J23, O$12, 1) &gt;= 'Evaluation Set-up'!$E$9), "", "Before")</f>
        <v>Before</v>
      </c>
      <c r="P23" s="1" t="str">
        <f>IF(OR(DATE($J23, P$12, 1) &lt; 'Evaluation Set-up'!$D$9, DATE($J23, P$12, 1) &gt;= 'Evaluation Set-up'!$E$9), "", "Before")</f>
        <v>Before</v>
      </c>
      <c r="Q23" s="1" t="str">
        <f>IF(OR(DATE($J23, Q$12, 1) &lt; 'Evaluation Set-up'!$D$9, DATE($J23, Q$12, 1) &gt;= 'Evaluation Set-up'!$E$9), "", "Before")</f>
        <v>Before</v>
      </c>
      <c r="R23" s="1" t="str">
        <f>IF(OR(DATE($J23, R$12, 1) &lt; 'Evaluation Set-up'!$D$9, DATE($J23, R$12, 1) &gt;= 'Evaluation Set-up'!$E$9), "", "Before")</f>
        <v>Before</v>
      </c>
      <c r="S23" s="1" t="str">
        <f>IF(OR(DATE($J23, S$12, 1) &lt; 'Evaluation Set-up'!$D$9, DATE($J23, S$12, 1) &gt;= 'Evaluation Set-up'!$E$9), "", "Before")</f>
        <v>Before</v>
      </c>
      <c r="T23" s="1" t="str">
        <f>IF(OR(DATE($J23, T$12, 1) &lt; 'Evaluation Set-up'!$D$9, DATE($J23, T$12, 1) &gt;= 'Evaluation Set-up'!$E$9), "", "Before")</f>
        <v>Before</v>
      </c>
      <c r="U23" s="1" t="str">
        <f>IF(OR(DATE($J23, U$12, 1) &lt; 'Evaluation Set-up'!$D$9, DATE($J23, U$12, 1) &gt;= 'Evaluation Set-up'!$E$9), "", "Before")</f>
        <v>Before</v>
      </c>
      <c r="V23" s="1" t="str">
        <f>IF(OR(DATE($J23, V$12, 1) &lt; 'Evaluation Set-up'!$D$9, DATE($J23, V$12, 1) &gt;= 'Evaluation Set-up'!$E$9), "", "Before")</f>
        <v>Before</v>
      </c>
      <c r="W23" s="70" t="str">
        <f>IF(OR(DATE($J23, W$12, 1) &lt; 'Evaluation Set-up'!$D$9, DATE($J23, W$12, 1) &gt;= 'Evaluation Set-up'!$E$9), "", "Before")</f>
        <v>Before</v>
      </c>
      <c r="X23" s="1"/>
      <c r="Y23" s="49">
        <v>2020</v>
      </c>
      <c r="Z23" s="65" t="n">
        <f t="shared" si="1"/>
        <v>0</v>
      </c>
      <c r="AA23" s="1" t="str">
        <f>IF(OR(DATE($Y23, L$12, 1) &lt; 'Evaluation Set-up'!$D$11, DATE($Y23, L$12, 1) &gt;= 'Evaluation Set-up'!$E$11), "", "After")</f>
        <v/>
      </c>
      <c r="AB23" s="1" t="str">
        <f>IF(OR(DATE($Y23, M$12, 1) &lt; 'Evaluation Set-up'!$D$11, DATE($Y23, M$12, 1) &gt;= 'Evaluation Set-up'!$E$11), "", "After")</f>
        <v/>
      </c>
      <c r="AC23" s="1" t="str">
        <f>IF(OR(DATE($Y23, N$12, 1) &lt; 'Evaluation Set-up'!$D$11, DATE($Y23, N$12, 1) &gt;= 'Evaluation Set-up'!$E$11), "", "After")</f>
        <v/>
      </c>
      <c r="AD23" s="1" t="str">
        <f>IF(OR(DATE($Y23, O$12, 1) &lt; 'Evaluation Set-up'!$D$11, DATE($Y23, O$12, 1) &gt;= 'Evaluation Set-up'!$E$11), "", "After")</f>
        <v/>
      </c>
      <c r="AE23" s="1" t="str">
        <f>IF(OR(DATE($Y23, P$12, 1) &lt; 'Evaluation Set-up'!$D$11, DATE($Y23, P$12, 1) &gt;= 'Evaluation Set-up'!$E$11), "", "After")</f>
        <v/>
      </c>
      <c r="AF23" s="1" t="str">
        <f>IF(OR(DATE($Y23, Q$12, 1) &lt; 'Evaluation Set-up'!$D$11, DATE($Y23, Q$12, 1) &gt;= 'Evaluation Set-up'!$E$11), "", "After")</f>
        <v/>
      </c>
      <c r="AG23" s="1" t="str">
        <f>IF(OR(DATE($Y23, R$12, 1) &lt; 'Evaluation Set-up'!$D$11, DATE($Y23, R$12, 1) &gt;= 'Evaluation Set-up'!$E$11), "", "After")</f>
        <v/>
      </c>
      <c r="AH23" s="1" t="str">
        <f>IF(OR(DATE($Y23, S$12, 1) &lt; 'Evaluation Set-up'!$D$11, DATE($Y23, S$12, 1) &gt;= 'Evaluation Set-up'!$E$11), "", "After")</f>
        <v/>
      </c>
      <c r="AI23" s="1" t="str">
        <f>IF(OR(DATE($Y23, T$12, 1) &lt; 'Evaluation Set-up'!$D$11, DATE($Y23, T$12, 1) &gt;= 'Evaluation Set-up'!$E$11), "", "After")</f>
        <v/>
      </c>
      <c r="AJ23" s="1" t="str">
        <f>IF(OR(DATE($Y23, U$12, 1) &lt; 'Evaluation Set-up'!$D$11, DATE($Y23, U$12, 1) &gt;= 'Evaluation Set-up'!$E$11), "", "After")</f>
        <v/>
      </c>
      <c r="AK23" s="1" t="str">
        <f>IF(OR(DATE($Y23, V$12, 1) &lt; 'Evaluation Set-up'!$D$11, DATE($Y23, V$12, 1) &gt;= 'Evaluation Set-up'!$E$11), "", "After")</f>
        <v/>
      </c>
      <c r="AL23" s="70" t="str">
        <f>IF(OR(DATE($Y23, W$12, 1) &lt; 'Evaluation Set-up'!$D$11, DATE($Y23, W$12, 1) &gt;= 'Evaluation Set-up'!$E$11), "", "After")</f>
        <v/>
      </c>
    </row>
    <row r="24" spans="2:38">
      <c r="B24" s="77">
        <v>2021</v>
      </c>
      <c r="C24" s="81" t="n">
        <f>COUNTIF(Before!$Q:$Q,B24) + COUNTIF(After!$Q:$Q,B24)</f>
        <v>1</v>
      </c>
      <c r="D24" s="34" t="n">
        <f>COUNTIFS(Before!$C:$C,"&gt;=23",Before!$C:$C,"&lt;=27", Before!$Q:$Q,B24)+COUNTIFS(Before!$C:$C,"30", Before!$Q:$Q,B24) + COUNTIFS(After!$C:$C,"&gt;=23",After!$C:$C,"&lt;=27", After!$Q:$Q,B24)+COUNTIFS(After!$C:$C,"30", After!$Q:$Q,B24)</f>
        <v>1</v>
      </c>
      <c r="E24" s="34" t="n">
        <f>COUNTIFS(Before!$C:$C,"&gt;=21",Before!$C:$C,"&lt;=22", Before!$Q:$Q,B24) + COUNTIFS(After!$C:$C,"&gt;=21",After!$C:$C,"&lt;=22", After!$Q:$Q,B24)</f>
        <v>0</v>
      </c>
      <c r="F24" s="82" t="n">
        <f>COUNTIFS(Before!$Q:$Q,$B24, Before!$G:$G, "K") + COUNTIFS(Before!$Q:$Q,$B24, Before!$G:$G, "A") + COUNTIFS(Before!$Q:$Q,$B24, Before!$G:$G, "B") + COUNTIFS(Before!$Q:$Q,$B24, Before!$G:$G, "C")
+ COUNTIFS(After!$Q:$Q,$B24, After!$G:$G, "K") + COUNTIFS(After!$Q:$Q,$B24, After!$G:$G, "A") + COUNTIFS(After!$Q:$Q,$B24, After!$G:$G, "B") + COUNTIFS(After!$Q:$Q,$B24, After!$G:$G, "C")</f>
        <v>0</v>
      </c>
      <c r="G24" s="85" t="n">
        <f>VLOOKUP($B24, 'Evaluation Set-up'!$K$11:$R$35, 4, FALSE)</f>
        <v>2650</v>
      </c>
      <c r="H24" s="86" t="n">
        <f>VLOOKUP($B24, 'Evaluation Set-up'!$K$11:$R$35, 7, FALSE)</f>
        <v>1950</v>
      </c>
      <c r="J24" s="49">
        <v>2021</v>
      </c>
      <c r="K24" s="65" t="n">
        <f t="shared" si="0"/>
        <v>9</v>
      </c>
      <c r="L24" s="1" t="str">
        <f>IF(OR(DATE($J24, L$12, 1) &lt; 'Evaluation Set-up'!$D$9, DATE($J24, L$12, 1) &gt;= 'Evaluation Set-up'!$E$9), "", "Before")</f>
        <v>Before</v>
      </c>
      <c r="M24" s="1" t="str">
        <f>IF(OR(DATE($J24, M$12, 1) &lt; 'Evaluation Set-up'!$D$9, DATE($J24, M$12, 1) &gt;= 'Evaluation Set-up'!$E$9), "", "Before")</f>
        <v>Before</v>
      </c>
      <c r="N24" s="1" t="str">
        <f>IF(OR(DATE($J24, N$12, 1) &lt; 'Evaluation Set-up'!$D$9, DATE($J24, N$12, 1) &gt;= 'Evaluation Set-up'!$E$9), "", "Before")</f>
        <v>Before</v>
      </c>
      <c r="O24" s="1" t="str">
        <f>IF(OR(DATE($J24, O$12, 1) &lt; 'Evaluation Set-up'!$D$9, DATE($J24, O$12, 1) &gt;= 'Evaluation Set-up'!$E$9), "", "Before")</f>
        <v>Before</v>
      </c>
      <c r="P24" s="1" t="str">
        <f>IF(OR(DATE($J24, P$12, 1) &lt; 'Evaluation Set-up'!$D$9, DATE($J24, P$12, 1) &gt;= 'Evaluation Set-up'!$E$9), "", "Before")</f>
        <v>Before</v>
      </c>
      <c r="Q24" s="1" t="str">
        <f>IF(OR(DATE($J24, Q$12, 1) &lt; 'Evaluation Set-up'!$D$9, DATE($J24, Q$12, 1) &gt;= 'Evaluation Set-up'!$E$9), "", "Before")</f>
        <v>Before</v>
      </c>
      <c r="R24" s="1" t="str">
        <f>IF(OR(DATE($J24, R$12, 1) &lt; 'Evaluation Set-up'!$D$9, DATE($J24, R$12, 1) &gt;= 'Evaluation Set-up'!$E$9), "", "Before")</f>
        <v>Before</v>
      </c>
      <c r="S24" s="1" t="str">
        <f>IF(OR(DATE($J24, S$12, 1) &lt; 'Evaluation Set-up'!$D$9, DATE($J24, S$12, 1) &gt;= 'Evaluation Set-up'!$E$9), "", "Before")</f>
        <v>Before</v>
      </c>
      <c r="T24" s="1" t="str">
        <f>IF(OR(DATE($J24, T$12, 1) &lt; 'Evaluation Set-up'!$D$9, DATE($J24, T$12, 1) &gt;= 'Evaluation Set-up'!$E$9), "", "Before")</f>
        <v>Before</v>
      </c>
      <c r="U24" s="1" t="str">
        <f>IF(OR(DATE($J24, U$12, 1) &lt; 'Evaluation Set-up'!$D$9, DATE($J24, U$12, 1) &gt;= 'Evaluation Set-up'!$E$9), "", "Before")</f>
        <v/>
      </c>
      <c r="V24" s="1" t="str">
        <f>IF(OR(DATE($J24, V$12, 1) &lt; 'Evaluation Set-up'!$D$9, DATE($J24, V$12, 1) &gt;= 'Evaluation Set-up'!$E$9), "", "Before")</f>
        <v/>
      </c>
      <c r="W24" s="70" t="str">
        <f>IF(OR(DATE($J24, W$12, 1) &lt; 'Evaluation Set-up'!$D$9, DATE($J24, W$12, 1) &gt;= 'Evaluation Set-up'!$E$9), "", "Before")</f>
        <v/>
      </c>
      <c r="X24" s="1"/>
      <c r="Y24" s="49">
        <v>2021</v>
      </c>
      <c r="Z24" s="65" t="n">
        <f t="shared" si="1"/>
        <v>0</v>
      </c>
      <c r="AA24" s="1" t="str">
        <f>IF(OR(DATE($Y24, L$12, 1) &lt; 'Evaluation Set-up'!$D$11, DATE($Y24, L$12, 1) &gt;= 'Evaluation Set-up'!$E$11), "", "After")</f>
        <v/>
      </c>
      <c r="AB24" s="1" t="str">
        <f>IF(OR(DATE($Y24, M$12, 1) &lt; 'Evaluation Set-up'!$D$11, DATE($Y24, M$12, 1) &gt;= 'Evaluation Set-up'!$E$11), "", "After")</f>
        <v/>
      </c>
      <c r="AC24" s="1" t="str">
        <f>IF(OR(DATE($Y24, N$12, 1) &lt; 'Evaluation Set-up'!$D$11, DATE($Y24, N$12, 1) &gt;= 'Evaluation Set-up'!$E$11), "", "After")</f>
        <v/>
      </c>
      <c r="AD24" s="1" t="str">
        <f>IF(OR(DATE($Y24, O$12, 1) &lt; 'Evaluation Set-up'!$D$11, DATE($Y24, O$12, 1) &gt;= 'Evaluation Set-up'!$E$11), "", "After")</f>
        <v/>
      </c>
      <c r="AE24" s="1" t="str">
        <f>IF(OR(DATE($Y24, P$12, 1) &lt; 'Evaluation Set-up'!$D$11, DATE($Y24, P$12, 1) &gt;= 'Evaluation Set-up'!$E$11), "", "After")</f>
        <v/>
      </c>
      <c r="AF24" s="1" t="str">
        <f>IF(OR(DATE($Y24, Q$12, 1) &lt; 'Evaluation Set-up'!$D$11, DATE($Y24, Q$12, 1) &gt;= 'Evaluation Set-up'!$E$11), "", "After")</f>
        <v/>
      </c>
      <c r="AG24" s="1" t="str">
        <f>IF(OR(DATE($Y24, R$12, 1) &lt; 'Evaluation Set-up'!$D$11, DATE($Y24, R$12, 1) &gt;= 'Evaluation Set-up'!$E$11), "", "After")</f>
        <v/>
      </c>
      <c r="AH24" s="1" t="str">
        <f>IF(OR(DATE($Y24, S$12, 1) &lt; 'Evaluation Set-up'!$D$11, DATE($Y24, S$12, 1) &gt;= 'Evaluation Set-up'!$E$11), "", "After")</f>
        <v/>
      </c>
      <c r="AI24" s="1" t="str">
        <f>IF(OR(DATE($Y24, T$12, 1) &lt; 'Evaluation Set-up'!$D$11, DATE($Y24, T$12, 1) &gt;= 'Evaluation Set-up'!$E$11), "", "After")</f>
        <v/>
      </c>
      <c r="AJ24" s="1" t="str">
        <f>IF(OR(DATE($Y24, U$12, 1) &lt; 'Evaluation Set-up'!$D$11, DATE($Y24, U$12, 1) &gt;= 'Evaluation Set-up'!$E$11), "", "After")</f>
        <v/>
      </c>
      <c r="AK24" s="1" t="str">
        <f>IF(OR(DATE($Y24, V$12, 1) &lt; 'Evaluation Set-up'!$D$11, DATE($Y24, V$12, 1) &gt;= 'Evaluation Set-up'!$E$11), "", "After")</f>
        <v/>
      </c>
      <c r="AL24" s="70" t="str">
        <f>IF(OR(DATE($Y24, W$12, 1) &lt; 'Evaluation Set-up'!$D$11, DATE($Y24, W$12, 1) &gt;= 'Evaluation Set-up'!$E$11), "", "After")</f>
        <v/>
      </c>
    </row>
    <row r="25" spans="2:38">
      <c r="B25" s="77">
        <v>2022</v>
      </c>
      <c r="C25" s="81" t="n">
        <f>COUNTIF(Before!$Q:$Q,B25) + COUNTIF(After!$Q:$Q,B25)</f>
        <v>1</v>
      </c>
      <c r="D25" s="34" t="n">
        <f>COUNTIFS(Before!$C:$C,"&gt;=23",Before!$C:$C,"&lt;=27", Before!$Q:$Q,B25)+COUNTIFS(Before!$C:$C,"30", Before!$Q:$Q,B25) + COUNTIFS(After!$C:$C,"&gt;=23",After!$C:$C,"&lt;=27", After!$Q:$Q,B25)+COUNTIFS(After!$C:$C,"30", After!$Q:$Q,B25)</f>
        <v>1</v>
      </c>
      <c r="E25" s="34" t="n">
        <f>COUNTIFS(Before!$C:$C,"&gt;=21",Before!$C:$C,"&lt;=22", Before!$Q:$Q,B25) + COUNTIFS(After!$C:$C,"&gt;=21",After!$C:$C,"&lt;=22", After!$Q:$Q,B25)</f>
        <v>0</v>
      </c>
      <c r="F25" s="82" t="n">
        <f>COUNTIFS(Before!$Q:$Q,$B25, Before!$G:$G, "K") + COUNTIFS(Before!$Q:$Q,$B25, Before!$G:$G, "A") + COUNTIFS(Before!$Q:$Q,$B25, Before!$G:$G, "B") + COUNTIFS(Before!$Q:$Q,$B25, Before!$G:$G, "C")
+ COUNTIFS(After!$Q:$Q,$B25, After!$G:$G, "K") + COUNTIFS(After!$Q:$Q,$B25, After!$G:$G, "A") + COUNTIFS(After!$Q:$Q,$B25, After!$G:$G, "B") + COUNTIFS(After!$Q:$Q,$B25, After!$G:$G, "C")</f>
        <v>0</v>
      </c>
      <c r="G25" s="85" t="n">
        <f>VLOOKUP($B25, 'Evaluation Set-up'!$K$11:$R$35, 4, FALSE)</f>
        <v>2500</v>
      </c>
      <c r="H25" s="86" t="n">
        <f>VLOOKUP($B25, 'Evaluation Set-up'!$K$11:$R$35, 7, FALSE)</f>
        <v>1800</v>
      </c>
      <c r="J25" s="49">
        <v>2022</v>
      </c>
      <c r="K25" s="65" t="n">
        <f t="shared" si="0"/>
        <v>0</v>
      </c>
      <c r="L25" s="1" t="str">
        <f>IF(OR(DATE($J25, L$12, 1) &lt; 'Evaluation Set-up'!$D$9, DATE($J25, L$12, 1) &gt;= 'Evaluation Set-up'!$E$9), "", "Before")</f>
        <v/>
      </c>
      <c r="M25" s="1" t="str">
        <f>IF(OR(DATE($J25, M$12, 1) &lt; 'Evaluation Set-up'!$D$9, DATE($J25, M$12, 1) &gt;= 'Evaluation Set-up'!$E$9), "", "Before")</f>
        <v/>
      </c>
      <c r="N25" s="1" t="str">
        <f>IF(OR(DATE($J25, N$12, 1) &lt; 'Evaluation Set-up'!$D$9, DATE($J25, N$12, 1) &gt;= 'Evaluation Set-up'!$E$9), "", "Before")</f>
        <v/>
      </c>
      <c r="O25" s="1" t="str">
        <f>IF(OR(DATE($J25, O$12, 1) &lt; 'Evaluation Set-up'!$D$9, DATE($J25, O$12, 1) &gt;= 'Evaluation Set-up'!$E$9), "", "Before")</f>
        <v/>
      </c>
      <c r="P25" s="1" t="str">
        <f>IF(OR(DATE($J25, P$12, 1) &lt; 'Evaluation Set-up'!$D$9, DATE($J25, P$12, 1) &gt;= 'Evaluation Set-up'!$E$9), "", "Before")</f>
        <v/>
      </c>
      <c r="Q25" s="1" t="str">
        <f>IF(OR(DATE($J25, Q$12, 1) &lt; 'Evaluation Set-up'!$D$9, DATE($J25, Q$12, 1) &gt;= 'Evaluation Set-up'!$E$9), "", "Before")</f>
        <v/>
      </c>
      <c r="R25" s="1" t="str">
        <f>IF(OR(DATE($J25, R$12, 1) &lt; 'Evaluation Set-up'!$D$9, DATE($J25, R$12, 1) &gt;= 'Evaluation Set-up'!$E$9), "", "Before")</f>
        <v/>
      </c>
      <c r="S25" s="1" t="str">
        <f>IF(OR(DATE($J25, S$12, 1) &lt; 'Evaluation Set-up'!$D$9, DATE($J25, S$12, 1) &gt;= 'Evaluation Set-up'!$E$9), "", "Before")</f>
        <v/>
      </c>
      <c r="T25" s="1" t="str">
        <f>IF(OR(DATE($J25, T$12, 1) &lt; 'Evaluation Set-up'!$D$9, DATE($J25, T$12, 1) &gt;= 'Evaluation Set-up'!$E$9), "", "Before")</f>
        <v/>
      </c>
      <c r="U25" s="1" t="str">
        <f>IF(OR(DATE($J25, U$12, 1) &lt; 'Evaluation Set-up'!$D$9, DATE($J25, U$12, 1) &gt;= 'Evaluation Set-up'!$E$9), "", "Before")</f>
        <v/>
      </c>
      <c r="V25" s="1" t="str">
        <f>IF(OR(DATE($J25, V$12, 1) &lt; 'Evaluation Set-up'!$D$9, DATE($J25, V$12, 1) &gt;= 'Evaluation Set-up'!$E$9), "", "Before")</f>
        <v/>
      </c>
      <c r="W25" s="70" t="str">
        <f>IF(OR(DATE($J25, W$12, 1) &lt; 'Evaluation Set-up'!$D$9, DATE($J25, W$12, 1) &gt;= 'Evaluation Set-up'!$E$9), "", "Before")</f>
        <v/>
      </c>
      <c r="X25" s="1"/>
      <c r="Y25" s="49">
        <v>2022</v>
      </c>
      <c r="Z25" s="65" t="n">
        <f t="shared" si="1"/>
        <v>12</v>
      </c>
      <c r="AA25" s="1" t="str">
        <f>IF(OR(DATE($Y25, L$12, 1) &lt; 'Evaluation Set-up'!$D$11, DATE($Y25, L$12, 1) &gt;= 'Evaluation Set-up'!$E$11), "", "After")</f>
        <v>After</v>
      </c>
      <c r="AB25" s="1" t="str">
        <f>IF(OR(DATE($Y25, M$12, 1) &lt; 'Evaluation Set-up'!$D$11, DATE($Y25, M$12, 1) &gt;= 'Evaluation Set-up'!$E$11), "", "After")</f>
        <v>After</v>
      </c>
      <c r="AC25" s="1" t="str">
        <f>IF(OR(DATE($Y25, N$12, 1) &lt; 'Evaluation Set-up'!$D$11, DATE($Y25, N$12, 1) &gt;= 'Evaluation Set-up'!$E$11), "", "After")</f>
        <v>After</v>
      </c>
      <c r="AD25" s="1" t="str">
        <f>IF(OR(DATE($Y25, O$12, 1) &lt; 'Evaluation Set-up'!$D$11, DATE($Y25, O$12, 1) &gt;= 'Evaluation Set-up'!$E$11), "", "After")</f>
        <v>After</v>
      </c>
      <c r="AE25" s="1" t="str">
        <f>IF(OR(DATE($Y25, P$12, 1) &lt; 'Evaluation Set-up'!$D$11, DATE($Y25, P$12, 1) &gt;= 'Evaluation Set-up'!$E$11), "", "After")</f>
        <v>After</v>
      </c>
      <c r="AF25" s="1" t="str">
        <f>IF(OR(DATE($Y25, Q$12, 1) &lt; 'Evaluation Set-up'!$D$11, DATE($Y25, Q$12, 1) &gt;= 'Evaluation Set-up'!$E$11), "", "After")</f>
        <v>After</v>
      </c>
      <c r="AG25" s="1" t="str">
        <f>IF(OR(DATE($Y25, R$12, 1) &lt; 'Evaluation Set-up'!$D$11, DATE($Y25, R$12, 1) &gt;= 'Evaluation Set-up'!$E$11), "", "After")</f>
        <v>After</v>
      </c>
      <c r="AH25" s="1" t="str">
        <f>IF(OR(DATE($Y25, S$12, 1) &lt; 'Evaluation Set-up'!$D$11, DATE($Y25, S$12, 1) &gt;= 'Evaluation Set-up'!$E$11), "", "After")</f>
        <v>After</v>
      </c>
      <c r="AI25" s="1" t="str">
        <f>IF(OR(DATE($Y25, T$12, 1) &lt; 'Evaluation Set-up'!$D$11, DATE($Y25, T$12, 1) &gt;= 'Evaluation Set-up'!$E$11), "", "After")</f>
        <v>After</v>
      </c>
      <c r="AJ25" s="1" t="str">
        <f>IF(OR(DATE($Y25, U$12, 1) &lt; 'Evaluation Set-up'!$D$11, DATE($Y25, U$12, 1) &gt;= 'Evaluation Set-up'!$E$11), "", "After")</f>
        <v>After</v>
      </c>
      <c r="AK25" s="1" t="str">
        <f>IF(OR(DATE($Y25, V$12, 1) &lt; 'Evaluation Set-up'!$D$11, DATE($Y25, V$12, 1) &gt;= 'Evaluation Set-up'!$E$11), "", "After")</f>
        <v>After</v>
      </c>
      <c r="AL25" s="70" t="str">
        <f>IF(OR(DATE($Y25, W$12, 1) &lt; 'Evaluation Set-up'!$D$11, DATE($Y25, W$12, 1) &gt;= 'Evaluation Set-up'!$E$11), "", "After")</f>
        <v>After</v>
      </c>
    </row>
    <row r="26" spans="2:38">
      <c r="B26" s="77">
        <v>2023</v>
      </c>
      <c r="C26" s="81" t="n">
        <f>COUNTIF(Before!$Q:$Q,B26) + COUNTIF(After!$Q:$Q,B26)</f>
        <v>0</v>
      </c>
      <c r="D26" s="34" t="n">
        <f>COUNTIFS(Before!$C:$C,"&gt;=23",Before!$C:$C,"&lt;=27", Before!$Q:$Q,B26)+COUNTIFS(Before!$C:$C,"30", Before!$Q:$Q,B26) + COUNTIFS(After!$C:$C,"&gt;=23",After!$C:$C,"&lt;=27", After!$Q:$Q,B26)+COUNTIFS(After!$C:$C,"30", After!$Q:$Q,B26)</f>
        <v>0</v>
      </c>
      <c r="E26" s="34" t="n">
        <f>COUNTIFS(Before!$C:$C,"&gt;=21",Before!$C:$C,"&lt;=22", Before!$Q:$Q,B26) + COUNTIFS(After!$C:$C,"&gt;=21",After!$C:$C,"&lt;=22", After!$Q:$Q,B26)</f>
        <v>0</v>
      </c>
      <c r="F26" s="82" t="n">
        <f>COUNTIFS(Before!$Q:$Q,$B26, Before!$G:$G, "K") + COUNTIFS(Before!$Q:$Q,$B26, Before!$G:$G, "A") + COUNTIFS(Before!$Q:$Q,$B26, Before!$G:$G, "B") + COUNTIFS(Before!$Q:$Q,$B26, Before!$G:$G, "C")
+ COUNTIFS(After!$Q:$Q,$B26, After!$G:$G, "K") + COUNTIFS(After!$Q:$Q,$B26, After!$G:$G, "A") + COUNTIFS(After!$Q:$Q,$B26, After!$G:$G, "B") + COUNTIFS(After!$Q:$Q,$B26, After!$G:$G, "C")</f>
        <v>0</v>
      </c>
      <c r="G26" s="85" t="n">
        <f>VLOOKUP($B26, 'Evaluation Set-up'!$K$11:$R$35, 4, FALSE)</f>
        <v>2350</v>
      </c>
      <c r="H26" s="86" t="n">
        <f>VLOOKUP($B26, 'Evaluation Set-up'!$K$11:$R$35, 7, FALSE)</f>
        <v>1750</v>
      </c>
      <c r="J26" s="49">
        <v>2023</v>
      </c>
      <c r="K26" s="65" t="n">
        <f t="shared" si="0"/>
        <v>0</v>
      </c>
      <c r="L26" s="1" t="str">
        <f>IF(OR(DATE($J26, L$12, 1) &lt; 'Evaluation Set-up'!$D$9, DATE($J26, L$12, 1) &gt;= 'Evaluation Set-up'!$E$9), "", "Before")</f>
        <v/>
      </c>
      <c r="M26" s="1" t="str">
        <f>IF(OR(DATE($J26, M$12, 1) &lt; 'Evaluation Set-up'!$D$9, DATE($J26, M$12, 1) &gt;= 'Evaluation Set-up'!$E$9), "", "Before")</f>
        <v/>
      </c>
      <c r="N26" s="1" t="str">
        <f>IF(OR(DATE($J26, N$12, 1) &lt; 'Evaluation Set-up'!$D$9, DATE($J26, N$12, 1) &gt;= 'Evaluation Set-up'!$E$9), "", "Before")</f>
        <v/>
      </c>
      <c r="O26" s="1" t="str">
        <f>IF(OR(DATE($J26, O$12, 1) &lt; 'Evaluation Set-up'!$D$9, DATE($J26, O$12, 1) &gt;= 'Evaluation Set-up'!$E$9), "", "Before")</f>
        <v/>
      </c>
      <c r="P26" s="1" t="str">
        <f>IF(OR(DATE($J26, P$12, 1) &lt; 'Evaluation Set-up'!$D$9, DATE($J26, P$12, 1) &gt;= 'Evaluation Set-up'!$E$9), "", "Before")</f>
        <v/>
      </c>
      <c r="Q26" s="1" t="str">
        <f>IF(OR(DATE($J26, Q$12, 1) &lt; 'Evaluation Set-up'!$D$9, DATE($J26, Q$12, 1) &gt;= 'Evaluation Set-up'!$E$9), "", "Before")</f>
        <v/>
      </c>
      <c r="R26" s="1" t="str">
        <f>IF(OR(DATE($J26, R$12, 1) &lt; 'Evaluation Set-up'!$D$9, DATE($J26, R$12, 1) &gt;= 'Evaluation Set-up'!$E$9), "", "Before")</f>
        <v/>
      </c>
      <c r="S26" s="1" t="str">
        <f>IF(OR(DATE($J26, S$12, 1) &lt; 'Evaluation Set-up'!$D$9, DATE($J26, S$12, 1) &gt;= 'Evaluation Set-up'!$E$9), "", "Before")</f>
        <v/>
      </c>
      <c r="T26" s="1" t="str">
        <f>IF(OR(DATE($J26, T$12, 1) &lt; 'Evaluation Set-up'!$D$9, DATE($J26, T$12, 1) &gt;= 'Evaluation Set-up'!$E$9), "", "Before")</f>
        <v/>
      </c>
      <c r="U26" s="1" t="str">
        <f>IF(OR(DATE($J26, U$12, 1) &lt; 'Evaluation Set-up'!$D$9, DATE($J26, U$12, 1) &gt;= 'Evaluation Set-up'!$E$9), "", "Before")</f>
        <v/>
      </c>
      <c r="V26" s="1" t="str">
        <f>IF(OR(DATE($J26, V$12, 1) &lt; 'Evaluation Set-up'!$D$9, DATE($J26, V$12, 1) &gt;= 'Evaluation Set-up'!$E$9), "", "Before")</f>
        <v/>
      </c>
      <c r="W26" s="70" t="str">
        <f>IF(OR(DATE($J26, W$12, 1) &lt; 'Evaluation Set-up'!$D$9, DATE($J26, W$12, 1) &gt;= 'Evaluation Set-up'!$E$9), "", "Before")</f>
        <v/>
      </c>
      <c r="X26" s="1"/>
      <c r="Y26" s="49">
        <v>2023</v>
      </c>
      <c r="Z26" s="65" t="n">
        <f t="shared" si="1"/>
        <v>12</v>
      </c>
      <c r="AA26" s="1" t="str">
        <f>IF(OR(DATE($Y26, L$12, 1) &lt; 'Evaluation Set-up'!$D$11, DATE($Y26, L$12, 1) &gt;= 'Evaluation Set-up'!$E$11), "", "After")</f>
        <v>After</v>
      </c>
      <c r="AB26" s="1" t="str">
        <f>IF(OR(DATE($Y26, M$12, 1) &lt; 'Evaluation Set-up'!$D$11, DATE($Y26, M$12, 1) &gt;= 'Evaluation Set-up'!$E$11), "", "After")</f>
        <v>After</v>
      </c>
      <c r="AC26" s="1" t="str">
        <f>IF(OR(DATE($Y26, N$12, 1) &lt; 'Evaluation Set-up'!$D$11, DATE($Y26, N$12, 1) &gt;= 'Evaluation Set-up'!$E$11), "", "After")</f>
        <v>After</v>
      </c>
      <c r="AD26" s="1" t="str">
        <f>IF(OR(DATE($Y26, O$12, 1) &lt; 'Evaluation Set-up'!$D$11, DATE($Y26, O$12, 1) &gt;= 'Evaluation Set-up'!$E$11), "", "After")</f>
        <v>After</v>
      </c>
      <c r="AE26" s="1" t="str">
        <f>IF(OR(DATE($Y26, P$12, 1) &lt; 'Evaluation Set-up'!$D$11, DATE($Y26, P$12, 1) &gt;= 'Evaluation Set-up'!$E$11), "", "After")</f>
        <v>After</v>
      </c>
      <c r="AF26" s="1" t="str">
        <f>IF(OR(DATE($Y26, Q$12, 1) &lt; 'Evaluation Set-up'!$D$11, DATE($Y26, Q$12, 1) &gt;= 'Evaluation Set-up'!$E$11), "", "After")</f>
        <v>After</v>
      </c>
      <c r="AG26" s="1" t="str">
        <f>IF(OR(DATE($Y26, R$12, 1) &lt; 'Evaluation Set-up'!$D$11, DATE($Y26, R$12, 1) &gt;= 'Evaluation Set-up'!$E$11), "", "After")</f>
        <v>After</v>
      </c>
      <c r="AH26" s="1" t="str">
        <f>IF(OR(DATE($Y26, S$12, 1) &lt; 'Evaluation Set-up'!$D$11, DATE($Y26, S$12, 1) &gt;= 'Evaluation Set-up'!$E$11), "", "After")</f>
        <v>After</v>
      </c>
      <c r="AI26" s="1" t="str">
        <f>IF(OR(DATE($Y26, T$12, 1) &lt; 'Evaluation Set-up'!$D$11, DATE($Y26, T$12, 1) &gt;= 'Evaluation Set-up'!$E$11), "", "After")</f>
        <v>After</v>
      </c>
      <c r="AJ26" s="1" t="str">
        <f>IF(OR(DATE($Y26, U$12, 1) &lt; 'Evaluation Set-up'!$D$11, DATE($Y26, U$12, 1) &gt;= 'Evaluation Set-up'!$E$11), "", "After")</f>
        <v>After</v>
      </c>
      <c r="AK26" s="1" t="str">
        <f>IF(OR(DATE($Y26, V$12, 1) &lt; 'Evaluation Set-up'!$D$11, DATE($Y26, V$12, 1) &gt;= 'Evaluation Set-up'!$E$11), "", "After")</f>
        <v>After</v>
      </c>
      <c r="AL26" s="70" t="str">
        <f>IF(OR(DATE($Y26, W$12, 1) &lt; 'Evaluation Set-up'!$D$11, DATE($Y26, W$12, 1) &gt;= 'Evaluation Set-up'!$E$11), "", "After")</f>
        <v>After</v>
      </c>
    </row>
    <row r="27" spans="2:38">
      <c r="B27" s="77">
        <v>2024</v>
      </c>
      <c r="C27" s="81" t="n">
        <f>COUNTIF(Before!$Q:$Q,B27) + COUNTIF(After!$Q:$Q,B27)</f>
        <v>1</v>
      </c>
      <c r="D27" s="34" t="n">
        <f>COUNTIFS(Before!$C:$C,"&gt;=23",Before!$C:$C,"&lt;=27", Before!$Q:$Q,B27)+COUNTIFS(Before!$C:$C,"30", Before!$Q:$Q,B27) + COUNTIFS(After!$C:$C,"&gt;=23",After!$C:$C,"&lt;=27", After!$Q:$Q,B27)+COUNTIFS(After!$C:$C,"30", After!$Q:$Q,B27)</f>
        <v>0</v>
      </c>
      <c r="E27" s="34" t="n">
        <f>COUNTIFS(Before!$C:$C,"&gt;=21",Before!$C:$C,"&lt;=22", Before!$Q:$Q,B27) + COUNTIFS(After!$C:$C,"&gt;=21",After!$C:$C,"&lt;=22", After!$Q:$Q,B27)</f>
        <v>0</v>
      </c>
      <c r="F27" s="82" t="n">
        <f>COUNTIFS(Before!$Q:$Q,$B27, Before!$G:$G, "K") + COUNTIFS(Before!$Q:$Q,$B27, Before!$G:$G, "A") + COUNTIFS(Before!$Q:$Q,$B27, Before!$G:$G, "B") + COUNTIFS(Before!$Q:$Q,$B27, Before!$G:$G, "C")
+ COUNTIFS(After!$Q:$Q,$B27, After!$G:$G, "K") + COUNTIFS(After!$Q:$Q,$B27, After!$G:$G, "A") + COUNTIFS(After!$Q:$Q,$B27, After!$G:$G, "B") + COUNTIFS(After!$Q:$Q,$B27, After!$G:$G, "C")</f>
        <v>0</v>
      </c>
      <c r="G27" s="85" t="n">
        <f>VLOOKUP($B27, 'Evaluation Set-up'!$K$11:$R$35, 4, FALSE)</f>
        <v>2450</v>
      </c>
      <c r="H27" s="86" t="n">
        <f>VLOOKUP($B27, 'Evaluation Set-up'!$K$11:$R$35, 7, FALSE)</f>
        <v>1800</v>
      </c>
      <c r="J27" s="49">
        <v>2024</v>
      </c>
      <c r="K27" s="65" t="n">
        <f t="shared" si="0"/>
        <v>0</v>
      </c>
      <c r="L27" s="1" t="str">
        <f>IF(OR(DATE($J27, L$12, 1) &lt; 'Evaluation Set-up'!$D$9, DATE($J27, L$12, 1) &gt;= 'Evaluation Set-up'!$E$9), "", "Before")</f>
        <v/>
      </c>
      <c r="M27" s="1" t="str">
        <f>IF(OR(DATE($J27, M$12, 1) &lt; 'Evaluation Set-up'!$D$9, DATE($J27, M$12, 1) &gt;= 'Evaluation Set-up'!$E$9), "", "Before")</f>
        <v/>
      </c>
      <c r="N27" s="1" t="str">
        <f>IF(OR(DATE($J27, N$12, 1) &lt; 'Evaluation Set-up'!$D$9, DATE($J27, N$12, 1) &gt;= 'Evaluation Set-up'!$E$9), "", "Before")</f>
        <v/>
      </c>
      <c r="O27" s="1" t="str">
        <f>IF(OR(DATE($J27, O$12, 1) &lt; 'Evaluation Set-up'!$D$9, DATE($J27, O$12, 1) &gt;= 'Evaluation Set-up'!$E$9), "", "Before")</f>
        <v/>
      </c>
      <c r="P27" s="1" t="str">
        <f>IF(OR(DATE($J27, P$12, 1) &lt; 'Evaluation Set-up'!$D$9, DATE($J27, P$12, 1) &gt;= 'Evaluation Set-up'!$E$9), "", "Before")</f>
        <v/>
      </c>
      <c r="Q27" s="1" t="str">
        <f>IF(OR(DATE($J27, Q$12, 1) &lt; 'Evaluation Set-up'!$D$9, DATE($J27, Q$12, 1) &gt;= 'Evaluation Set-up'!$E$9), "", "Before")</f>
        <v/>
      </c>
      <c r="R27" s="1" t="str">
        <f>IF(OR(DATE($J27, R$12, 1) &lt; 'Evaluation Set-up'!$D$9, DATE($J27, R$12, 1) &gt;= 'Evaluation Set-up'!$E$9), "", "Before")</f>
        <v/>
      </c>
      <c r="S27" s="1" t="str">
        <f>IF(OR(DATE($J27, S$12, 1) &lt; 'Evaluation Set-up'!$D$9, DATE($J27, S$12, 1) &gt;= 'Evaluation Set-up'!$E$9), "", "Before")</f>
        <v/>
      </c>
      <c r="T27" s="1" t="str">
        <f>IF(OR(DATE($J27, T$12, 1) &lt; 'Evaluation Set-up'!$D$9, DATE($J27, T$12, 1) &gt;= 'Evaluation Set-up'!$E$9), "", "Before")</f>
        <v/>
      </c>
      <c r="U27" s="1" t="str">
        <f>IF(OR(DATE($J27, U$12, 1) &lt; 'Evaluation Set-up'!$D$9, DATE($J27, U$12, 1) &gt;= 'Evaluation Set-up'!$E$9), "", "Before")</f>
        <v/>
      </c>
      <c r="V27" s="1" t="str">
        <f>IF(OR(DATE($J27, V$12, 1) &lt; 'Evaluation Set-up'!$D$9, DATE($J27, V$12, 1) &gt;= 'Evaluation Set-up'!$E$9), "", "Before")</f>
        <v/>
      </c>
      <c r="W27" s="70" t="str">
        <f>IF(OR(DATE($J27, W$12, 1) &lt; 'Evaluation Set-up'!$D$9, DATE($J27, W$12, 1) &gt;= 'Evaluation Set-up'!$E$9), "", "Before")</f>
        <v/>
      </c>
      <c r="X27" s="1"/>
      <c r="Y27" s="49">
        <v>2024</v>
      </c>
      <c r="Z27" s="65" t="n">
        <f t="shared" si="1"/>
        <v>12</v>
      </c>
      <c r="AA27" s="1" t="str">
        <f>IF(OR(DATE($Y27, L$12, 1) &lt; 'Evaluation Set-up'!$D$11, DATE($Y27, L$12, 1) &gt;= 'Evaluation Set-up'!$E$11), "", "After")</f>
        <v>After</v>
      </c>
      <c r="AB27" s="1" t="str">
        <f>IF(OR(DATE($Y27, M$12, 1) &lt; 'Evaluation Set-up'!$D$11, DATE($Y27, M$12, 1) &gt;= 'Evaluation Set-up'!$E$11), "", "After")</f>
        <v>After</v>
      </c>
      <c r="AC27" s="1" t="str">
        <f>IF(OR(DATE($Y27, N$12, 1) &lt; 'Evaluation Set-up'!$D$11, DATE($Y27, N$12, 1) &gt;= 'Evaluation Set-up'!$E$11), "", "After")</f>
        <v>After</v>
      </c>
      <c r="AD27" s="1" t="str">
        <f>IF(OR(DATE($Y27, O$12, 1) &lt; 'Evaluation Set-up'!$D$11, DATE($Y27, O$12, 1) &gt;= 'Evaluation Set-up'!$E$11), "", "After")</f>
        <v>After</v>
      </c>
      <c r="AE27" s="1" t="str">
        <f>IF(OR(DATE($Y27, P$12, 1) &lt; 'Evaluation Set-up'!$D$11, DATE($Y27, P$12, 1) &gt;= 'Evaluation Set-up'!$E$11), "", "After")</f>
        <v>After</v>
      </c>
      <c r="AF27" s="1" t="str">
        <f>IF(OR(DATE($Y27, Q$12, 1) &lt; 'Evaluation Set-up'!$D$11, DATE($Y27, Q$12, 1) &gt;= 'Evaluation Set-up'!$E$11), "", "After")</f>
        <v>After</v>
      </c>
      <c r="AG27" s="1" t="str">
        <f>IF(OR(DATE($Y27, R$12, 1) &lt; 'Evaluation Set-up'!$D$11, DATE($Y27, R$12, 1) &gt;= 'Evaluation Set-up'!$E$11), "", "After")</f>
        <v>After</v>
      </c>
      <c r="AH27" s="1" t="str">
        <f>IF(OR(DATE($Y27, S$12, 1) &lt; 'Evaluation Set-up'!$D$11, DATE($Y27, S$12, 1) &gt;= 'Evaluation Set-up'!$E$11), "", "After")</f>
        <v>After</v>
      </c>
      <c r="AI27" s="1" t="str">
        <f>IF(OR(DATE($Y27, T$12, 1) &lt; 'Evaluation Set-up'!$D$11, DATE($Y27, T$12, 1) &gt;= 'Evaluation Set-up'!$E$11), "", "After")</f>
        <v>After</v>
      </c>
      <c r="AJ27" s="1" t="str">
        <f>IF(OR(DATE($Y27, U$12, 1) &lt; 'Evaluation Set-up'!$D$11, DATE($Y27, U$12, 1) &gt;= 'Evaluation Set-up'!$E$11), "", "After")</f>
        <v>After</v>
      </c>
      <c r="AK27" s="1" t="str">
        <f>IF(OR(DATE($Y27, V$12, 1) &lt; 'Evaluation Set-up'!$D$11, DATE($Y27, V$12, 1) &gt;= 'Evaluation Set-up'!$E$11), "", "After")</f>
        <v>After</v>
      </c>
      <c r="AL27" s="70" t="str">
        <f>IF(OR(DATE($Y27, W$12, 1) &lt; 'Evaluation Set-up'!$D$11, DATE($Y27, W$12, 1) &gt;= 'Evaluation Set-up'!$E$11), "", "After")</f>
        <v>After</v>
      </c>
    </row>
    <row r="28" spans="2:38" s="47" customFormat="1">
      <c r="B28" s="77">
        <v>2025</v>
      </c>
      <c r="C28" s="81" t="n">
        <f>COUNTIF(Before!$Q:$Q,B28) + COUNTIF(After!$Q:$Q,B28)</f>
        <v>1</v>
      </c>
      <c r="D28" s="34" t="n">
        <f>COUNTIFS(Before!$C:$C,"&gt;=23",Before!$C:$C,"&lt;=27", Before!$Q:$Q,B28)+COUNTIFS(Before!$C:$C,"30", Before!$Q:$Q,B28) + COUNTIFS(After!$C:$C,"&gt;=23",After!$C:$C,"&lt;=27", After!$Q:$Q,B28)+COUNTIFS(After!$C:$C,"30", After!$Q:$Q,B28)</f>
        <v>1</v>
      </c>
      <c r="E28" s="34" t="n">
        <f>COUNTIFS(Before!$C:$C,"&gt;=21",Before!$C:$C,"&lt;=22", Before!$Q:$Q,B28) + COUNTIFS(After!$C:$C,"&gt;=21",After!$C:$C,"&lt;=22", After!$Q:$Q,B28)</f>
        <v>0</v>
      </c>
      <c r="F28" s="82" t="n">
        <f>COUNTIFS(Before!$Q:$Q,$B28, Before!$G:$G, "K") + COUNTIFS(Before!$Q:$Q,$B28, Before!$G:$G, "A") + COUNTIFS(Before!$Q:$Q,$B28, Before!$G:$G, "B") + COUNTIFS(Before!$Q:$Q,$B28, Before!$G:$G, "C")
+ COUNTIFS(After!$Q:$Q,$B28, After!$G:$G, "K") + COUNTIFS(After!$Q:$Q,$B28, After!$G:$G, "A") + COUNTIFS(After!$Q:$Q,$B28, After!$G:$G, "B") + COUNTIFS(After!$Q:$Q,$B28, After!$G:$G, "C")</f>
        <v>0</v>
      </c>
      <c r="G28" s="85" t="n">
        <f>VLOOKUP($B28, 'Evaluation Set-up'!$K$11:$R$35, 4, FALSE)</f>
        <v>2350</v>
      </c>
      <c r="H28" s="86" t="n">
        <f>VLOOKUP($B28, 'Evaluation Set-up'!$K$11:$R$35, 7, FALSE)</f>
        <v>1900</v>
      </c>
      <c r="J28" s="49">
        <v>2025</v>
      </c>
      <c r="K28" s="65" t="n">
        <f t="shared" si="0"/>
        <v>0</v>
      </c>
      <c r="L28" s="1" t="str">
        <f>IF(OR(DATE($J28, L$12, 1) &lt; 'Evaluation Set-up'!$D$9, DATE($J28, L$12, 1) &gt;= 'Evaluation Set-up'!$E$9), "", "Before")</f>
        <v/>
      </c>
      <c r="M28" s="1" t="str">
        <f>IF(OR(DATE($J28, M$12, 1) &lt; 'Evaluation Set-up'!$D$9, DATE($J28, M$12, 1) &gt;= 'Evaluation Set-up'!$E$9), "", "Before")</f>
        <v/>
      </c>
      <c r="N28" s="1" t="str">
        <f>IF(OR(DATE($J28, N$12, 1) &lt; 'Evaluation Set-up'!$D$9, DATE($J28, N$12, 1) &gt;= 'Evaluation Set-up'!$E$9), "", "Before")</f>
        <v/>
      </c>
      <c r="O28" s="1" t="str">
        <f>IF(OR(DATE($J28, O$12, 1) &lt; 'Evaluation Set-up'!$D$9, DATE($J28, O$12, 1) &gt;= 'Evaluation Set-up'!$E$9), "", "Before")</f>
        <v/>
      </c>
      <c r="P28" s="1" t="str">
        <f>IF(OR(DATE($J28, P$12, 1) &lt; 'Evaluation Set-up'!$D$9, DATE($J28, P$12, 1) &gt;= 'Evaluation Set-up'!$E$9), "", "Before")</f>
        <v/>
      </c>
      <c r="Q28" s="1" t="str">
        <f>IF(OR(DATE($J28, Q$12, 1) &lt; 'Evaluation Set-up'!$D$9, DATE($J28, Q$12, 1) &gt;= 'Evaluation Set-up'!$E$9), "", "Before")</f>
        <v/>
      </c>
      <c r="R28" s="1" t="str">
        <f>IF(OR(DATE($J28, R$12, 1) &lt; 'Evaluation Set-up'!$D$9, DATE($J28, R$12, 1) &gt;= 'Evaluation Set-up'!$E$9), "", "Before")</f>
        <v/>
      </c>
      <c r="S28" s="1" t="str">
        <f>IF(OR(DATE($J28, S$12, 1) &lt; 'Evaluation Set-up'!$D$9, DATE($J28, S$12, 1) &gt;= 'Evaluation Set-up'!$E$9), "", "Before")</f>
        <v/>
      </c>
      <c r="T28" s="1" t="str">
        <f>IF(OR(DATE($J28, T$12, 1) &lt; 'Evaluation Set-up'!$D$9, DATE($J28, T$12, 1) &gt;= 'Evaluation Set-up'!$E$9), "", "Before")</f>
        <v/>
      </c>
      <c r="U28" s="1" t="str">
        <f>IF(OR(DATE($J28, U$12, 1) &lt; 'Evaluation Set-up'!$D$9, DATE($J28, U$12, 1) &gt;= 'Evaluation Set-up'!$E$9), "", "Before")</f>
        <v/>
      </c>
      <c r="V28" s="1" t="str">
        <f>IF(OR(DATE($J28, V$12, 1) &lt; 'Evaluation Set-up'!$D$9, DATE($J28, V$12, 1) &gt;= 'Evaluation Set-up'!$E$9), "", "Before")</f>
        <v/>
      </c>
      <c r="W28" s="70" t="str">
        <f>IF(OR(DATE($J28, W$12, 1) &lt; 'Evaluation Set-up'!$D$9, DATE($J28, W$12, 1) &gt;= 'Evaluation Set-up'!$E$9), "", "Before")</f>
        <v/>
      </c>
      <c r="X28" s="1"/>
      <c r="Y28" s="49">
        <v>2025</v>
      </c>
      <c r="Z28" s="65" t="n">
        <f t="shared" si="1"/>
        <v>12</v>
      </c>
      <c r="AA28" s="1" t="str">
        <f>IF(OR(DATE($Y28, L$12, 1) &lt; 'Evaluation Set-up'!$D$11, DATE($Y28, L$12, 1) &gt;= 'Evaluation Set-up'!$E$11), "", "After")</f>
        <v>After</v>
      </c>
      <c r="AB28" s="1" t="str">
        <f>IF(OR(DATE($Y28, M$12, 1) &lt; 'Evaluation Set-up'!$D$11, DATE($Y28, M$12, 1) &gt;= 'Evaluation Set-up'!$E$11), "", "After")</f>
        <v>After</v>
      </c>
      <c r="AC28" s="1" t="str">
        <f>IF(OR(DATE($Y28, N$12, 1) &lt; 'Evaluation Set-up'!$D$11, DATE($Y28, N$12, 1) &gt;= 'Evaluation Set-up'!$E$11), "", "After")</f>
        <v>After</v>
      </c>
      <c r="AD28" s="1" t="str">
        <f>IF(OR(DATE($Y28, O$12, 1) &lt; 'Evaluation Set-up'!$D$11, DATE($Y28, O$12, 1) &gt;= 'Evaluation Set-up'!$E$11), "", "After")</f>
        <v>After</v>
      </c>
      <c r="AE28" s="1" t="str">
        <f>IF(OR(DATE($Y28, P$12, 1) &lt; 'Evaluation Set-up'!$D$11, DATE($Y28, P$12, 1) &gt;= 'Evaluation Set-up'!$E$11), "", "After")</f>
        <v>After</v>
      </c>
      <c r="AF28" s="1" t="str">
        <f>IF(OR(DATE($Y28, Q$12, 1) &lt; 'Evaluation Set-up'!$D$11, DATE($Y28, Q$12, 1) &gt;= 'Evaluation Set-up'!$E$11), "", "After")</f>
        <v>After</v>
      </c>
      <c r="AG28" s="1" t="str">
        <f>IF(OR(DATE($Y28, R$12, 1) &lt; 'Evaluation Set-up'!$D$11, DATE($Y28, R$12, 1) &gt;= 'Evaluation Set-up'!$E$11), "", "After")</f>
        <v>After</v>
      </c>
      <c r="AH28" s="1" t="str">
        <f>IF(OR(DATE($Y28, S$12, 1) &lt; 'Evaluation Set-up'!$D$11, DATE($Y28, S$12, 1) &gt;= 'Evaluation Set-up'!$E$11), "", "After")</f>
        <v>After</v>
      </c>
      <c r="AI28" s="1" t="str">
        <f>IF(OR(DATE($Y28, T$12, 1) &lt; 'Evaluation Set-up'!$D$11, DATE($Y28, T$12, 1) &gt;= 'Evaluation Set-up'!$E$11), "", "After")</f>
        <v>After</v>
      </c>
      <c r="AJ28" s="1" t="str">
        <f>IF(OR(DATE($Y28, U$12, 1) &lt; 'Evaluation Set-up'!$D$11, DATE($Y28, U$12, 1) &gt;= 'Evaluation Set-up'!$E$11), "", "After")</f>
        <v>After</v>
      </c>
      <c r="AK28" s="1" t="str">
        <f>IF(OR(DATE($Y28, V$12, 1) &lt; 'Evaluation Set-up'!$D$11, DATE($Y28, V$12, 1) &gt;= 'Evaluation Set-up'!$E$11), "", "After")</f>
        <v>After</v>
      </c>
      <c r="AL28" s="70" t="str">
        <f>IF(OR(DATE($Y28, W$12, 1) &lt; 'Evaluation Set-up'!$D$11, DATE($Y28, W$12, 1) &gt;= 'Evaluation Set-up'!$E$11), "", "After")</f>
        <v>After</v>
      </c>
    </row>
    <row r="29" spans="2:38">
      <c r="B29" s="77">
        <v>2026</v>
      </c>
      <c r="C29" s="81" t="n">
        <f>COUNTIF(Before!$Q:$Q,B29) + COUNTIF(After!$Q:$Q,B29)</f>
        <v>0</v>
      </c>
      <c r="D29" s="34" t="n">
        <f>COUNTIFS(Before!$C:$C,"&gt;=23",Before!$C:$C,"&lt;=27", Before!$Q:$Q,B29)+COUNTIFS(Before!$C:$C,"30", Before!$Q:$Q,B29) + COUNTIFS(After!$C:$C,"&gt;=23",After!$C:$C,"&lt;=27", After!$Q:$Q,B29)+COUNTIFS(After!$C:$C,"30", After!$Q:$Q,B29)</f>
        <v>0</v>
      </c>
      <c r="E29" s="34" t="n">
        <f>COUNTIFS(Before!$C:$C,"&gt;=21",Before!$C:$C,"&lt;=22", Before!$Q:$Q,B29) + COUNTIFS(After!$C:$C,"&gt;=21",After!$C:$C,"&lt;=22", After!$Q:$Q,B29)</f>
        <v>0</v>
      </c>
      <c r="F29" s="82" t="n">
        <f>COUNTIFS(Before!$Q:$Q,$B29, Before!$G:$G, "K") + COUNTIFS(Before!$Q:$Q,$B29, Before!$G:$G, "A") + COUNTIFS(Before!$Q:$Q,$B29, Before!$G:$G, "B") + COUNTIFS(Before!$Q:$Q,$B29, Before!$G:$G, "C")
+ COUNTIFS(After!$Q:$Q,$B29, After!$G:$G, "K") + COUNTIFS(After!$Q:$Q,$B29, After!$G:$G, "A") + COUNTIFS(After!$Q:$Q,$B29, After!$G:$G, "B") + COUNTIFS(After!$Q:$Q,$B29, After!$G:$G, "C")</f>
        <v>0</v>
      </c>
      <c r="G29" s="85" t="n">
        <f>VLOOKUP($B29, 'Evaluation Set-up'!$K$11:$R$35, 4, FALSE)</f>
        <v>2350</v>
      </c>
      <c r="H29" s="86" t="n">
        <f>VLOOKUP($B29, 'Evaluation Set-up'!$K$11:$R$35, 7, FALSE)</f>
        <v>1900</v>
      </c>
      <c r="J29" s="49">
        <v>2026</v>
      </c>
      <c r="K29" s="65" t="n">
        <f t="shared" si="0"/>
        <v>0</v>
      </c>
      <c r="L29" s="1" t="str">
        <f>IF(OR(DATE($J29, L$12, 1) &lt; 'Evaluation Set-up'!$D$9, DATE($J29, L$12, 1) &gt;= 'Evaluation Set-up'!$E$9), "", "Before")</f>
        <v/>
      </c>
      <c r="M29" s="1" t="str">
        <f>IF(OR(DATE($J29, M$12, 1) &lt; 'Evaluation Set-up'!$D$9, DATE($J29, M$12, 1) &gt;= 'Evaluation Set-up'!$E$9), "", "Before")</f>
        <v/>
      </c>
      <c r="N29" s="1" t="str">
        <f>IF(OR(DATE($J29, N$12, 1) &lt; 'Evaluation Set-up'!$D$9, DATE($J29, N$12, 1) &gt;= 'Evaluation Set-up'!$E$9), "", "Before")</f>
        <v/>
      </c>
      <c r="O29" s="1" t="str">
        <f>IF(OR(DATE($J29, O$12, 1) &lt; 'Evaluation Set-up'!$D$9, DATE($J29, O$12, 1) &gt;= 'Evaluation Set-up'!$E$9), "", "Before")</f>
        <v/>
      </c>
      <c r="P29" s="1" t="str">
        <f>IF(OR(DATE($J29, P$12, 1) &lt; 'Evaluation Set-up'!$D$9, DATE($J29, P$12, 1) &gt;= 'Evaluation Set-up'!$E$9), "", "Before")</f>
        <v/>
      </c>
      <c r="Q29" s="1" t="str">
        <f>IF(OR(DATE($J29, Q$12, 1) &lt; 'Evaluation Set-up'!$D$9, DATE($J29, Q$12, 1) &gt;= 'Evaluation Set-up'!$E$9), "", "Before")</f>
        <v/>
      </c>
      <c r="R29" s="1" t="str">
        <f>IF(OR(DATE($J29, R$12, 1) &lt; 'Evaluation Set-up'!$D$9, DATE($J29, R$12, 1) &gt;= 'Evaluation Set-up'!$E$9), "", "Before")</f>
        <v/>
      </c>
      <c r="S29" s="1" t="str">
        <f>IF(OR(DATE($J29, S$12, 1) &lt; 'Evaluation Set-up'!$D$9, DATE($J29, S$12, 1) &gt;= 'Evaluation Set-up'!$E$9), "", "Before")</f>
        <v/>
      </c>
      <c r="T29" s="1" t="str">
        <f>IF(OR(DATE($J29, T$12, 1) &lt; 'Evaluation Set-up'!$D$9, DATE($J29, T$12, 1) &gt;= 'Evaluation Set-up'!$E$9), "", "Before")</f>
        <v/>
      </c>
      <c r="U29" s="1" t="str">
        <f>IF(OR(DATE($J29, U$12, 1) &lt; 'Evaluation Set-up'!$D$9, DATE($J29, U$12, 1) &gt;= 'Evaluation Set-up'!$E$9), "", "Before")</f>
        <v/>
      </c>
      <c r="V29" s="1" t="str">
        <f>IF(OR(DATE($J29, V$12, 1) &lt; 'Evaluation Set-up'!$D$9, DATE($J29, V$12, 1) &gt;= 'Evaluation Set-up'!$E$9), "", "Before")</f>
        <v/>
      </c>
      <c r="W29" s="70" t="str">
        <f>IF(OR(DATE($J29, W$12, 1) &lt; 'Evaluation Set-up'!$D$9, DATE($J29, W$12, 1) &gt;= 'Evaluation Set-up'!$E$9), "", "Before")</f>
        <v/>
      </c>
      <c r="X29" s="1"/>
      <c r="Y29" s="49">
        <v>2026</v>
      </c>
      <c r="Z29" s="65" t="n">
        <f t="shared" si="1"/>
        <v>7</v>
      </c>
      <c r="AA29" s="1" t="str">
        <f>IF(OR(DATE($Y29, L$12, 1) &lt; 'Evaluation Set-up'!$D$11, DATE($Y29, L$12, 1) &gt;= 'Evaluation Set-up'!$E$11), "", "After")</f>
        <v>After</v>
      </c>
      <c r="AB29" s="1" t="str">
        <f>IF(OR(DATE($Y29, M$12, 1) &lt; 'Evaluation Set-up'!$D$11, DATE($Y29, M$12, 1) &gt;= 'Evaluation Set-up'!$E$11), "", "After")</f>
        <v>After</v>
      </c>
      <c r="AC29" s="1" t="str">
        <f>IF(OR(DATE($Y29, N$12, 1) &lt; 'Evaluation Set-up'!$D$11, DATE($Y29, N$12, 1) &gt;= 'Evaluation Set-up'!$E$11), "", "After")</f>
        <v>After</v>
      </c>
      <c r="AD29" s="1" t="str">
        <f>IF(OR(DATE($Y29, O$12, 1) &lt; 'Evaluation Set-up'!$D$11, DATE($Y29, O$12, 1) &gt;= 'Evaluation Set-up'!$E$11), "", "After")</f>
        <v>After</v>
      </c>
      <c r="AE29" s="1" t="str">
        <f>IF(OR(DATE($Y29, P$12, 1) &lt; 'Evaluation Set-up'!$D$11, DATE($Y29, P$12, 1) &gt;= 'Evaluation Set-up'!$E$11), "", "After")</f>
        <v>After</v>
      </c>
      <c r="AF29" s="1" t="str">
        <f>IF(OR(DATE($Y29, Q$12, 1) &lt; 'Evaluation Set-up'!$D$11, DATE($Y29, Q$12, 1) &gt;= 'Evaluation Set-up'!$E$11), "", "After")</f>
        <v>After</v>
      </c>
      <c r="AG29" s="1" t="str">
        <f>IF(OR(DATE($Y29, R$12, 1) &lt; 'Evaluation Set-up'!$D$11, DATE($Y29, R$12, 1) &gt;= 'Evaluation Set-up'!$E$11), "", "After")</f>
        <v>After</v>
      </c>
      <c r="AH29" s="1" t="str">
        <f>IF(OR(DATE($Y29, S$12, 1) &lt; 'Evaluation Set-up'!$D$11, DATE($Y29, S$12, 1) &gt;= 'Evaluation Set-up'!$E$11), "", "After")</f>
        <v/>
      </c>
      <c r="AI29" s="1" t="str">
        <f>IF(OR(DATE($Y29, T$12, 1) &lt; 'Evaluation Set-up'!$D$11, DATE($Y29, T$12, 1) &gt;= 'Evaluation Set-up'!$E$11), "", "After")</f>
        <v/>
      </c>
      <c r="AJ29" s="1" t="str">
        <f>IF(OR(DATE($Y29, U$12, 1) &lt; 'Evaluation Set-up'!$D$11, DATE($Y29, U$12, 1) &gt;= 'Evaluation Set-up'!$E$11), "", "After")</f>
        <v/>
      </c>
      <c r="AK29" s="1" t="str">
        <f>IF(OR(DATE($Y29, V$12, 1) &lt; 'Evaluation Set-up'!$D$11, DATE($Y29, V$12, 1) &gt;= 'Evaluation Set-up'!$E$11), "", "After")</f>
        <v/>
      </c>
      <c r="AL29" s="70" t="str">
        <f>IF(OR(DATE($Y29, W$12, 1) &lt; 'Evaluation Set-up'!$D$11, DATE($Y29, W$12, 1) &gt;= 'Evaluation Set-up'!$E$11), "", "After")</f>
        <v/>
      </c>
    </row>
    <row r="30" spans="2:38">
      <c r="B30" s="77">
        <v>2027</v>
      </c>
      <c r="C30" s="81" t="n">
        <f>COUNTIF(Before!$Q:$Q,B30) + COUNTIF(After!$Q:$Q,B30)</f>
        <v>0</v>
      </c>
      <c r="D30" s="34" t="n">
        <f>COUNTIFS(Before!$C:$C,"&gt;=23",Before!$C:$C,"&lt;=27", Before!$Q:$Q,B30)+COUNTIFS(Before!$C:$C,"30", Before!$Q:$Q,B30) + COUNTIFS(After!$C:$C,"&gt;=23",After!$C:$C,"&lt;=27", After!$Q:$Q,B30)+COUNTIFS(After!$C:$C,"30", After!$Q:$Q,B30)</f>
        <v>0</v>
      </c>
      <c r="E30" s="34" t="n">
        <f>COUNTIFS(Before!$C:$C,"&gt;=21",Before!$C:$C,"&lt;=22", Before!$Q:$Q,B30) + COUNTIFS(After!$C:$C,"&gt;=21",After!$C:$C,"&lt;=22", After!$Q:$Q,B30)</f>
        <v>0</v>
      </c>
      <c r="F30" s="82" t="n">
        <f>COUNTIFS(Before!$Q:$Q,$B30, Before!$G:$G, "K") + COUNTIFS(Before!$Q:$Q,$B30, Before!$G:$G, "A") + COUNTIFS(Before!$Q:$Q,$B30, Before!$G:$G, "B") + COUNTIFS(Before!$Q:$Q,$B30, Before!$G:$G, "C")
+ COUNTIFS(After!$Q:$Q,$B30, After!$G:$G, "K") + COUNTIFS(After!$Q:$Q,$B30, After!$G:$G, "A") + COUNTIFS(After!$Q:$Q,$B30, After!$G:$G, "B") + COUNTIFS(After!$Q:$Q,$B30, After!$G:$G, "C")</f>
        <v>0</v>
      </c>
      <c r="G30" s="85" t="str">
        <f>VLOOKUP($B30, 'Evaluation Set-up'!$K$11:$R$35, 4, FALSE)</f>
        <v/>
      </c>
      <c r="H30" s="86" t="str">
        <f>VLOOKUP($B30, 'Evaluation Set-up'!$K$11:$R$35, 7, FALSE)</f>
        <v/>
      </c>
      <c r="J30" s="49">
        <v>2027</v>
      </c>
      <c r="K30" s="65" t="n">
        <f t="shared" si="0"/>
        <v>0</v>
      </c>
      <c r="L30" s="1" t="str">
        <f>IF(OR(DATE($J30, L$12, 1) &lt; 'Evaluation Set-up'!$D$9, DATE($J30, L$12, 1) &gt;= 'Evaluation Set-up'!$E$9), "", "Before")</f>
        <v/>
      </c>
      <c r="M30" s="1" t="str">
        <f>IF(OR(DATE($J30, M$12, 1) &lt; 'Evaluation Set-up'!$D$9, DATE($J30, M$12, 1) &gt;= 'Evaluation Set-up'!$E$9), "", "Before")</f>
        <v/>
      </c>
      <c r="N30" s="1" t="str">
        <f>IF(OR(DATE($J30, N$12, 1) &lt; 'Evaluation Set-up'!$D$9, DATE($J30, N$12, 1) &gt;= 'Evaluation Set-up'!$E$9), "", "Before")</f>
        <v/>
      </c>
      <c r="O30" s="1" t="str">
        <f>IF(OR(DATE($J30, O$12, 1) &lt; 'Evaluation Set-up'!$D$9, DATE($J30, O$12, 1) &gt;= 'Evaluation Set-up'!$E$9), "", "Before")</f>
        <v/>
      </c>
      <c r="P30" s="1" t="str">
        <f>IF(OR(DATE($J30, P$12, 1) &lt; 'Evaluation Set-up'!$D$9, DATE($J30, P$12, 1) &gt;= 'Evaluation Set-up'!$E$9), "", "Before")</f>
        <v/>
      </c>
      <c r="Q30" s="1" t="str">
        <f>IF(OR(DATE($J30, Q$12, 1) &lt; 'Evaluation Set-up'!$D$9, DATE($J30, Q$12, 1) &gt;= 'Evaluation Set-up'!$E$9), "", "Before")</f>
        <v/>
      </c>
      <c r="R30" s="1" t="str">
        <f>IF(OR(DATE($J30, R$12, 1) &lt; 'Evaluation Set-up'!$D$9, DATE($J30, R$12, 1) &gt;= 'Evaluation Set-up'!$E$9), "", "Before")</f>
        <v/>
      </c>
      <c r="S30" s="1" t="str">
        <f>IF(OR(DATE($J30, S$12, 1) &lt; 'Evaluation Set-up'!$D$9, DATE($J30, S$12, 1) &gt;= 'Evaluation Set-up'!$E$9), "", "Before")</f>
        <v/>
      </c>
      <c r="T30" s="1" t="str">
        <f>IF(OR(DATE($J30, T$12, 1) &lt; 'Evaluation Set-up'!$D$9, DATE($J30, T$12, 1) &gt;= 'Evaluation Set-up'!$E$9), "", "Before")</f>
        <v/>
      </c>
      <c r="U30" s="1" t="str">
        <f>IF(OR(DATE($J30, U$12, 1) &lt; 'Evaluation Set-up'!$D$9, DATE($J30, U$12, 1) &gt;= 'Evaluation Set-up'!$E$9), "", "Before")</f>
        <v/>
      </c>
      <c r="V30" s="1" t="str">
        <f>IF(OR(DATE($J30, V$12, 1) &lt; 'Evaluation Set-up'!$D$9, DATE($J30, V$12, 1) &gt;= 'Evaluation Set-up'!$E$9), "", "Before")</f>
        <v/>
      </c>
      <c r="W30" s="70" t="str">
        <f>IF(OR(DATE($J30, W$12, 1) &lt; 'Evaluation Set-up'!$D$9, DATE($J30, W$12, 1) &gt;= 'Evaluation Set-up'!$E$9), "", "Before")</f>
        <v/>
      </c>
      <c r="X30" s="1"/>
      <c r="Y30" s="49">
        <v>2027</v>
      </c>
      <c r="Z30" s="65" t="n">
        <f t="shared" si="1"/>
        <v>0</v>
      </c>
      <c r="AA30" s="1" t="str">
        <f>IF(OR(DATE($Y30, L$12, 1) &lt; 'Evaluation Set-up'!$D$11, DATE($Y30, L$12, 1) &gt;= 'Evaluation Set-up'!$E$11), "", "After")</f>
        <v/>
      </c>
      <c r="AB30" s="1" t="str">
        <f>IF(OR(DATE($Y30, M$12, 1) &lt; 'Evaluation Set-up'!$D$11, DATE($Y30, M$12, 1) &gt;= 'Evaluation Set-up'!$E$11), "", "After")</f>
        <v/>
      </c>
      <c r="AC30" s="1" t="str">
        <f>IF(OR(DATE($Y30, N$12, 1) &lt; 'Evaluation Set-up'!$D$11, DATE($Y30, N$12, 1) &gt;= 'Evaluation Set-up'!$E$11), "", "After")</f>
        <v/>
      </c>
      <c r="AD30" s="1" t="str">
        <f>IF(OR(DATE($Y30, O$12, 1) &lt; 'Evaluation Set-up'!$D$11, DATE($Y30, O$12, 1) &gt;= 'Evaluation Set-up'!$E$11), "", "After")</f>
        <v/>
      </c>
      <c r="AE30" s="1" t="str">
        <f>IF(OR(DATE($Y30, P$12, 1) &lt; 'Evaluation Set-up'!$D$11, DATE($Y30, P$12, 1) &gt;= 'Evaluation Set-up'!$E$11), "", "After")</f>
        <v/>
      </c>
      <c r="AF30" s="1" t="str">
        <f>IF(OR(DATE($Y30, Q$12, 1) &lt; 'Evaluation Set-up'!$D$11, DATE($Y30, Q$12, 1) &gt;= 'Evaluation Set-up'!$E$11), "", "After")</f>
        <v/>
      </c>
      <c r="AG30" s="1" t="str">
        <f>IF(OR(DATE($Y30, R$12, 1) &lt; 'Evaluation Set-up'!$D$11, DATE($Y30, R$12, 1) &gt;= 'Evaluation Set-up'!$E$11), "", "After")</f>
        <v/>
      </c>
      <c r="AH30" s="1" t="str">
        <f>IF(OR(DATE($Y30, S$12, 1) &lt; 'Evaluation Set-up'!$D$11, DATE($Y30, S$12, 1) &gt;= 'Evaluation Set-up'!$E$11), "", "After")</f>
        <v/>
      </c>
      <c r="AI30" s="1" t="str">
        <f>IF(OR(DATE($Y30, T$12, 1) &lt; 'Evaluation Set-up'!$D$11, DATE($Y30, T$12, 1) &gt;= 'Evaluation Set-up'!$E$11), "", "After")</f>
        <v/>
      </c>
      <c r="AJ30" s="1" t="str">
        <f>IF(OR(DATE($Y30, U$12, 1) &lt; 'Evaluation Set-up'!$D$11, DATE($Y30, U$12, 1) &gt;= 'Evaluation Set-up'!$E$11), "", "After")</f>
        <v/>
      </c>
      <c r="AK30" s="1" t="str">
        <f>IF(OR(DATE($Y30, V$12, 1) &lt; 'Evaluation Set-up'!$D$11, DATE($Y30, V$12, 1) &gt;= 'Evaluation Set-up'!$E$11), "", "After")</f>
        <v/>
      </c>
      <c r="AL30" s="70" t="str">
        <f>IF(OR(DATE($Y30, W$12, 1) &lt; 'Evaluation Set-up'!$D$11, DATE($Y30, W$12, 1) &gt;= 'Evaluation Set-up'!$E$11), "", "After")</f>
        <v/>
      </c>
    </row>
    <row r="31" spans="2:38">
      <c r="B31" s="77">
        <v>2028</v>
      </c>
      <c r="C31" s="81" t="n">
        <f>COUNTIF(Before!$Q:$Q,B31) + COUNTIF(After!$Q:$Q,B31)</f>
        <v>0</v>
      </c>
      <c r="D31" s="34" t="n">
        <f>COUNTIFS(Before!$C:$C,"&gt;=23",Before!$C:$C,"&lt;=27", Before!$Q:$Q,B31)+COUNTIFS(Before!$C:$C,"30", Before!$Q:$Q,B31) + COUNTIFS(After!$C:$C,"&gt;=23",After!$C:$C,"&lt;=27", After!$Q:$Q,B31)+COUNTIFS(After!$C:$C,"30", After!$Q:$Q,B31)</f>
        <v>0</v>
      </c>
      <c r="E31" s="34" t="n">
        <f>COUNTIFS(Before!$C:$C,"&gt;=21",Before!$C:$C,"&lt;=22", Before!$Q:$Q,B31) + COUNTIFS(After!$C:$C,"&gt;=21",After!$C:$C,"&lt;=22", After!$Q:$Q,B31)</f>
        <v>0</v>
      </c>
      <c r="F31" s="82" t="n">
        <f>COUNTIFS(Before!$Q:$Q,$B31, Before!$G:$G, "K") + COUNTIFS(Before!$Q:$Q,$B31, Before!$G:$G, "A") + COUNTIFS(Before!$Q:$Q,$B31, Before!$G:$G, "B") + COUNTIFS(Before!$Q:$Q,$B31, Before!$G:$G, "C")
+ COUNTIFS(After!$Q:$Q,$B31, After!$G:$G, "K") + COUNTIFS(After!$Q:$Q,$B31, After!$G:$G, "A") + COUNTIFS(After!$Q:$Q,$B31, After!$G:$G, "B") + COUNTIFS(After!$Q:$Q,$B31, After!$G:$G, "C")</f>
        <v>0</v>
      </c>
      <c r="G31" s="85" t="str">
        <f>VLOOKUP($B31, 'Evaluation Set-up'!$K$11:$R$35, 4, FALSE)</f>
        <v/>
      </c>
      <c r="H31" s="86" t="str">
        <f>VLOOKUP($B31, 'Evaluation Set-up'!$K$11:$R$35, 7, FALSE)</f>
        <v/>
      </c>
      <c r="J31" s="49">
        <v>2028</v>
      </c>
      <c r="K31" s="65" t="n">
        <f t="shared" si="0"/>
        <v>0</v>
      </c>
      <c r="L31" s="1" t="str">
        <f>IF(OR(DATE($J31, L$12, 1) &lt; 'Evaluation Set-up'!$D$9, DATE($J31, L$12, 1) &gt;= 'Evaluation Set-up'!$E$9), "", "Before")</f>
        <v/>
      </c>
      <c r="M31" s="1" t="str">
        <f>IF(OR(DATE($J31, M$12, 1) &lt; 'Evaluation Set-up'!$D$9, DATE($J31, M$12, 1) &gt;= 'Evaluation Set-up'!$E$9), "", "Before")</f>
        <v/>
      </c>
      <c r="N31" s="1" t="str">
        <f>IF(OR(DATE($J31, N$12, 1) &lt; 'Evaluation Set-up'!$D$9, DATE($J31, N$12, 1) &gt;= 'Evaluation Set-up'!$E$9), "", "Before")</f>
        <v/>
      </c>
      <c r="O31" s="1" t="str">
        <f>IF(OR(DATE($J31, O$12, 1) &lt; 'Evaluation Set-up'!$D$9, DATE($J31, O$12, 1) &gt;= 'Evaluation Set-up'!$E$9), "", "Before")</f>
        <v/>
      </c>
      <c r="P31" s="1" t="str">
        <f>IF(OR(DATE($J31, P$12, 1) &lt; 'Evaluation Set-up'!$D$9, DATE($J31, P$12, 1) &gt;= 'Evaluation Set-up'!$E$9), "", "Before")</f>
        <v/>
      </c>
      <c r="Q31" s="1" t="str">
        <f>IF(OR(DATE($J31, Q$12, 1) &lt; 'Evaluation Set-up'!$D$9, DATE($J31, Q$12, 1) &gt;= 'Evaluation Set-up'!$E$9), "", "Before")</f>
        <v/>
      </c>
      <c r="R31" s="1" t="str">
        <f>IF(OR(DATE($J31, R$12, 1) &lt; 'Evaluation Set-up'!$D$9, DATE($J31, R$12, 1) &gt;= 'Evaluation Set-up'!$E$9), "", "Before")</f>
        <v/>
      </c>
      <c r="S31" s="1" t="str">
        <f>IF(OR(DATE($J31, S$12, 1) &lt; 'Evaluation Set-up'!$D$9, DATE($J31, S$12, 1) &gt;= 'Evaluation Set-up'!$E$9), "", "Before")</f>
        <v/>
      </c>
      <c r="T31" s="1" t="str">
        <f>IF(OR(DATE($J31, T$12, 1) &lt; 'Evaluation Set-up'!$D$9, DATE($J31, T$12, 1) &gt;= 'Evaluation Set-up'!$E$9), "", "Before")</f>
        <v/>
      </c>
      <c r="U31" s="1" t="str">
        <f>IF(OR(DATE($J31, U$12, 1) &lt; 'Evaluation Set-up'!$D$9, DATE($J31, U$12, 1) &gt;= 'Evaluation Set-up'!$E$9), "", "Before")</f>
        <v/>
      </c>
      <c r="V31" s="1" t="str">
        <f>IF(OR(DATE($J31, V$12, 1) &lt; 'Evaluation Set-up'!$D$9, DATE($J31, V$12, 1) &gt;= 'Evaluation Set-up'!$E$9), "", "Before")</f>
        <v/>
      </c>
      <c r="W31" s="70" t="str">
        <f>IF(OR(DATE($J31, W$12, 1) &lt; 'Evaluation Set-up'!$D$9, DATE($J31, W$12, 1) &gt;= 'Evaluation Set-up'!$E$9), "", "Before")</f>
        <v/>
      </c>
      <c r="X31" s="1"/>
      <c r="Y31" s="49">
        <v>2028</v>
      </c>
      <c r="Z31" s="65" t="n">
        <f t="shared" si="1"/>
        <v>0</v>
      </c>
      <c r="AA31" s="1" t="str">
        <f>IF(OR(DATE($Y31, L$12, 1) &lt; 'Evaluation Set-up'!$D$11, DATE($Y31, L$12, 1) &gt;= 'Evaluation Set-up'!$E$11), "", "After")</f>
        <v/>
      </c>
      <c r="AB31" s="1" t="str">
        <f>IF(OR(DATE($Y31, M$12, 1) &lt; 'Evaluation Set-up'!$D$11, DATE($Y31, M$12, 1) &gt;= 'Evaluation Set-up'!$E$11), "", "After")</f>
        <v/>
      </c>
      <c r="AC31" s="1" t="str">
        <f>IF(OR(DATE($Y31, N$12, 1) &lt; 'Evaluation Set-up'!$D$11, DATE($Y31, N$12, 1) &gt;= 'Evaluation Set-up'!$E$11), "", "After")</f>
        <v/>
      </c>
      <c r="AD31" s="1" t="str">
        <f>IF(OR(DATE($Y31, O$12, 1) &lt; 'Evaluation Set-up'!$D$11, DATE($Y31, O$12, 1) &gt;= 'Evaluation Set-up'!$E$11), "", "After")</f>
        <v/>
      </c>
      <c r="AE31" s="1" t="str">
        <f>IF(OR(DATE($Y31, P$12, 1) &lt; 'Evaluation Set-up'!$D$11, DATE($Y31, P$12, 1) &gt;= 'Evaluation Set-up'!$E$11), "", "After")</f>
        <v/>
      </c>
      <c r="AF31" s="1" t="str">
        <f>IF(OR(DATE($Y31, Q$12, 1) &lt; 'Evaluation Set-up'!$D$11, DATE($Y31, Q$12, 1) &gt;= 'Evaluation Set-up'!$E$11), "", "After")</f>
        <v/>
      </c>
      <c r="AG31" s="1" t="str">
        <f>IF(OR(DATE($Y31, R$12, 1) &lt; 'Evaluation Set-up'!$D$11, DATE($Y31, R$12, 1) &gt;= 'Evaluation Set-up'!$E$11), "", "After")</f>
        <v/>
      </c>
      <c r="AH31" s="1" t="str">
        <f>IF(OR(DATE($Y31, S$12, 1) &lt; 'Evaluation Set-up'!$D$11, DATE($Y31, S$12, 1) &gt;= 'Evaluation Set-up'!$E$11), "", "After")</f>
        <v/>
      </c>
      <c r="AI31" s="1" t="str">
        <f>IF(OR(DATE($Y31, T$12, 1) &lt; 'Evaluation Set-up'!$D$11, DATE($Y31, T$12, 1) &gt;= 'Evaluation Set-up'!$E$11), "", "After")</f>
        <v/>
      </c>
      <c r="AJ31" s="1" t="str">
        <f>IF(OR(DATE($Y31, U$12, 1) &lt; 'Evaluation Set-up'!$D$11, DATE($Y31, U$12, 1) &gt;= 'Evaluation Set-up'!$E$11), "", "After")</f>
        <v/>
      </c>
      <c r="AK31" s="1" t="str">
        <f>IF(OR(DATE($Y31, V$12, 1) &lt; 'Evaluation Set-up'!$D$11, DATE($Y31, V$12, 1) &gt;= 'Evaluation Set-up'!$E$11), "", "After")</f>
        <v/>
      </c>
      <c r="AL31" s="70" t="str">
        <f>IF(OR(DATE($Y31, W$12, 1) &lt; 'Evaluation Set-up'!$D$11, DATE($Y31, W$12, 1) &gt;= 'Evaluation Set-up'!$E$11), "", "After")</f>
        <v/>
      </c>
    </row>
    <row r="32" spans="2:38">
      <c r="B32" s="77">
        <v>2029</v>
      </c>
      <c r="C32" s="81" t="n">
        <f>COUNTIF(Before!$Q:$Q,B32) + COUNTIF(After!$Q:$Q,B32)</f>
        <v>0</v>
      </c>
      <c r="D32" s="34" t="n">
        <f>COUNTIFS(Before!$C:$C,"&gt;=23",Before!$C:$C,"&lt;=27", Before!$Q:$Q,B32)+COUNTIFS(Before!$C:$C,"30", Before!$Q:$Q,B32) + COUNTIFS(After!$C:$C,"&gt;=23",After!$C:$C,"&lt;=27", After!$Q:$Q,B32)+COUNTIFS(After!$C:$C,"30", After!$Q:$Q,B32)</f>
        <v>0</v>
      </c>
      <c r="E32" s="34" t="n">
        <f>COUNTIFS(Before!$C:$C,"&gt;=21",Before!$C:$C,"&lt;=22", Before!$Q:$Q,B32) + COUNTIFS(After!$C:$C,"&gt;=21",After!$C:$C,"&lt;=22", After!$Q:$Q,B32)</f>
        <v>0</v>
      </c>
      <c r="F32" s="82" t="n">
        <f>COUNTIFS(Before!$Q:$Q,$B32, Before!$G:$G, "K") + COUNTIFS(Before!$Q:$Q,$B32, Before!$G:$G, "A") + COUNTIFS(Before!$Q:$Q,$B32, Before!$G:$G, "B") + COUNTIFS(Before!$Q:$Q,$B32, Before!$G:$G, "C")
+ COUNTIFS(After!$Q:$Q,$B32, After!$G:$G, "K") + COUNTIFS(After!$Q:$Q,$B32, After!$G:$G, "A") + COUNTIFS(After!$Q:$Q,$B32, After!$G:$G, "B") + COUNTIFS(After!$Q:$Q,$B32, After!$G:$G, "C")</f>
        <v>0</v>
      </c>
      <c r="G32" s="85" t="str">
        <f>VLOOKUP($B32, 'Evaluation Set-up'!$K$11:$R$35, 4, FALSE)</f>
        <v/>
      </c>
      <c r="H32" s="86" t="str">
        <f>VLOOKUP($B32, 'Evaluation Set-up'!$K$11:$R$35, 7, FALSE)</f>
        <v/>
      </c>
      <c r="J32" s="49">
        <v>2029</v>
      </c>
      <c r="K32" s="65" t="n">
        <f t="shared" si="0"/>
        <v>0</v>
      </c>
      <c r="L32" s="1" t="str">
        <f>IF(OR(DATE($J32, L$12, 1) &lt; 'Evaluation Set-up'!$D$9, DATE($J32, L$12, 1) &gt;= 'Evaluation Set-up'!$E$9), "", "Before")</f>
        <v/>
      </c>
      <c r="M32" s="1" t="str">
        <f>IF(OR(DATE($J32, M$12, 1) &lt; 'Evaluation Set-up'!$D$9, DATE($J32, M$12, 1) &gt;= 'Evaluation Set-up'!$E$9), "", "Before")</f>
        <v/>
      </c>
      <c r="N32" s="1" t="str">
        <f>IF(OR(DATE($J32, N$12, 1) &lt; 'Evaluation Set-up'!$D$9, DATE($J32, N$12, 1) &gt;= 'Evaluation Set-up'!$E$9), "", "Before")</f>
        <v/>
      </c>
      <c r="O32" s="1" t="str">
        <f>IF(OR(DATE($J32, O$12, 1) &lt; 'Evaluation Set-up'!$D$9, DATE($J32, O$12, 1) &gt;= 'Evaluation Set-up'!$E$9), "", "Before")</f>
        <v/>
      </c>
      <c r="P32" s="1" t="str">
        <f>IF(OR(DATE($J32, P$12, 1) &lt; 'Evaluation Set-up'!$D$9, DATE($J32, P$12, 1) &gt;= 'Evaluation Set-up'!$E$9), "", "Before")</f>
        <v/>
      </c>
      <c r="Q32" s="1" t="str">
        <f>IF(OR(DATE($J32, Q$12, 1) &lt; 'Evaluation Set-up'!$D$9, DATE($J32, Q$12, 1) &gt;= 'Evaluation Set-up'!$E$9), "", "Before")</f>
        <v/>
      </c>
      <c r="R32" s="1" t="str">
        <f>IF(OR(DATE($J32, R$12, 1) &lt; 'Evaluation Set-up'!$D$9, DATE($J32, R$12, 1) &gt;= 'Evaluation Set-up'!$E$9), "", "Before")</f>
        <v/>
      </c>
      <c r="S32" s="1" t="str">
        <f>IF(OR(DATE($J32, S$12, 1) &lt; 'Evaluation Set-up'!$D$9, DATE($J32, S$12, 1) &gt;= 'Evaluation Set-up'!$E$9), "", "Before")</f>
        <v/>
      </c>
      <c r="T32" s="1" t="str">
        <f>IF(OR(DATE($J32, T$12, 1) &lt; 'Evaluation Set-up'!$D$9, DATE($J32, T$12, 1) &gt;= 'Evaluation Set-up'!$E$9), "", "Before")</f>
        <v/>
      </c>
      <c r="U32" s="1" t="str">
        <f>IF(OR(DATE($J32, U$12, 1) &lt; 'Evaluation Set-up'!$D$9, DATE($J32, U$12, 1) &gt;= 'Evaluation Set-up'!$E$9), "", "Before")</f>
        <v/>
      </c>
      <c r="V32" s="1" t="str">
        <f>IF(OR(DATE($J32, V$12, 1) &lt; 'Evaluation Set-up'!$D$9, DATE($J32, V$12, 1) &gt;= 'Evaluation Set-up'!$E$9), "", "Before")</f>
        <v/>
      </c>
      <c r="W32" s="70" t="str">
        <f>IF(OR(DATE($J32, W$12, 1) &lt; 'Evaluation Set-up'!$D$9, DATE($J32, W$12, 1) &gt;= 'Evaluation Set-up'!$E$9), "", "Before")</f>
        <v/>
      </c>
      <c r="X32" s="1"/>
      <c r="Y32" s="49">
        <v>2029</v>
      </c>
      <c r="Z32" s="65" t="n">
        <f t="shared" si="1"/>
        <v>0</v>
      </c>
      <c r="AA32" s="1" t="str">
        <f>IF(OR(DATE($Y32, L$12, 1) &lt; 'Evaluation Set-up'!$D$11, DATE($Y32, L$12, 1) &gt;= 'Evaluation Set-up'!$E$11), "", "After")</f>
        <v/>
      </c>
      <c r="AB32" s="1" t="str">
        <f>IF(OR(DATE($Y32, M$12, 1) &lt; 'Evaluation Set-up'!$D$11, DATE($Y32, M$12, 1) &gt;= 'Evaluation Set-up'!$E$11), "", "After")</f>
        <v/>
      </c>
      <c r="AC32" s="1" t="str">
        <f>IF(OR(DATE($Y32, N$12, 1) &lt; 'Evaluation Set-up'!$D$11, DATE($Y32, N$12, 1) &gt;= 'Evaluation Set-up'!$E$11), "", "After")</f>
        <v/>
      </c>
      <c r="AD32" s="1" t="str">
        <f>IF(OR(DATE($Y32, O$12, 1) &lt; 'Evaluation Set-up'!$D$11, DATE($Y32, O$12, 1) &gt;= 'Evaluation Set-up'!$E$11), "", "After")</f>
        <v/>
      </c>
      <c r="AE32" s="1" t="str">
        <f>IF(OR(DATE($Y32, P$12, 1) &lt; 'Evaluation Set-up'!$D$11, DATE($Y32, P$12, 1) &gt;= 'Evaluation Set-up'!$E$11), "", "After")</f>
        <v/>
      </c>
      <c r="AF32" s="1" t="str">
        <f>IF(OR(DATE($Y32, Q$12, 1) &lt; 'Evaluation Set-up'!$D$11, DATE($Y32, Q$12, 1) &gt;= 'Evaluation Set-up'!$E$11), "", "After")</f>
        <v/>
      </c>
      <c r="AG32" s="1" t="str">
        <f>IF(OR(DATE($Y32, R$12, 1) &lt; 'Evaluation Set-up'!$D$11, DATE($Y32, R$12, 1) &gt;= 'Evaluation Set-up'!$E$11), "", "After")</f>
        <v/>
      </c>
      <c r="AH32" s="1" t="str">
        <f>IF(OR(DATE($Y32, S$12, 1) &lt; 'Evaluation Set-up'!$D$11, DATE($Y32, S$12, 1) &gt;= 'Evaluation Set-up'!$E$11), "", "After")</f>
        <v/>
      </c>
      <c r="AI32" s="1" t="str">
        <f>IF(OR(DATE($Y32, T$12, 1) &lt; 'Evaluation Set-up'!$D$11, DATE($Y32, T$12, 1) &gt;= 'Evaluation Set-up'!$E$11), "", "After")</f>
        <v/>
      </c>
      <c r="AJ32" s="1" t="str">
        <f>IF(OR(DATE($Y32, U$12, 1) &lt; 'Evaluation Set-up'!$D$11, DATE($Y32, U$12, 1) &gt;= 'Evaluation Set-up'!$E$11), "", "After")</f>
        <v/>
      </c>
      <c r="AK32" s="1" t="str">
        <f>IF(OR(DATE($Y32, V$12, 1) &lt; 'Evaluation Set-up'!$D$11, DATE($Y32, V$12, 1) &gt;= 'Evaluation Set-up'!$E$11), "", "After")</f>
        <v/>
      </c>
      <c r="AL32" s="70" t="str">
        <f>IF(OR(DATE($Y32, W$12, 1) &lt; 'Evaluation Set-up'!$D$11, DATE($Y32, W$12, 1) &gt;= 'Evaluation Set-up'!$E$11), "", "After")</f>
        <v/>
      </c>
    </row>
    <row r="33" spans="2:44">
      <c r="B33" s="77">
        <v>2030</v>
      </c>
      <c r="C33" s="81" t="n">
        <f>COUNTIF(Before!$Q:$Q,B33) + COUNTIF(After!$Q:$Q,B33)</f>
        <v>0</v>
      </c>
      <c r="D33" s="34" t="n">
        <f>COUNTIFS(Before!$C:$C,"&gt;=23",Before!$C:$C,"&lt;=27", Before!$Q:$Q,B33)+COUNTIFS(Before!$C:$C,"30", Before!$Q:$Q,B33) + COUNTIFS(After!$C:$C,"&gt;=23",After!$C:$C,"&lt;=27", After!$Q:$Q,B33)+COUNTIFS(After!$C:$C,"30", After!$Q:$Q,B33)</f>
        <v>0</v>
      </c>
      <c r="E33" s="34" t="n">
        <f>COUNTIFS(Before!$C:$C,"&gt;=21",Before!$C:$C,"&lt;=22", Before!$Q:$Q,B33) + COUNTIFS(After!$C:$C,"&gt;=21",After!$C:$C,"&lt;=22", After!$Q:$Q,B33)</f>
        <v>0</v>
      </c>
      <c r="F33" s="82" t="n">
        <f>COUNTIFS(Before!$Q:$Q,$B33, Before!$G:$G, "K") + COUNTIFS(Before!$Q:$Q,$B33, Before!$G:$G, "A") + COUNTIFS(Before!$Q:$Q,$B33, Before!$G:$G, "B") + COUNTIFS(Before!$Q:$Q,$B33, Before!$G:$G, "C")
+ COUNTIFS(After!$Q:$Q,$B33, After!$G:$G, "K") + COUNTIFS(After!$Q:$Q,$B33, After!$G:$G, "A") + COUNTIFS(After!$Q:$Q,$B33, After!$G:$G, "B") + COUNTIFS(After!$Q:$Q,$B33, After!$G:$G, "C")</f>
        <v>0</v>
      </c>
      <c r="G33" s="85" t="str">
        <f>VLOOKUP($B33, 'Evaluation Set-up'!$K$11:$R$35, 4, FALSE)</f>
        <v/>
      </c>
      <c r="H33" s="86" t="str">
        <f>VLOOKUP($B33, 'Evaluation Set-up'!$K$11:$R$35, 7, FALSE)</f>
        <v/>
      </c>
      <c r="J33" s="49">
        <v>2030</v>
      </c>
      <c r="K33" s="65" t="n">
        <f t="shared" si="0"/>
        <v>0</v>
      </c>
      <c r="L33" s="1" t="str">
        <f>IF(OR(DATE($J33, L$12, 1) &lt; 'Evaluation Set-up'!$D$9, DATE($J33, L$12, 1) &gt;= 'Evaluation Set-up'!$E$9), "", "Before")</f>
        <v/>
      </c>
      <c r="M33" s="1" t="str">
        <f>IF(OR(DATE($J33, M$12, 1) &lt; 'Evaluation Set-up'!$D$9, DATE($J33, M$12, 1) &gt;= 'Evaluation Set-up'!$E$9), "", "Before")</f>
        <v/>
      </c>
      <c r="N33" s="1" t="str">
        <f>IF(OR(DATE($J33, N$12, 1) &lt; 'Evaluation Set-up'!$D$9, DATE($J33, N$12, 1) &gt;= 'Evaluation Set-up'!$E$9), "", "Before")</f>
        <v/>
      </c>
      <c r="O33" s="1" t="str">
        <f>IF(OR(DATE($J33, O$12, 1) &lt; 'Evaluation Set-up'!$D$9, DATE($J33, O$12, 1) &gt;= 'Evaluation Set-up'!$E$9), "", "Before")</f>
        <v/>
      </c>
      <c r="P33" s="1" t="str">
        <f>IF(OR(DATE($J33, P$12, 1) &lt; 'Evaluation Set-up'!$D$9, DATE($J33, P$12, 1) &gt;= 'Evaluation Set-up'!$E$9), "", "Before")</f>
        <v/>
      </c>
      <c r="Q33" s="1" t="str">
        <f>IF(OR(DATE($J33, Q$12, 1) &lt; 'Evaluation Set-up'!$D$9, DATE($J33, Q$12, 1) &gt;= 'Evaluation Set-up'!$E$9), "", "Before")</f>
        <v/>
      </c>
      <c r="R33" s="1" t="str">
        <f>IF(OR(DATE($J33, R$12, 1) &lt; 'Evaluation Set-up'!$D$9, DATE($J33, R$12, 1) &gt;= 'Evaluation Set-up'!$E$9), "", "Before")</f>
        <v/>
      </c>
      <c r="S33" s="1" t="str">
        <f>IF(OR(DATE($J33, S$12, 1) &lt; 'Evaluation Set-up'!$D$9, DATE($J33, S$12, 1) &gt;= 'Evaluation Set-up'!$E$9), "", "Before")</f>
        <v/>
      </c>
      <c r="T33" s="1" t="str">
        <f>IF(OR(DATE($J33, T$12, 1) &lt; 'Evaluation Set-up'!$D$9, DATE($J33, T$12, 1) &gt;= 'Evaluation Set-up'!$E$9), "", "Before")</f>
        <v/>
      </c>
      <c r="U33" s="1" t="str">
        <f>IF(OR(DATE($J33, U$12, 1) &lt; 'Evaluation Set-up'!$D$9, DATE($J33, U$12, 1) &gt;= 'Evaluation Set-up'!$E$9), "", "Before")</f>
        <v/>
      </c>
      <c r="V33" s="1" t="str">
        <f>IF(OR(DATE($J33, V$12, 1) &lt; 'Evaluation Set-up'!$D$9, DATE($J33, V$12, 1) &gt;= 'Evaluation Set-up'!$E$9), "", "Before")</f>
        <v/>
      </c>
      <c r="W33" s="70" t="str">
        <f>IF(OR(DATE($J33, W$12, 1) &lt; 'Evaluation Set-up'!$D$9, DATE($J33, W$12, 1) &gt;= 'Evaluation Set-up'!$E$9), "", "Before")</f>
        <v/>
      </c>
      <c r="X33" s="1"/>
      <c r="Y33" s="49">
        <v>2030</v>
      </c>
      <c r="Z33" s="65" t="n">
        <f t="shared" si="1"/>
        <v>0</v>
      </c>
      <c r="AA33" s="1" t="str">
        <f>IF(OR(DATE($Y33, L$12, 1) &lt; 'Evaluation Set-up'!$D$11, DATE($Y33, L$12, 1) &gt;= 'Evaluation Set-up'!$E$11), "", "After")</f>
        <v/>
      </c>
      <c r="AB33" s="1" t="str">
        <f>IF(OR(DATE($Y33, M$12, 1) &lt; 'Evaluation Set-up'!$D$11, DATE($Y33, M$12, 1) &gt;= 'Evaluation Set-up'!$E$11), "", "After")</f>
        <v/>
      </c>
      <c r="AC33" s="1" t="str">
        <f>IF(OR(DATE($Y33, N$12, 1) &lt; 'Evaluation Set-up'!$D$11, DATE($Y33, N$12, 1) &gt;= 'Evaluation Set-up'!$E$11), "", "After")</f>
        <v/>
      </c>
      <c r="AD33" s="1" t="str">
        <f>IF(OR(DATE($Y33, O$12, 1) &lt; 'Evaluation Set-up'!$D$11, DATE($Y33, O$12, 1) &gt;= 'Evaluation Set-up'!$E$11), "", "After")</f>
        <v/>
      </c>
      <c r="AE33" s="1" t="str">
        <f>IF(OR(DATE($Y33, P$12, 1) &lt; 'Evaluation Set-up'!$D$11, DATE($Y33, P$12, 1) &gt;= 'Evaluation Set-up'!$E$11), "", "After")</f>
        <v/>
      </c>
      <c r="AF33" s="1" t="str">
        <f>IF(OR(DATE($Y33, Q$12, 1) &lt; 'Evaluation Set-up'!$D$11, DATE($Y33, Q$12, 1) &gt;= 'Evaluation Set-up'!$E$11), "", "After")</f>
        <v/>
      </c>
      <c r="AG33" s="1" t="str">
        <f>IF(OR(DATE($Y33, R$12, 1) &lt; 'Evaluation Set-up'!$D$11, DATE($Y33, R$12, 1) &gt;= 'Evaluation Set-up'!$E$11), "", "After")</f>
        <v/>
      </c>
      <c r="AH33" s="1" t="str">
        <f>IF(OR(DATE($Y33, S$12, 1) &lt; 'Evaluation Set-up'!$D$11, DATE($Y33, S$12, 1) &gt;= 'Evaluation Set-up'!$E$11), "", "After")</f>
        <v/>
      </c>
      <c r="AI33" s="1" t="str">
        <f>IF(OR(DATE($Y33, T$12, 1) &lt; 'Evaluation Set-up'!$D$11, DATE($Y33, T$12, 1) &gt;= 'Evaluation Set-up'!$E$11), "", "After")</f>
        <v/>
      </c>
      <c r="AJ33" s="1" t="str">
        <f>IF(OR(DATE($Y33, U$12, 1) &lt; 'Evaluation Set-up'!$D$11, DATE($Y33, U$12, 1) &gt;= 'Evaluation Set-up'!$E$11), "", "After")</f>
        <v/>
      </c>
      <c r="AK33" s="1" t="str">
        <f>IF(OR(DATE($Y33, V$12, 1) &lt; 'Evaluation Set-up'!$D$11, DATE($Y33, V$12, 1) &gt;= 'Evaluation Set-up'!$E$11), "", "After")</f>
        <v/>
      </c>
      <c r="AL33" s="70" t="str">
        <f>IF(OR(DATE($Y33, W$12, 1) &lt; 'Evaluation Set-up'!$D$11, DATE($Y33, W$12, 1) &gt;= 'Evaluation Set-up'!$E$11), "", "After")</f>
        <v/>
      </c>
    </row>
    <row r="34" spans="2:44">
      <c r="B34" s="77">
        <v>2031</v>
      </c>
      <c r="C34" s="81" t="n">
        <f>COUNTIF(Before!$Q:$Q,B34) + COUNTIF(After!$Q:$Q,B34)</f>
        <v>0</v>
      </c>
      <c r="D34" s="34" t="n">
        <f>COUNTIFS(Before!$C:$C,"&gt;=23",Before!$C:$C,"&lt;=27", Before!$Q:$Q,B34)+COUNTIFS(Before!$C:$C,"30", Before!$Q:$Q,B34) + COUNTIFS(After!$C:$C,"&gt;=23",After!$C:$C,"&lt;=27", After!$Q:$Q,B34)+COUNTIFS(After!$C:$C,"30", After!$Q:$Q,B34)</f>
        <v>0</v>
      </c>
      <c r="E34" s="34" t="n">
        <f>COUNTIFS(Before!$C:$C,"&gt;=21",Before!$C:$C,"&lt;=22", Before!$Q:$Q,B34) + COUNTIFS(After!$C:$C,"&gt;=21",After!$C:$C,"&lt;=22", After!$Q:$Q,B34)</f>
        <v>0</v>
      </c>
      <c r="F34" s="82" t="n">
        <f>COUNTIFS(Before!$Q:$Q,$B34, Before!$G:$G, "K") + COUNTIFS(Before!$Q:$Q,$B34, Before!$G:$G, "A") + COUNTIFS(Before!$Q:$Q,$B34, Before!$G:$G, "B") + COUNTIFS(Before!$Q:$Q,$B34, Before!$G:$G, "C")
+ COUNTIFS(After!$Q:$Q,$B34, After!$G:$G, "K") + COUNTIFS(After!$Q:$Q,$B34, After!$G:$G, "A") + COUNTIFS(After!$Q:$Q,$B34, After!$G:$G, "B") + COUNTIFS(After!$Q:$Q,$B34, After!$G:$G, "C")</f>
        <v>0</v>
      </c>
      <c r="G34" s="85" t="str">
        <f>VLOOKUP($B34, 'Evaluation Set-up'!$K$11:$R$35, 4, FALSE)</f>
        <v/>
      </c>
      <c r="H34" s="86" t="str">
        <f>VLOOKUP($B34, 'Evaluation Set-up'!$K$11:$R$35, 7, FALSE)</f>
        <v/>
      </c>
      <c r="J34" s="49">
        <v>2031</v>
      </c>
      <c r="K34" s="65" t="n">
        <f t="shared" si="0"/>
        <v>0</v>
      </c>
      <c r="L34" s="1" t="str">
        <f>IF(OR(DATE($J34, L$12, 1) &lt; 'Evaluation Set-up'!$D$9, DATE($J34, L$12, 1) &gt;= 'Evaluation Set-up'!$E$9), "", "Before")</f>
        <v/>
      </c>
      <c r="M34" s="1" t="str">
        <f>IF(OR(DATE($J34, M$12, 1) &lt; 'Evaluation Set-up'!$D$9, DATE($J34, M$12, 1) &gt;= 'Evaluation Set-up'!$E$9), "", "Before")</f>
        <v/>
      </c>
      <c r="N34" s="1" t="str">
        <f>IF(OR(DATE($J34, N$12, 1) &lt; 'Evaluation Set-up'!$D$9, DATE($J34, N$12, 1) &gt;= 'Evaluation Set-up'!$E$9), "", "Before")</f>
        <v/>
      </c>
      <c r="O34" s="1" t="str">
        <f>IF(OR(DATE($J34, O$12, 1) &lt; 'Evaluation Set-up'!$D$9, DATE($J34, O$12, 1) &gt;= 'Evaluation Set-up'!$E$9), "", "Before")</f>
        <v/>
      </c>
      <c r="P34" s="1" t="str">
        <f>IF(OR(DATE($J34, P$12, 1) &lt; 'Evaluation Set-up'!$D$9, DATE($J34, P$12, 1) &gt;= 'Evaluation Set-up'!$E$9), "", "Before")</f>
        <v/>
      </c>
      <c r="Q34" s="1" t="str">
        <f>IF(OR(DATE($J34, Q$12, 1) &lt; 'Evaluation Set-up'!$D$9, DATE($J34, Q$12, 1) &gt;= 'Evaluation Set-up'!$E$9), "", "Before")</f>
        <v/>
      </c>
      <c r="R34" s="1" t="str">
        <f>IF(OR(DATE($J34, R$12, 1) &lt; 'Evaluation Set-up'!$D$9, DATE($J34, R$12, 1) &gt;= 'Evaluation Set-up'!$E$9), "", "Before")</f>
        <v/>
      </c>
      <c r="S34" s="1" t="str">
        <f>IF(OR(DATE($J34, S$12, 1) &lt; 'Evaluation Set-up'!$D$9, DATE($J34, S$12, 1) &gt;= 'Evaluation Set-up'!$E$9), "", "Before")</f>
        <v/>
      </c>
      <c r="T34" s="1" t="str">
        <f>IF(OR(DATE($J34, T$12, 1) &lt; 'Evaluation Set-up'!$D$9, DATE($J34, T$12, 1) &gt;= 'Evaluation Set-up'!$E$9), "", "Before")</f>
        <v/>
      </c>
      <c r="U34" s="1" t="str">
        <f>IF(OR(DATE($J34, U$12, 1) &lt; 'Evaluation Set-up'!$D$9, DATE($J34, U$12, 1) &gt;= 'Evaluation Set-up'!$E$9), "", "Before")</f>
        <v/>
      </c>
      <c r="V34" s="1" t="str">
        <f>IF(OR(DATE($J34, V$12, 1) &lt; 'Evaluation Set-up'!$D$9, DATE($J34, V$12, 1) &gt;= 'Evaluation Set-up'!$E$9), "", "Before")</f>
        <v/>
      </c>
      <c r="W34" s="70" t="str">
        <f>IF(OR(DATE($J34, W$12, 1) &lt; 'Evaluation Set-up'!$D$9, DATE($J34, W$12, 1) &gt;= 'Evaluation Set-up'!$E$9), "", "Before")</f>
        <v/>
      </c>
      <c r="X34" s="1"/>
      <c r="Y34" s="49">
        <v>2031</v>
      </c>
      <c r="Z34" s="65" t="n">
        <f t="shared" si="1"/>
        <v>0</v>
      </c>
      <c r="AA34" s="1" t="str">
        <f>IF(OR(DATE($Y34, L$12, 1) &lt; 'Evaluation Set-up'!$D$11, DATE($Y34, L$12, 1) &gt;= 'Evaluation Set-up'!$E$11), "", "After")</f>
        <v/>
      </c>
      <c r="AB34" s="1" t="str">
        <f>IF(OR(DATE($Y34, M$12, 1) &lt; 'Evaluation Set-up'!$D$11, DATE($Y34, M$12, 1) &gt;= 'Evaluation Set-up'!$E$11), "", "After")</f>
        <v/>
      </c>
      <c r="AC34" s="1" t="str">
        <f>IF(OR(DATE($Y34, N$12, 1) &lt; 'Evaluation Set-up'!$D$11, DATE($Y34, N$12, 1) &gt;= 'Evaluation Set-up'!$E$11), "", "After")</f>
        <v/>
      </c>
      <c r="AD34" s="1" t="str">
        <f>IF(OR(DATE($Y34, O$12, 1) &lt; 'Evaluation Set-up'!$D$11, DATE($Y34, O$12, 1) &gt;= 'Evaluation Set-up'!$E$11), "", "After")</f>
        <v/>
      </c>
      <c r="AE34" s="1" t="str">
        <f>IF(OR(DATE($Y34, P$12, 1) &lt; 'Evaluation Set-up'!$D$11, DATE($Y34, P$12, 1) &gt;= 'Evaluation Set-up'!$E$11), "", "After")</f>
        <v/>
      </c>
      <c r="AF34" s="1" t="str">
        <f>IF(OR(DATE($Y34, Q$12, 1) &lt; 'Evaluation Set-up'!$D$11, DATE($Y34, Q$12, 1) &gt;= 'Evaluation Set-up'!$E$11), "", "After")</f>
        <v/>
      </c>
      <c r="AG34" s="1" t="str">
        <f>IF(OR(DATE($Y34, R$12, 1) &lt; 'Evaluation Set-up'!$D$11, DATE($Y34, R$12, 1) &gt;= 'Evaluation Set-up'!$E$11), "", "After")</f>
        <v/>
      </c>
      <c r="AH34" s="1" t="str">
        <f>IF(OR(DATE($Y34, S$12, 1) &lt; 'Evaluation Set-up'!$D$11, DATE($Y34, S$12, 1) &gt;= 'Evaluation Set-up'!$E$11), "", "After")</f>
        <v/>
      </c>
      <c r="AI34" s="1" t="str">
        <f>IF(OR(DATE($Y34, T$12, 1) &lt; 'Evaluation Set-up'!$D$11, DATE($Y34, T$12, 1) &gt;= 'Evaluation Set-up'!$E$11), "", "After")</f>
        <v/>
      </c>
      <c r="AJ34" s="1" t="str">
        <f>IF(OR(DATE($Y34, U$12, 1) &lt; 'Evaluation Set-up'!$D$11, DATE($Y34, U$12, 1) &gt;= 'Evaluation Set-up'!$E$11), "", "After")</f>
        <v/>
      </c>
      <c r="AK34" s="1" t="str">
        <f>IF(OR(DATE($Y34, V$12, 1) &lt; 'Evaluation Set-up'!$D$11, DATE($Y34, V$12, 1) &gt;= 'Evaluation Set-up'!$E$11), "", "After")</f>
        <v/>
      </c>
      <c r="AL34" s="70" t="str">
        <f>IF(OR(DATE($Y34, W$12, 1) &lt; 'Evaluation Set-up'!$D$11, DATE($Y34, W$12, 1) &gt;= 'Evaluation Set-up'!$E$11), "", "After")</f>
        <v/>
      </c>
    </row>
    <row r="35" spans="2:44">
      <c r="B35" s="77">
        <v>2032</v>
      </c>
      <c r="C35" s="81" t="n">
        <f>COUNTIF(Before!$Q:$Q,B35) + COUNTIF(After!$Q:$Q,B35)</f>
        <v>0</v>
      </c>
      <c r="D35" s="34" t="n">
        <f>COUNTIFS(Before!$C:$C,"&gt;=23",Before!$C:$C,"&lt;=27", Before!$Q:$Q,B35)+COUNTIFS(Before!$C:$C,"30", Before!$Q:$Q,B35) + COUNTIFS(After!$C:$C,"&gt;=23",After!$C:$C,"&lt;=27", After!$Q:$Q,B35)+COUNTIFS(After!$C:$C,"30", After!$Q:$Q,B35)</f>
        <v>0</v>
      </c>
      <c r="E35" s="34" t="n">
        <f>COUNTIFS(Before!$C:$C,"&gt;=21",Before!$C:$C,"&lt;=22", Before!$Q:$Q,B35) + COUNTIFS(After!$C:$C,"&gt;=21",After!$C:$C,"&lt;=22", After!$Q:$Q,B35)</f>
        <v>0</v>
      </c>
      <c r="F35" s="82" t="n">
        <f>COUNTIFS(Before!$Q:$Q,$B35, Before!$G:$G, "K") + COUNTIFS(Before!$Q:$Q,$B35, Before!$G:$G, "A") + COUNTIFS(Before!$Q:$Q,$B35, Before!$G:$G, "B") + COUNTIFS(Before!$Q:$Q,$B35, Before!$G:$G, "C")
+ COUNTIFS(After!$Q:$Q,$B35, After!$G:$G, "K") + COUNTIFS(After!$Q:$Q,$B35, After!$G:$G, "A") + COUNTIFS(After!$Q:$Q,$B35, After!$G:$G, "B") + COUNTIFS(After!$Q:$Q,$B35, After!$G:$G, "C")</f>
        <v>0</v>
      </c>
      <c r="G35" s="85" t="str">
        <f>VLOOKUP($B35, 'Evaluation Set-up'!$K$11:$R$35, 4, FALSE)</f>
        <v/>
      </c>
      <c r="H35" s="86" t="str">
        <f>VLOOKUP($B35, 'Evaluation Set-up'!$K$11:$R$35, 7, FALSE)</f>
        <v/>
      </c>
      <c r="J35" s="49">
        <v>2032</v>
      </c>
      <c r="K35" s="65" t="n">
        <f t="shared" si="0"/>
        <v>0</v>
      </c>
      <c r="L35" s="1" t="str">
        <f>IF(OR(DATE($J35, L$12, 1) &lt; 'Evaluation Set-up'!$D$9, DATE($J35, L$12, 1) &gt;= 'Evaluation Set-up'!$E$9), "", "Before")</f>
        <v/>
      </c>
      <c r="M35" s="1" t="str">
        <f>IF(OR(DATE($J35, M$12, 1) &lt; 'Evaluation Set-up'!$D$9, DATE($J35, M$12, 1) &gt;= 'Evaluation Set-up'!$E$9), "", "Before")</f>
        <v/>
      </c>
      <c r="N35" s="1" t="str">
        <f>IF(OR(DATE($J35, N$12, 1) &lt; 'Evaluation Set-up'!$D$9, DATE($J35, N$12, 1) &gt;= 'Evaluation Set-up'!$E$9), "", "Before")</f>
        <v/>
      </c>
      <c r="O35" s="1" t="str">
        <f>IF(OR(DATE($J35, O$12, 1) &lt; 'Evaluation Set-up'!$D$9, DATE($J35, O$12, 1) &gt;= 'Evaluation Set-up'!$E$9), "", "Before")</f>
        <v/>
      </c>
      <c r="P35" s="1" t="str">
        <f>IF(OR(DATE($J35, P$12, 1) &lt; 'Evaluation Set-up'!$D$9, DATE($J35, P$12, 1) &gt;= 'Evaluation Set-up'!$E$9), "", "Before")</f>
        <v/>
      </c>
      <c r="Q35" s="1" t="str">
        <f>IF(OR(DATE($J35, Q$12, 1) &lt; 'Evaluation Set-up'!$D$9, DATE($J35, Q$12, 1) &gt;= 'Evaluation Set-up'!$E$9), "", "Before")</f>
        <v/>
      </c>
      <c r="R35" s="1" t="str">
        <f>IF(OR(DATE($J35, R$12, 1) &lt; 'Evaluation Set-up'!$D$9, DATE($J35, R$12, 1) &gt;= 'Evaluation Set-up'!$E$9), "", "Before")</f>
        <v/>
      </c>
      <c r="S35" s="1" t="str">
        <f>IF(OR(DATE($J35, S$12, 1) &lt; 'Evaluation Set-up'!$D$9, DATE($J35, S$12, 1) &gt;= 'Evaluation Set-up'!$E$9), "", "Before")</f>
        <v/>
      </c>
      <c r="T35" s="1" t="str">
        <f>IF(OR(DATE($J35, T$12, 1) &lt; 'Evaluation Set-up'!$D$9, DATE($J35, T$12, 1) &gt;= 'Evaluation Set-up'!$E$9), "", "Before")</f>
        <v/>
      </c>
      <c r="U35" s="1" t="str">
        <f>IF(OR(DATE($J35, U$12, 1) &lt; 'Evaluation Set-up'!$D$9, DATE($J35, U$12, 1) &gt;= 'Evaluation Set-up'!$E$9), "", "Before")</f>
        <v/>
      </c>
      <c r="V35" s="1" t="str">
        <f>IF(OR(DATE($J35, V$12, 1) &lt; 'Evaluation Set-up'!$D$9, DATE($J35, V$12, 1) &gt;= 'Evaluation Set-up'!$E$9), "", "Before")</f>
        <v/>
      </c>
      <c r="W35" s="70" t="str">
        <f>IF(OR(DATE($J35, W$12, 1) &lt; 'Evaluation Set-up'!$D$9, DATE($J35, W$12, 1) &gt;= 'Evaluation Set-up'!$E$9), "", "Before")</f>
        <v/>
      </c>
      <c r="X35" s="1"/>
      <c r="Y35" s="49">
        <v>2032</v>
      </c>
      <c r="Z35" s="65" t="n">
        <f t="shared" si="1"/>
        <v>0</v>
      </c>
      <c r="AA35" s="1" t="str">
        <f>IF(OR(DATE($Y35, L$12, 1) &lt; 'Evaluation Set-up'!$D$11, DATE($Y35, L$12, 1) &gt;= 'Evaluation Set-up'!$E$11), "", "After")</f>
        <v/>
      </c>
      <c r="AB35" s="1" t="str">
        <f>IF(OR(DATE($Y35, M$12, 1) &lt; 'Evaluation Set-up'!$D$11, DATE($Y35, M$12, 1) &gt;= 'Evaluation Set-up'!$E$11), "", "After")</f>
        <v/>
      </c>
      <c r="AC35" s="1" t="str">
        <f>IF(OR(DATE($Y35, N$12, 1) &lt; 'Evaluation Set-up'!$D$11, DATE($Y35, N$12, 1) &gt;= 'Evaluation Set-up'!$E$11), "", "After")</f>
        <v/>
      </c>
      <c r="AD35" s="1" t="str">
        <f>IF(OR(DATE($Y35, O$12, 1) &lt; 'Evaluation Set-up'!$D$11, DATE($Y35, O$12, 1) &gt;= 'Evaluation Set-up'!$E$11), "", "After")</f>
        <v/>
      </c>
      <c r="AE35" s="1" t="str">
        <f>IF(OR(DATE($Y35, P$12, 1) &lt; 'Evaluation Set-up'!$D$11, DATE($Y35, P$12, 1) &gt;= 'Evaluation Set-up'!$E$11), "", "After")</f>
        <v/>
      </c>
      <c r="AF35" s="1" t="str">
        <f>IF(OR(DATE($Y35, Q$12, 1) &lt; 'Evaluation Set-up'!$D$11, DATE($Y35, Q$12, 1) &gt;= 'Evaluation Set-up'!$E$11), "", "After")</f>
        <v/>
      </c>
      <c r="AG35" s="1" t="str">
        <f>IF(OR(DATE($Y35, R$12, 1) &lt; 'Evaluation Set-up'!$D$11, DATE($Y35, R$12, 1) &gt;= 'Evaluation Set-up'!$E$11), "", "After")</f>
        <v/>
      </c>
      <c r="AH35" s="1" t="str">
        <f>IF(OR(DATE($Y35, S$12, 1) &lt; 'Evaluation Set-up'!$D$11, DATE($Y35, S$12, 1) &gt;= 'Evaluation Set-up'!$E$11), "", "After")</f>
        <v/>
      </c>
      <c r="AI35" s="1" t="str">
        <f>IF(OR(DATE($Y35, T$12, 1) &lt; 'Evaluation Set-up'!$D$11, DATE($Y35, T$12, 1) &gt;= 'Evaluation Set-up'!$E$11), "", "After")</f>
        <v/>
      </c>
      <c r="AJ35" s="1" t="str">
        <f>IF(OR(DATE($Y35, U$12, 1) &lt; 'Evaluation Set-up'!$D$11, DATE($Y35, U$12, 1) &gt;= 'Evaluation Set-up'!$E$11), "", "After")</f>
        <v/>
      </c>
      <c r="AK35" s="1" t="str">
        <f>IF(OR(DATE($Y35, V$12, 1) &lt; 'Evaluation Set-up'!$D$11, DATE($Y35, V$12, 1) &gt;= 'Evaluation Set-up'!$E$11), "", "After")</f>
        <v/>
      </c>
      <c r="AL35" s="70" t="str">
        <f>IF(OR(DATE($Y35, W$12, 1) &lt; 'Evaluation Set-up'!$D$11, DATE($Y35, W$12, 1) &gt;= 'Evaluation Set-up'!$E$11), "", "After")</f>
        <v/>
      </c>
    </row>
    <row r="36" spans="2:44">
      <c r="B36" s="77">
        <v>2033</v>
      </c>
      <c r="C36" s="81" t="n">
        <f>COUNTIF(Before!$Q:$Q,B36) + COUNTIF(After!$Q:$Q,B36)</f>
        <v>0</v>
      </c>
      <c r="D36" s="34" t="n">
        <f>COUNTIFS(Before!$C:$C,"&gt;=23",Before!$C:$C,"&lt;=27", Before!$Q:$Q,B36)+COUNTIFS(Before!$C:$C,"30", Before!$Q:$Q,B36) + COUNTIFS(After!$C:$C,"&gt;=23",After!$C:$C,"&lt;=27", After!$Q:$Q,B36)+COUNTIFS(After!$C:$C,"30", After!$Q:$Q,B36)</f>
        <v>0</v>
      </c>
      <c r="E36" s="34" t="n">
        <f>COUNTIFS(Before!$C:$C,"&gt;=21",Before!$C:$C,"&lt;=22", Before!$Q:$Q,B36) + COUNTIFS(After!$C:$C,"&gt;=21",After!$C:$C,"&lt;=22", After!$Q:$Q,B36)</f>
        <v>0</v>
      </c>
      <c r="F36" s="82" t="n">
        <f>COUNTIFS(Before!$Q:$Q,$B36, Before!$G:$G, "K") + COUNTIFS(Before!$Q:$Q,$B36, Before!$G:$G, "A") + COUNTIFS(Before!$Q:$Q,$B36, Before!$G:$G, "B") + COUNTIFS(Before!$Q:$Q,$B36, Before!$G:$G, "C")
+ COUNTIFS(After!$Q:$Q,$B36, After!$G:$G, "K") + COUNTIFS(After!$Q:$Q,$B36, After!$G:$G, "A") + COUNTIFS(After!$Q:$Q,$B36, After!$G:$G, "B") + COUNTIFS(After!$Q:$Q,$B36, After!$G:$G, "C")</f>
        <v>0</v>
      </c>
      <c r="G36" s="85" t="str">
        <f>VLOOKUP($B36, 'Evaluation Set-up'!$K$11:$R$35, 4, FALSE)</f>
        <v/>
      </c>
      <c r="H36" s="86" t="str">
        <f>VLOOKUP($B36, 'Evaluation Set-up'!$K$11:$R$35, 7, FALSE)</f>
        <v/>
      </c>
      <c r="J36" s="49">
        <v>2033</v>
      </c>
      <c r="K36" s="65" t="n">
        <f t="shared" si="0"/>
        <v>0</v>
      </c>
      <c r="L36" s="1" t="str">
        <f>IF(OR(DATE($J36, L$12, 1) &lt; 'Evaluation Set-up'!$D$9, DATE($J36, L$12, 1) &gt;= 'Evaluation Set-up'!$E$9), "", "Before")</f>
        <v/>
      </c>
      <c r="M36" s="1" t="str">
        <f>IF(OR(DATE($J36, M$12, 1) &lt; 'Evaluation Set-up'!$D$9, DATE($J36, M$12, 1) &gt;= 'Evaluation Set-up'!$E$9), "", "Before")</f>
        <v/>
      </c>
      <c r="N36" s="1" t="str">
        <f>IF(OR(DATE($J36, N$12, 1) &lt; 'Evaluation Set-up'!$D$9, DATE($J36, N$12, 1) &gt;= 'Evaluation Set-up'!$E$9), "", "Before")</f>
        <v/>
      </c>
      <c r="O36" s="1" t="str">
        <f>IF(OR(DATE($J36, O$12, 1) &lt; 'Evaluation Set-up'!$D$9, DATE($J36, O$12, 1) &gt;= 'Evaluation Set-up'!$E$9), "", "Before")</f>
        <v/>
      </c>
      <c r="P36" s="1" t="str">
        <f>IF(OR(DATE($J36, P$12, 1) &lt; 'Evaluation Set-up'!$D$9, DATE($J36, P$12, 1) &gt;= 'Evaluation Set-up'!$E$9), "", "Before")</f>
        <v/>
      </c>
      <c r="Q36" s="1" t="str">
        <f>IF(OR(DATE($J36, Q$12, 1) &lt; 'Evaluation Set-up'!$D$9, DATE($J36, Q$12, 1) &gt;= 'Evaluation Set-up'!$E$9), "", "Before")</f>
        <v/>
      </c>
      <c r="R36" s="1" t="str">
        <f>IF(OR(DATE($J36, R$12, 1) &lt; 'Evaluation Set-up'!$D$9, DATE($J36, R$12, 1) &gt;= 'Evaluation Set-up'!$E$9), "", "Before")</f>
        <v/>
      </c>
      <c r="S36" s="1" t="str">
        <f>IF(OR(DATE($J36, S$12, 1) &lt; 'Evaluation Set-up'!$D$9, DATE($J36, S$12, 1) &gt;= 'Evaluation Set-up'!$E$9), "", "Before")</f>
        <v/>
      </c>
      <c r="T36" s="1" t="str">
        <f>IF(OR(DATE($J36, T$12, 1) &lt; 'Evaluation Set-up'!$D$9, DATE($J36, T$12, 1) &gt;= 'Evaluation Set-up'!$E$9), "", "Before")</f>
        <v/>
      </c>
      <c r="U36" s="1" t="str">
        <f>IF(OR(DATE($J36, U$12, 1) &lt; 'Evaluation Set-up'!$D$9, DATE($J36, U$12, 1) &gt;= 'Evaluation Set-up'!$E$9), "", "Before")</f>
        <v/>
      </c>
      <c r="V36" s="1" t="str">
        <f>IF(OR(DATE($J36, V$12, 1) &lt; 'Evaluation Set-up'!$D$9, DATE($J36, V$12, 1) &gt;= 'Evaluation Set-up'!$E$9), "", "Before")</f>
        <v/>
      </c>
      <c r="W36" s="70" t="str">
        <f>IF(OR(DATE($J36, W$12, 1) &lt; 'Evaluation Set-up'!$D$9, DATE($J36, W$12, 1) &gt;= 'Evaluation Set-up'!$E$9), "", "Before")</f>
        <v/>
      </c>
      <c r="X36" s="1"/>
      <c r="Y36" s="49">
        <v>2033</v>
      </c>
      <c r="Z36" s="65" t="n">
        <f t="shared" si="1"/>
        <v>0</v>
      </c>
      <c r="AA36" s="1" t="str">
        <f>IF(OR(DATE($Y36, L$12, 1) &lt; 'Evaluation Set-up'!$D$11, DATE($Y36, L$12, 1) &gt;= 'Evaluation Set-up'!$E$11), "", "After")</f>
        <v/>
      </c>
      <c r="AB36" s="1" t="str">
        <f>IF(OR(DATE($Y36, M$12, 1) &lt; 'Evaluation Set-up'!$D$11, DATE($Y36, M$12, 1) &gt;= 'Evaluation Set-up'!$E$11), "", "After")</f>
        <v/>
      </c>
      <c r="AC36" s="1" t="str">
        <f>IF(OR(DATE($Y36, N$12, 1) &lt; 'Evaluation Set-up'!$D$11, DATE($Y36, N$12, 1) &gt;= 'Evaluation Set-up'!$E$11), "", "After")</f>
        <v/>
      </c>
      <c r="AD36" s="1" t="str">
        <f>IF(OR(DATE($Y36, O$12, 1) &lt; 'Evaluation Set-up'!$D$11, DATE($Y36, O$12, 1) &gt;= 'Evaluation Set-up'!$E$11), "", "After")</f>
        <v/>
      </c>
      <c r="AE36" s="1" t="str">
        <f>IF(OR(DATE($Y36, P$12, 1) &lt; 'Evaluation Set-up'!$D$11, DATE($Y36, P$12, 1) &gt;= 'Evaluation Set-up'!$E$11), "", "After")</f>
        <v/>
      </c>
      <c r="AF36" s="1" t="str">
        <f>IF(OR(DATE($Y36, Q$12, 1) &lt; 'Evaluation Set-up'!$D$11, DATE($Y36, Q$12, 1) &gt;= 'Evaluation Set-up'!$E$11), "", "After")</f>
        <v/>
      </c>
      <c r="AG36" s="1" t="str">
        <f>IF(OR(DATE($Y36, R$12, 1) &lt; 'Evaluation Set-up'!$D$11, DATE($Y36, R$12, 1) &gt;= 'Evaluation Set-up'!$E$11), "", "After")</f>
        <v/>
      </c>
      <c r="AH36" s="1" t="str">
        <f>IF(OR(DATE($Y36, S$12, 1) &lt; 'Evaluation Set-up'!$D$11, DATE($Y36, S$12, 1) &gt;= 'Evaluation Set-up'!$E$11), "", "After")</f>
        <v/>
      </c>
      <c r="AI36" s="1" t="str">
        <f>IF(OR(DATE($Y36, T$12, 1) &lt; 'Evaluation Set-up'!$D$11, DATE($Y36, T$12, 1) &gt;= 'Evaluation Set-up'!$E$11), "", "After")</f>
        <v/>
      </c>
      <c r="AJ36" s="1" t="str">
        <f>IF(OR(DATE($Y36, U$12, 1) &lt; 'Evaluation Set-up'!$D$11, DATE($Y36, U$12, 1) &gt;= 'Evaluation Set-up'!$E$11), "", "After")</f>
        <v/>
      </c>
      <c r="AK36" s="1" t="str">
        <f>IF(OR(DATE($Y36, V$12, 1) &lt; 'Evaluation Set-up'!$D$11, DATE($Y36, V$12, 1) &gt;= 'Evaluation Set-up'!$E$11), "", "After")</f>
        <v/>
      </c>
      <c r="AL36" s="70" t="str">
        <f>IF(OR(DATE($Y36, W$12, 1) &lt; 'Evaluation Set-up'!$D$11, DATE($Y36, W$12, 1) &gt;= 'Evaluation Set-up'!$E$11), "", "After")</f>
        <v/>
      </c>
    </row>
    <row r="37" spans="2:44" ht="14.7" thickBot="1">
      <c r="B37" s="59">
        <v>2034</v>
      </c>
      <c r="C37" s="53" t="n">
        <f>COUNTIF(Before!$Q:$Q,B37) + COUNTIF(After!$Q:$Q,B37)</f>
        <v>0</v>
      </c>
      <c r="D37" s="54" t="n">
        <f>COUNTIFS(Before!$C:$C,"&gt;=23",Before!$C:$C,"&lt;=27", Before!$Q:$Q,B37)+COUNTIFS(Before!$C:$C,"30", Before!$Q:$Q,B37) + COUNTIFS(After!$C:$C,"&gt;=23",After!$C:$C,"&lt;=27", After!$Q:$Q,B37)+COUNTIFS(After!$C:$C,"30", After!$Q:$Q,B37)</f>
        <v>0</v>
      </c>
      <c r="E37" s="54" t="n">
        <f>COUNTIFS(Before!$C:$C,"&gt;=21",Before!$C:$C,"&lt;=22", Before!$Q:$Q,B37) + COUNTIFS(After!$C:$C,"&gt;=21",After!$C:$C,"&lt;=22", After!$Q:$Q,B37)</f>
        <v>0</v>
      </c>
      <c r="F37" s="55" t="n">
        <f>COUNTIFS(Before!$Q:$Q,$B37, Before!$G:$G, "K") + COUNTIFS(Before!$Q:$Q,$B37, Before!$G:$G, "A") + COUNTIFS(Before!$Q:$Q,$B37, Before!$G:$G, "B") + COUNTIFS(Before!$Q:$Q,$B37, Before!$G:$G, "C")
+ COUNTIFS(After!$Q:$Q,$B37, After!$G:$G, "K") + COUNTIFS(After!$Q:$Q,$B37, After!$G:$G, "A") + COUNTIFS(After!$Q:$Q,$B37, After!$G:$G, "B") + COUNTIFS(After!$Q:$Q,$B37, After!$G:$G, "C")</f>
        <v>0</v>
      </c>
      <c r="G37" s="87" t="str">
        <f>VLOOKUP($B37, 'Evaluation Set-up'!$K$11:$R$35, 4, FALSE)</f>
        <v/>
      </c>
      <c r="H37" s="88" t="str">
        <f>VLOOKUP($B37, 'Evaluation Set-up'!$K$11:$R$35, 7, FALSE)</f>
        <v/>
      </c>
      <c r="J37" s="66">
        <v>2034</v>
      </c>
      <c r="K37" s="67" t="n">
        <f t="shared" si="0"/>
        <v>0</v>
      </c>
      <c r="L37" s="10" t="str">
        <f>IF(OR(DATE($J37, L$12, 1) &lt; 'Evaluation Set-up'!$D$9, DATE($J37, L$12, 1) &gt;= 'Evaluation Set-up'!$E$9), "", "Before")</f>
        <v/>
      </c>
      <c r="M37" s="10" t="str">
        <f>IF(OR(DATE($J37, M$12, 1) &lt; 'Evaluation Set-up'!$D$9, DATE($J37, M$12, 1) &gt;= 'Evaluation Set-up'!$E$9), "", "Before")</f>
        <v/>
      </c>
      <c r="N37" s="10" t="str">
        <f>IF(OR(DATE($J37, N$12, 1) &lt; 'Evaluation Set-up'!$D$9, DATE($J37, N$12, 1) &gt;= 'Evaluation Set-up'!$E$9), "", "Before")</f>
        <v/>
      </c>
      <c r="O37" s="10" t="str">
        <f>IF(OR(DATE($J37, O$12, 1) &lt; 'Evaluation Set-up'!$D$9, DATE($J37, O$12, 1) &gt;= 'Evaluation Set-up'!$E$9), "", "Before")</f>
        <v/>
      </c>
      <c r="P37" s="10" t="str">
        <f>IF(OR(DATE($J37, P$12, 1) &lt; 'Evaluation Set-up'!$D$9, DATE($J37, P$12, 1) &gt;= 'Evaluation Set-up'!$E$9), "", "Before")</f>
        <v/>
      </c>
      <c r="Q37" s="10" t="str">
        <f>IF(OR(DATE($J37, Q$12, 1) &lt; 'Evaluation Set-up'!$D$9, DATE($J37, Q$12, 1) &gt;= 'Evaluation Set-up'!$E$9), "", "Before")</f>
        <v/>
      </c>
      <c r="R37" s="10" t="str">
        <f>IF(OR(DATE($J37, R$12, 1) &lt; 'Evaluation Set-up'!$D$9, DATE($J37, R$12, 1) &gt;= 'Evaluation Set-up'!$E$9), "", "Before")</f>
        <v/>
      </c>
      <c r="S37" s="10" t="str">
        <f>IF(OR(DATE($J37, S$12, 1) &lt; 'Evaluation Set-up'!$D$9, DATE($J37, S$12, 1) &gt;= 'Evaluation Set-up'!$E$9), "", "Before")</f>
        <v/>
      </c>
      <c r="T37" s="10" t="str">
        <f>IF(OR(DATE($J37, T$12, 1) &lt; 'Evaluation Set-up'!$D$9, DATE($J37, T$12, 1) &gt;= 'Evaluation Set-up'!$E$9), "", "Before")</f>
        <v/>
      </c>
      <c r="U37" s="10" t="str">
        <f>IF(OR(DATE($J37, U$12, 1) &lt; 'Evaluation Set-up'!$D$9, DATE($J37, U$12, 1) &gt;= 'Evaluation Set-up'!$E$9), "", "Before")</f>
        <v/>
      </c>
      <c r="V37" s="10" t="str">
        <f>IF(OR(DATE($J37, V$12, 1) &lt; 'Evaluation Set-up'!$D$9, DATE($J37, V$12, 1) &gt;= 'Evaluation Set-up'!$E$9), "", "Before")</f>
        <v/>
      </c>
      <c r="W37" s="71" t="str">
        <f>IF(OR(DATE($J37, W$12, 1) &lt; 'Evaluation Set-up'!$D$9, DATE($J37, W$12, 1) &gt;= 'Evaluation Set-up'!$E$9), "", "Before")</f>
        <v/>
      </c>
      <c r="X37" s="1"/>
      <c r="Y37" s="66">
        <v>2034</v>
      </c>
      <c r="Z37" s="67" t="n">
        <f t="shared" si="1"/>
        <v>0</v>
      </c>
      <c r="AA37" s="10" t="str">
        <f>IF(OR(DATE($Y37, L$12, 1) &lt; 'Evaluation Set-up'!$D$11, DATE($Y37, L$12, 1) &gt;= 'Evaluation Set-up'!$E$11), "", "After")</f>
        <v/>
      </c>
      <c r="AB37" s="10" t="str">
        <f>IF(OR(DATE($Y37, M$12, 1) &lt; 'Evaluation Set-up'!$D$11, DATE($Y37, M$12, 1) &gt;= 'Evaluation Set-up'!$E$11), "", "After")</f>
        <v/>
      </c>
      <c r="AC37" s="10" t="str">
        <f>IF(OR(DATE($Y37, N$12, 1) &lt; 'Evaluation Set-up'!$D$11, DATE($Y37, N$12, 1) &gt;= 'Evaluation Set-up'!$E$11), "", "After")</f>
        <v/>
      </c>
      <c r="AD37" s="10" t="str">
        <f>IF(OR(DATE($Y37, O$12, 1) &lt; 'Evaluation Set-up'!$D$11, DATE($Y37, O$12, 1) &gt;= 'Evaluation Set-up'!$E$11), "", "After")</f>
        <v/>
      </c>
      <c r="AE37" s="10" t="str">
        <f>IF(OR(DATE($Y37, P$12, 1) &lt; 'Evaluation Set-up'!$D$11, DATE($Y37, P$12, 1) &gt;= 'Evaluation Set-up'!$E$11), "", "After")</f>
        <v/>
      </c>
      <c r="AF37" s="10" t="str">
        <f>IF(OR(DATE($Y37, Q$12, 1) &lt; 'Evaluation Set-up'!$D$11, DATE($Y37, Q$12, 1) &gt;= 'Evaluation Set-up'!$E$11), "", "After")</f>
        <v/>
      </c>
      <c r="AG37" s="10" t="str">
        <f>IF(OR(DATE($Y37, R$12, 1) &lt; 'Evaluation Set-up'!$D$11, DATE($Y37, R$12, 1) &gt;= 'Evaluation Set-up'!$E$11), "", "After")</f>
        <v/>
      </c>
      <c r="AH37" s="10" t="str">
        <f>IF(OR(DATE($Y37, S$12, 1) &lt; 'Evaluation Set-up'!$D$11, DATE($Y37, S$12, 1) &gt;= 'Evaluation Set-up'!$E$11), "", "After")</f>
        <v/>
      </c>
      <c r="AI37" s="10" t="str">
        <f>IF(OR(DATE($Y37, T$12, 1) &lt; 'Evaluation Set-up'!$D$11, DATE($Y37, T$12, 1) &gt;= 'Evaluation Set-up'!$E$11), "", "After")</f>
        <v/>
      </c>
      <c r="AJ37" s="10" t="str">
        <f>IF(OR(DATE($Y37, U$12, 1) &lt; 'Evaluation Set-up'!$D$11, DATE($Y37, U$12, 1) &gt;= 'Evaluation Set-up'!$E$11), "", "After")</f>
        <v/>
      </c>
      <c r="AK37" s="10" t="str">
        <f>IF(OR(DATE($Y37, V$12, 1) &lt; 'Evaluation Set-up'!$D$11, DATE($Y37, V$12, 1) &gt;= 'Evaluation Set-up'!$E$11), "", "After")</f>
        <v/>
      </c>
      <c r="AL37" s="71" t="str">
        <f>IF(OR(DATE($Y37, W$12, 1) &lt; 'Evaluation Set-up'!$D$11, DATE($Y37, W$12, 1) &gt;= 'Evaluation Set-up'!$E$11), "", "After")</f>
        <v/>
      </c>
    </row>
    <row r="38" spans="2:44">
      <c r="K38" s="1"/>
    </row>
    <row r="39" spans="2:44">
      <c r="G39" s="5" t="s">
        <v>187</v>
      </c>
      <c r="H39" s="103" t="s">
        <v>446</v>
      </c>
      <c r="K39" s="1"/>
    </row>
    <row r="40" spans="2:44">
      <c r="G40" t="s">
        <v>447</v>
      </c>
      <c r="H40" s="1">
        <v>1</v>
      </c>
    </row>
    <row r="41" spans="2:44" s="47" customFormat="1">
      <c r="G41" t="s">
        <v>448</v>
      </c>
      <c r="H41" s="1">
        <v>1</v>
      </c>
      <c r="I41" s="46"/>
    </row>
    <row r="42" spans="2:44">
      <c r="G42" t="s">
        <v>449</v>
      </c>
      <c r="H42" s="1">
        <v>1</v>
      </c>
    </row>
    <row r="43" spans="2:44">
      <c r="B43" s="89" t="s">
        <v>237</v>
      </c>
      <c r="C43" s="47"/>
      <c r="D43" s="90" t="s">
        <v>238</v>
      </c>
      <c r="G43" t="s">
        <v>450</v>
      </c>
      <c r="H43" s="1">
        <v>1</v>
      </c>
    </row>
    <row r="44" spans="2:44">
      <c r="B44" s="1" t="s">
        <v>220</v>
      </c>
      <c r="D44" t="s">
        <v>208</v>
      </c>
      <c r="G44" t="s">
        <v>451</v>
      </c>
      <c r="H44" s="1">
        <v>1</v>
      </c>
    </row>
    <row r="45" spans="2:44">
      <c r="B45" s="1" t="s">
        <v>221</v>
      </c>
      <c r="D45" t="s">
        <v>76</v>
      </c>
      <c r="G45" t="s">
        <v>452</v>
      </c>
      <c r="H45" s="1">
        <v>1</v>
      </c>
    </row>
    <row r="46" spans="2:44" s="47" customFormat="1">
      <c r="B46" s="1" t="s">
        <v>222</v>
      </c>
      <c r="C46"/>
      <c r="D46" t="s">
        <v>80</v>
      </c>
      <c r="G46" t="s">
        <v>453</v>
      </c>
      <c r="H46" s="1">
        <v>1</v>
      </c>
      <c r="I46" s="46"/>
    </row>
    <row r="47" spans="2:44">
      <c r="B47" s="1" t="s">
        <v>223</v>
      </c>
      <c r="D47" t="s">
        <v>209</v>
      </c>
      <c r="G47" t="s">
        <v>454</v>
      </c>
      <c r="H47" s="1">
        <v>1</v>
      </c>
      <c r="Y47" s="1"/>
      <c r="Z47" s="1"/>
      <c r="AA47" s="1"/>
      <c r="AB47" s="1"/>
      <c r="AC47" s="1"/>
      <c r="AD47" s="1"/>
      <c r="AE47" s="1"/>
      <c r="AF47" s="1"/>
      <c r="AG47" s="1"/>
      <c r="AH47" s="1"/>
      <c r="AI47" s="1"/>
      <c r="AJ47" s="1"/>
      <c r="AK47" s="1"/>
      <c r="AL47" s="1"/>
      <c r="AM47" s="1"/>
      <c r="AN47" s="1"/>
      <c r="AO47" s="1"/>
      <c r="AP47" s="1"/>
      <c r="AQ47" s="1"/>
      <c r="AR47" s="1"/>
    </row>
    <row r="48" spans="2:44">
      <c r="B48" s="1" t="s">
        <v>224</v>
      </c>
      <c r="D48" t="s">
        <v>210</v>
      </c>
      <c r="G48" t="s">
        <v>455</v>
      </c>
      <c r="H48" s="1">
        <v>1</v>
      </c>
      <c r="Y48" s="46"/>
      <c r="Z48" s="46"/>
      <c r="AA48" s="46"/>
      <c r="AB48" s="46"/>
      <c r="AC48" s="46"/>
      <c r="AD48" s="46"/>
      <c r="AE48" s="46"/>
      <c r="AF48" s="46"/>
      <c r="AG48" s="46"/>
      <c r="AH48" s="46"/>
      <c r="AI48" s="46"/>
      <c r="AJ48" s="46"/>
      <c r="AK48" s="46"/>
      <c r="AL48" s="46"/>
      <c r="AM48" s="46"/>
      <c r="AN48" s="46"/>
      <c r="AO48" s="46"/>
      <c r="AP48" s="46"/>
      <c r="AQ48" s="46"/>
      <c r="AR48" s="46"/>
    </row>
    <row r="49" spans="1:44">
      <c r="B49" s="1" t="s">
        <v>225</v>
      </c>
      <c r="D49" t="s">
        <v>211</v>
      </c>
      <c r="G49" t="s">
        <v>456</v>
      </c>
      <c r="H49" s="1">
        <v>1</v>
      </c>
      <c r="Y49" s="1"/>
      <c r="Z49" s="1"/>
      <c r="AA49" s="1"/>
      <c r="AB49" s="1"/>
      <c r="AC49" s="1"/>
      <c r="AD49" s="1"/>
      <c r="AE49" s="1"/>
      <c r="AF49" s="1"/>
      <c r="AG49" s="1"/>
      <c r="AH49" s="1"/>
      <c r="AI49" s="1"/>
      <c r="AJ49" s="1"/>
      <c r="AK49" s="1"/>
      <c r="AL49" s="1"/>
      <c r="AM49" s="1"/>
      <c r="AN49" s="1"/>
      <c r="AO49" s="1"/>
      <c r="AP49" s="1"/>
      <c r="AQ49" s="1"/>
      <c r="AR49" s="1"/>
    </row>
    <row r="50" spans="1:44">
      <c r="B50" s="1" t="s">
        <v>226</v>
      </c>
      <c r="D50" t="s">
        <v>212</v>
      </c>
      <c r="G50" t="s">
        <v>457</v>
      </c>
      <c r="H50" s="1">
        <v>1</v>
      </c>
      <c r="Y50" s="1"/>
      <c r="Z50" s="1"/>
      <c r="AA50" s="1"/>
      <c r="AB50" s="1"/>
      <c r="AC50" s="1"/>
      <c r="AD50" s="1"/>
      <c r="AE50" s="1"/>
      <c r="AF50" s="1"/>
      <c r="AG50" s="1"/>
      <c r="AH50" s="1"/>
      <c r="AI50" s="1"/>
      <c r="AJ50" s="1"/>
      <c r="AK50" s="1"/>
      <c r="AL50" s="1"/>
      <c r="AM50" s="1"/>
      <c r="AN50" s="1"/>
      <c r="AO50" s="1"/>
      <c r="AP50" s="1"/>
      <c r="AQ50" s="1"/>
      <c r="AR50" s="1"/>
    </row>
    <row r="51" spans="1:44">
      <c r="B51" s="1" t="s">
        <v>227</v>
      </c>
      <c r="D51" t="s">
        <v>213</v>
      </c>
      <c r="G51" t="s">
        <v>458</v>
      </c>
      <c r="H51" s="1">
        <v>1</v>
      </c>
      <c r="Y51" s="1"/>
      <c r="Z51" s="1"/>
      <c r="AA51" s="1"/>
      <c r="AB51" s="1"/>
      <c r="AC51" s="1"/>
      <c r="AD51" s="1"/>
      <c r="AE51" s="1"/>
      <c r="AF51" s="1"/>
      <c r="AG51" s="1"/>
      <c r="AH51" s="1"/>
      <c r="AI51" s="1"/>
      <c r="AJ51" s="1"/>
      <c r="AK51" s="1"/>
      <c r="AL51" s="1"/>
      <c r="AM51" s="1"/>
      <c r="AN51" s="1"/>
      <c r="AO51" s="1"/>
      <c r="AP51" s="1"/>
      <c r="AQ51" s="1"/>
      <c r="AR51" s="1"/>
    </row>
    <row r="52" spans="1:44">
      <c r="B52" s="1" t="s">
        <v>228</v>
      </c>
      <c r="D52" t="s">
        <v>214</v>
      </c>
      <c r="G52" t="s">
        <v>459</v>
      </c>
      <c r="H52" s="1">
        <v>1</v>
      </c>
      <c r="Y52" s="1"/>
      <c r="Z52" s="1"/>
      <c r="AA52" s="1"/>
      <c r="AB52" s="1"/>
      <c r="AC52" s="1"/>
      <c r="AD52" s="1"/>
      <c r="AE52" s="1"/>
      <c r="AF52" s="1"/>
      <c r="AG52" s="1"/>
      <c r="AH52" s="1"/>
      <c r="AI52" s="1"/>
      <c r="AJ52" s="1"/>
      <c r="AK52" s="1"/>
      <c r="AL52" s="1"/>
      <c r="AM52" s="1"/>
      <c r="AN52" s="1"/>
      <c r="AO52" s="1"/>
      <c r="AP52" s="1"/>
      <c r="AQ52" s="1"/>
      <c r="AR52" s="1"/>
    </row>
    <row r="53" spans="1:44">
      <c r="B53" s="1" t="s">
        <v>229</v>
      </c>
      <c r="D53" t="s">
        <v>215</v>
      </c>
      <c r="G53" t="s">
        <v>460</v>
      </c>
      <c r="H53" s="1">
        <v>1</v>
      </c>
      <c r="Y53" s="1"/>
      <c r="Z53" s="1"/>
      <c r="AA53" s="1"/>
      <c r="AB53" s="1"/>
      <c r="AC53" s="1"/>
      <c r="AD53" s="1"/>
      <c r="AE53" s="1"/>
      <c r="AF53" s="1"/>
      <c r="AG53" s="1"/>
      <c r="AH53" s="1"/>
      <c r="AI53" s="1"/>
      <c r="AJ53" s="1"/>
      <c r="AK53" s="1"/>
      <c r="AL53" s="1"/>
      <c r="AM53" s="1"/>
      <c r="AN53" s="1"/>
      <c r="AO53" s="1"/>
      <c r="AP53" s="1"/>
      <c r="AQ53" s="1"/>
      <c r="AR53" s="1"/>
    </row>
    <row r="54" spans="1:44">
      <c r="D54" t="s">
        <v>89</v>
      </c>
      <c r="G54" t="s">
        <v>461</v>
      </c>
      <c r="H54" s="1">
        <v>2</v>
      </c>
      <c r="Y54" s="1"/>
      <c r="Z54" s="1"/>
      <c r="AA54" s="1"/>
      <c r="AB54" s="1"/>
      <c r="AC54" s="1"/>
      <c r="AD54" s="1"/>
      <c r="AE54" s="1"/>
      <c r="AF54" s="1"/>
      <c r="AG54" s="1"/>
      <c r="AH54" s="1"/>
      <c r="AI54" s="1"/>
      <c r="AJ54" s="1"/>
      <c r="AK54" s="1"/>
      <c r="AL54" s="1"/>
      <c r="AM54" s="1"/>
      <c r="AN54" s="1"/>
      <c r="AO54" s="1"/>
      <c r="AP54" s="1"/>
      <c r="AQ54" s="1"/>
      <c r="AR54" s="1"/>
    </row>
    <row r="55" spans="1:44">
      <c r="D55" t="s">
        <v>216</v>
      </c>
      <c r="G55" t="s">
        <v>462</v>
      </c>
      <c r="H55" s="1">
        <v>2</v>
      </c>
      <c r="Y55" s="1"/>
      <c r="Z55" s="1"/>
      <c r="AA55" s="1"/>
      <c r="AB55" s="1"/>
      <c r="AC55" s="1"/>
      <c r="AD55" s="1"/>
      <c r="AE55" s="1"/>
      <c r="AF55" s="1"/>
      <c r="AG55" s="1"/>
      <c r="AH55" s="1"/>
      <c r="AI55" s="1"/>
      <c r="AJ55" s="1"/>
      <c r="AK55" s="1"/>
      <c r="AL55" s="1"/>
      <c r="AM55" s="1"/>
      <c r="AN55" s="1"/>
      <c r="AO55" s="1"/>
      <c r="AP55" s="1"/>
      <c r="AQ55" s="1"/>
      <c r="AR55" s="1"/>
    </row>
    <row r="56" spans="1:44">
      <c r="D56" t="s">
        <v>217</v>
      </c>
      <c r="G56" t="s">
        <v>463</v>
      </c>
      <c r="H56" s="1">
        <v>2</v>
      </c>
      <c r="Y56" s="1"/>
      <c r="Z56" s="1"/>
      <c r="AA56" s="1"/>
      <c r="AB56" s="1"/>
      <c r="AC56" s="1"/>
      <c r="AD56" s="1"/>
      <c r="AE56" s="1"/>
      <c r="AF56" s="1"/>
      <c r="AG56" s="1"/>
      <c r="AH56" s="1"/>
      <c r="AI56" s="1"/>
      <c r="AJ56" s="1"/>
      <c r="AK56" s="1"/>
      <c r="AL56" s="1"/>
      <c r="AM56" s="1"/>
      <c r="AN56" s="1"/>
      <c r="AO56" s="1"/>
      <c r="AP56" s="1"/>
      <c r="AQ56" s="1"/>
      <c r="AR56" s="1"/>
    </row>
    <row r="57" spans="1:44">
      <c r="D57" t="s">
        <v>218</v>
      </c>
      <c r="G57" t="s">
        <v>464</v>
      </c>
      <c r="H57" s="1">
        <v>2</v>
      </c>
      <c r="Y57" s="1"/>
      <c r="Z57" s="1"/>
      <c r="AA57" s="1"/>
      <c r="AB57" s="1"/>
      <c r="AC57" s="1"/>
      <c r="AD57" s="1"/>
      <c r="AE57" s="1"/>
      <c r="AF57" s="1"/>
      <c r="AG57" s="1"/>
      <c r="AH57" s="1"/>
      <c r="AI57" s="1"/>
      <c r="AJ57" s="1"/>
      <c r="AK57" s="1"/>
      <c r="AL57" s="1"/>
      <c r="AM57" s="1"/>
      <c r="AN57" s="1"/>
      <c r="AO57" s="1"/>
      <c r="AP57" s="1"/>
      <c r="AQ57" s="1"/>
      <c r="AR57" s="1"/>
    </row>
    <row r="58" spans="1:44">
      <c r="D58" s="47" t="s">
        <v>174</v>
      </c>
      <c r="G58" t="s">
        <v>465</v>
      </c>
      <c r="H58" s="1">
        <v>2</v>
      </c>
      <c r="Y58" s="1"/>
      <c r="Z58" s="1"/>
      <c r="AA58" s="1"/>
      <c r="AB58" s="1"/>
      <c r="AC58" s="1"/>
      <c r="AD58" s="1"/>
      <c r="AE58" s="1"/>
      <c r="AF58" s="1"/>
      <c r="AG58" s="1"/>
      <c r="AH58" s="1"/>
      <c r="AI58" s="1"/>
      <c r="AJ58" s="1"/>
      <c r="AK58" s="1"/>
      <c r="AL58" s="1"/>
      <c r="AM58" s="1"/>
      <c r="AN58" s="1"/>
      <c r="AO58" s="1"/>
      <c r="AP58" s="1"/>
      <c r="AQ58" s="1"/>
      <c r="AR58" s="1"/>
    </row>
    <row r="59" spans="1:44">
      <c r="A59" s="47"/>
      <c r="B59" s="47"/>
      <c r="C59" s="47"/>
      <c r="D59" t="s">
        <v>100</v>
      </c>
      <c r="G59" t="s">
        <v>466</v>
      </c>
      <c r="H59" s="1">
        <v>2</v>
      </c>
      <c r="Y59" s="1"/>
      <c r="Z59" s="1"/>
      <c r="AA59" s="1"/>
      <c r="AB59" s="1"/>
      <c r="AC59" s="1"/>
      <c r="AD59" s="1"/>
      <c r="AE59" s="1"/>
      <c r="AF59" s="1"/>
      <c r="AG59" s="1"/>
      <c r="AH59" s="1"/>
      <c r="AI59" s="1"/>
      <c r="AJ59" s="1"/>
      <c r="AK59" s="1"/>
      <c r="AL59" s="1"/>
      <c r="AM59" s="1"/>
      <c r="AN59" s="1"/>
      <c r="AO59" s="1"/>
      <c r="AP59" s="1"/>
      <c r="AQ59" s="1"/>
      <c r="AR59" s="1"/>
    </row>
    <row r="60" spans="1:44">
      <c r="D60" t="s">
        <v>219</v>
      </c>
      <c r="G60" t="s">
        <v>467</v>
      </c>
      <c r="H60" s="1">
        <v>2</v>
      </c>
      <c r="Y60" s="1"/>
      <c r="Z60" s="1"/>
      <c r="AA60" s="1"/>
      <c r="AB60" s="1"/>
      <c r="AC60" s="1"/>
      <c r="AD60" s="1"/>
      <c r="AE60" s="1"/>
      <c r="AF60" s="1"/>
      <c r="AG60" s="1"/>
      <c r="AH60" s="1"/>
      <c r="AI60" s="1"/>
      <c r="AJ60" s="1"/>
      <c r="AK60" s="1"/>
      <c r="AL60" s="1"/>
      <c r="AM60" s="1"/>
      <c r="AN60" s="1"/>
      <c r="AO60" s="1"/>
      <c r="AP60" s="1"/>
      <c r="AQ60" s="1"/>
      <c r="AR60" s="1"/>
    </row>
    <row r="61" spans="1:44">
      <c r="G61" t="s">
        <v>468</v>
      </c>
      <c r="H61" s="1">
        <v>2</v>
      </c>
      <c r="Y61" s="1"/>
      <c r="Z61" s="1"/>
      <c r="AA61" s="1"/>
      <c r="AB61" s="1"/>
      <c r="AC61" s="1"/>
      <c r="AD61" s="1"/>
      <c r="AE61" s="1"/>
      <c r="AF61" s="1"/>
      <c r="AG61" s="1"/>
      <c r="AH61" s="1"/>
      <c r="AI61" s="1"/>
      <c r="AJ61" s="1"/>
      <c r="AK61" s="1"/>
      <c r="AL61" s="1"/>
      <c r="AM61" s="1"/>
      <c r="AN61" s="1"/>
      <c r="AO61" s="1"/>
      <c r="AP61" s="1"/>
      <c r="AQ61" s="1"/>
      <c r="AR61" s="1"/>
    </row>
    <row r="62" spans="1:44">
      <c r="G62" t="s">
        <v>469</v>
      </c>
      <c r="H62" s="1">
        <v>3</v>
      </c>
    </row>
    <row r="63" spans="1:44">
      <c r="G63" t="s">
        <v>470</v>
      </c>
      <c r="H63" s="1">
        <v>3</v>
      </c>
    </row>
    <row r="64" spans="1:44">
      <c r="G64" t="s">
        <v>471</v>
      </c>
      <c r="H64" s="1">
        <v>3</v>
      </c>
      <c r="Y64" s="1"/>
      <c r="Z64" s="1"/>
      <c r="AA64" s="1"/>
      <c r="AB64" s="1"/>
      <c r="AC64" s="1"/>
      <c r="AD64" s="1"/>
      <c r="AE64" s="1"/>
      <c r="AF64" s="1"/>
      <c r="AG64" s="1"/>
      <c r="AH64" s="1"/>
      <c r="AI64" s="1"/>
      <c r="AJ64" s="1"/>
      <c r="AK64" s="1"/>
      <c r="AL64" s="1"/>
      <c r="AM64" s="1"/>
      <c r="AN64" s="1"/>
      <c r="AO64" s="1"/>
      <c r="AP64" s="1"/>
      <c r="AQ64" s="1"/>
      <c r="AR64" s="1"/>
    </row>
    <row r="65" spans="7:44">
      <c r="G65" t="s">
        <v>472</v>
      </c>
      <c r="H65" s="1">
        <v>3</v>
      </c>
      <c r="Y65" s="1"/>
      <c r="Z65" s="1"/>
      <c r="AA65" s="1"/>
      <c r="AB65" s="1"/>
      <c r="AC65" s="1"/>
      <c r="AD65" s="1"/>
      <c r="AE65" s="1"/>
      <c r="AF65" s="1"/>
      <c r="AG65" s="1"/>
      <c r="AH65" s="1"/>
      <c r="AI65" s="1"/>
      <c r="AJ65" s="1"/>
      <c r="AK65" s="1"/>
      <c r="AL65" s="1"/>
      <c r="AM65" s="1"/>
      <c r="AN65" s="1"/>
      <c r="AO65" s="1"/>
      <c r="AP65" s="1"/>
      <c r="AQ65" s="1"/>
      <c r="AR65" s="1"/>
    </row>
    <row r="66" spans="7:44">
      <c r="G66" t="s">
        <v>473</v>
      </c>
      <c r="H66" s="1">
        <v>3</v>
      </c>
      <c r="Y66" s="46"/>
      <c r="Z66" s="46"/>
      <c r="AA66" s="46"/>
      <c r="AB66" s="46"/>
      <c r="AC66" s="46"/>
      <c r="AD66" s="46"/>
      <c r="AE66" s="46"/>
      <c r="AF66" s="46"/>
      <c r="AG66" s="46"/>
      <c r="AH66" s="46"/>
      <c r="AI66" s="46"/>
      <c r="AJ66" s="46"/>
      <c r="AK66" s="46"/>
      <c r="AL66" s="46"/>
      <c r="AM66" s="46"/>
      <c r="AN66" s="46"/>
      <c r="AO66" s="46"/>
      <c r="AP66" s="46"/>
      <c r="AQ66" s="46"/>
      <c r="AR66" s="46"/>
    </row>
    <row r="67" spans="7:44">
      <c r="G67" t="s">
        <v>474</v>
      </c>
      <c r="H67" s="1">
        <v>3</v>
      </c>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7:44">
      <c r="G68" t="s">
        <v>475</v>
      </c>
      <c r="H68" s="1">
        <v>4</v>
      </c>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7:44">
      <c r="G69" t="s">
        <v>476</v>
      </c>
      <c r="H69" s="1">
        <v>4</v>
      </c>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7:44">
      <c r="G70" t="s">
        <v>477</v>
      </c>
      <c r="H70" s="1">
        <v>4</v>
      </c>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7:44">
      <c r="G71" t="s">
        <v>478</v>
      </c>
      <c r="H71" s="1">
        <v>4</v>
      </c>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7:44">
      <c r="G72" t="s">
        <v>479</v>
      </c>
      <c r="H72" s="1">
        <v>4</v>
      </c>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7:44">
      <c r="G73" t="s">
        <v>480</v>
      </c>
      <c r="H73" s="1">
        <v>4</v>
      </c>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7:44">
      <c r="G74" t="s">
        <v>481</v>
      </c>
      <c r="H74" s="1">
        <v>5</v>
      </c>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7:44">
      <c r="G75" t="s">
        <v>482</v>
      </c>
      <c r="H75" s="1">
        <v>5</v>
      </c>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7:44">
      <c r="G76" t="s">
        <v>483</v>
      </c>
      <c r="H76" s="1">
        <v>5</v>
      </c>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7:44">
      <c r="G77" t="s">
        <v>484</v>
      </c>
      <c r="H77" s="1">
        <v>5</v>
      </c>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7:44">
      <c r="G78" t="s">
        <v>485</v>
      </c>
      <c r="H78" s="1">
        <v>5</v>
      </c>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7:44">
      <c r="G79" t="s">
        <v>486</v>
      </c>
      <c r="H79" s="1">
        <v>5</v>
      </c>
    </row>
    <row r="80" spans="7:44">
      <c r="G80" t="s">
        <v>487</v>
      </c>
      <c r="H80" s="1">
        <v>5</v>
      </c>
    </row>
    <row r="81" spans="7:8">
      <c r="G81" t="s">
        <v>488</v>
      </c>
      <c r="H81" s="1">
        <v>6</v>
      </c>
    </row>
    <row r="82" spans="7:8">
      <c r="G82" t="s">
        <v>489</v>
      </c>
      <c r="H82" s="1">
        <v>6</v>
      </c>
    </row>
    <row r="83" spans="7:8">
      <c r="G83" t="s">
        <v>490</v>
      </c>
      <c r="H83" s="1">
        <v>6</v>
      </c>
    </row>
    <row r="84" spans="7:8">
      <c r="G84" t="s">
        <v>491</v>
      </c>
      <c r="H84" s="1">
        <v>6</v>
      </c>
    </row>
    <row r="85" spans="7:8">
      <c r="G85" t="s">
        <v>327</v>
      </c>
      <c r="H85" s="1">
        <v>6</v>
      </c>
    </row>
    <row r="86" spans="7:8">
      <c r="G86" t="s">
        <v>492</v>
      </c>
      <c r="H86" s="1">
        <v>7</v>
      </c>
    </row>
    <row r="87" spans="7:8">
      <c r="G87" t="s">
        <v>493</v>
      </c>
      <c r="H87" s="1">
        <v>7</v>
      </c>
    </row>
    <row r="88" spans="7:8">
      <c r="G88" t="s">
        <v>494</v>
      </c>
      <c r="H88" s="1">
        <v>7</v>
      </c>
    </row>
    <row r="89" spans="7:8">
      <c r="G89" t="s">
        <v>495</v>
      </c>
      <c r="H89" s="1">
        <v>7</v>
      </c>
    </row>
    <row r="90" spans="7:8">
      <c r="G90" t="s">
        <v>496</v>
      </c>
      <c r="H90" s="1">
        <v>7</v>
      </c>
    </row>
    <row r="91" spans="7:8">
      <c r="G91" t="s">
        <v>497</v>
      </c>
      <c r="H91" s="1">
        <v>8</v>
      </c>
    </row>
    <row r="92" spans="7:8">
      <c r="G92" t="s">
        <v>498</v>
      </c>
      <c r="H92" s="1">
        <v>8</v>
      </c>
    </row>
    <row r="93" spans="7:8">
      <c r="G93" t="s">
        <v>499</v>
      </c>
      <c r="H93" s="1">
        <v>8</v>
      </c>
    </row>
    <row r="94" spans="7:8">
      <c r="G94" t="s">
        <v>500</v>
      </c>
      <c r="H94" s="1">
        <v>8</v>
      </c>
    </row>
    <row r="95" spans="7:8">
      <c r="G95" t="s">
        <v>501</v>
      </c>
      <c r="H95" s="1">
        <v>8</v>
      </c>
    </row>
    <row r="96" spans="7:8">
      <c r="G96" t="s">
        <v>502</v>
      </c>
      <c r="H96" s="1">
        <v>8</v>
      </c>
    </row>
    <row r="97" spans="7:8">
      <c r="G97" t="s">
        <v>503</v>
      </c>
      <c r="H97" s="1">
        <v>8</v>
      </c>
    </row>
    <row r="98" spans="7:8">
      <c r="G98" t="s">
        <v>504</v>
      </c>
      <c r="H98" s="1">
        <v>8</v>
      </c>
    </row>
    <row r="99" spans="7:8">
      <c r="G99" t="s">
        <v>505</v>
      </c>
      <c r="H99" s="1">
        <v>9</v>
      </c>
    </row>
    <row r="100" spans="7:8">
      <c r="G100" t="s">
        <v>506</v>
      </c>
      <c r="H100" s="1">
        <v>9</v>
      </c>
    </row>
    <row r="101" spans="7:8">
      <c r="G101" t="s">
        <v>507</v>
      </c>
      <c r="H101" s="1">
        <v>9</v>
      </c>
    </row>
    <row r="102" spans="7:8">
      <c r="G102" t="s">
        <v>508</v>
      </c>
      <c r="H102" s="1">
        <v>9</v>
      </c>
    </row>
    <row r="103" spans="7:8">
      <c r="G103" t="s">
        <v>509</v>
      </c>
      <c r="H103" s="1">
        <v>9</v>
      </c>
    </row>
    <row r="104" spans="7:8">
      <c r="G104" t="s">
        <v>510</v>
      </c>
      <c r="H104" s="1">
        <v>10</v>
      </c>
    </row>
    <row r="105" spans="7:8">
      <c r="G105" t="s">
        <v>511</v>
      </c>
      <c r="H105" s="1">
        <v>10</v>
      </c>
    </row>
    <row r="106" spans="7:8">
      <c r="G106" t="s">
        <v>512</v>
      </c>
      <c r="H106" s="1">
        <v>10</v>
      </c>
    </row>
    <row r="107" spans="7:8">
      <c r="G107" t="s">
        <v>513</v>
      </c>
      <c r="H107" s="1">
        <v>10</v>
      </c>
    </row>
    <row r="108" spans="7:8">
      <c r="G108" t="s">
        <v>514</v>
      </c>
      <c r="H108" s="1">
        <v>10</v>
      </c>
    </row>
    <row r="109" spans="7:8">
      <c r="G109" t="s">
        <v>515</v>
      </c>
      <c r="H109" s="1">
        <v>11</v>
      </c>
    </row>
    <row r="110" spans="7:8">
      <c r="G110" t="s">
        <v>516</v>
      </c>
      <c r="H110" s="1">
        <v>11</v>
      </c>
    </row>
    <row r="111" spans="7:8">
      <c r="G111" t="s">
        <v>517</v>
      </c>
      <c r="H111" s="1">
        <v>11</v>
      </c>
    </row>
    <row r="112" spans="7:8">
      <c r="G112" t="s">
        <v>518</v>
      </c>
      <c r="H112" s="1">
        <v>11</v>
      </c>
    </row>
    <row r="113" spans="7:8">
      <c r="G113" t="s">
        <v>519</v>
      </c>
      <c r="H113" s="1">
        <v>11</v>
      </c>
    </row>
    <row r="114" spans="7:8">
      <c r="G114" t="s">
        <v>520</v>
      </c>
      <c r="H114" s="1">
        <v>11</v>
      </c>
    </row>
    <row r="115" spans="7:8">
      <c r="G115" t="s">
        <v>521</v>
      </c>
      <c r="H115" s="1">
        <v>11</v>
      </c>
    </row>
    <row r="116" spans="7:8">
      <c r="G116" t="s">
        <v>522</v>
      </c>
      <c r="H116" s="1">
        <v>11</v>
      </c>
    </row>
    <row r="117" spans="7:8">
      <c r="G117" t="s">
        <v>523</v>
      </c>
      <c r="H117" s="1">
        <v>12</v>
      </c>
    </row>
    <row r="118" spans="7:8">
      <c r="G118" t="s">
        <v>524</v>
      </c>
      <c r="H118" s="1">
        <v>12</v>
      </c>
    </row>
    <row r="119" spans="7:8">
      <c r="G119" t="s">
        <v>525</v>
      </c>
      <c r="H119" s="1">
        <v>12</v>
      </c>
    </row>
    <row r="120" spans="7:8">
      <c r="G120" t="s">
        <v>526</v>
      </c>
      <c r="H120" s="1">
        <v>12</v>
      </c>
    </row>
    <row r="121" spans="7:8">
      <c r="G121" t="s">
        <v>527</v>
      </c>
      <c r="H121" s="1">
        <v>12</v>
      </c>
    </row>
    <row r="122" spans="7:8">
      <c r="G122" t="s">
        <v>528</v>
      </c>
      <c r="H122" s="1">
        <v>12</v>
      </c>
    </row>
    <row r="123" spans="7:8">
      <c r="G123" t="s">
        <v>529</v>
      </c>
      <c r="H123" s="1">
        <v>13</v>
      </c>
    </row>
    <row r="124" spans="7:8">
      <c r="G124" t="s">
        <v>530</v>
      </c>
      <c r="H124" s="1">
        <v>13</v>
      </c>
    </row>
    <row r="125" spans="7:8">
      <c r="G125" t="s">
        <v>531</v>
      </c>
      <c r="H125" s="1">
        <v>13</v>
      </c>
    </row>
    <row r="126" spans="7:8">
      <c r="G126" t="s">
        <v>532</v>
      </c>
      <c r="H126" s="1">
        <v>13</v>
      </c>
    </row>
    <row r="127" spans="7:8">
      <c r="G127" t="s">
        <v>533</v>
      </c>
      <c r="H127" s="1">
        <v>13</v>
      </c>
    </row>
    <row r="128" spans="7:8">
      <c r="G128" t="s">
        <v>534</v>
      </c>
      <c r="H128" s="1">
        <v>13</v>
      </c>
    </row>
    <row r="129" spans="7:8">
      <c r="G129" t="s">
        <v>535</v>
      </c>
      <c r="H129" s="1">
        <v>13</v>
      </c>
    </row>
    <row r="130" spans="7:8">
      <c r="G130" t="s">
        <v>536</v>
      </c>
      <c r="H130" s="1">
        <v>14</v>
      </c>
    </row>
    <row r="131" spans="7:8">
      <c r="G131" t="s">
        <v>537</v>
      </c>
      <c r="H131" s="1">
        <v>14</v>
      </c>
    </row>
    <row r="132" spans="7:8">
      <c r="G132" t="s">
        <v>538</v>
      </c>
      <c r="H132" s="1">
        <v>14</v>
      </c>
    </row>
    <row r="133" spans="7:8">
      <c r="G133" t="s">
        <v>539</v>
      </c>
      <c r="H133" s="1">
        <v>14</v>
      </c>
    </row>
    <row r="134" spans="7:8">
      <c r="G134" t="s">
        <v>540</v>
      </c>
      <c r="H134" s="1">
        <v>14</v>
      </c>
    </row>
    <row r="135" spans="7:8">
      <c r="G135" t="s">
        <v>541</v>
      </c>
      <c r="H135" s="1">
        <v>14</v>
      </c>
    </row>
    <row r="136" spans="7:8">
      <c r="G136" t="s">
        <v>542</v>
      </c>
      <c r="H136" s="1">
        <v>14</v>
      </c>
    </row>
    <row r="137" spans="7:8">
      <c r="G137" t="s">
        <v>543</v>
      </c>
      <c r="H137" s="1">
        <v>14</v>
      </c>
    </row>
    <row r="138" spans="7:8">
      <c r="G138" t="s">
        <v>544</v>
      </c>
      <c r="H138" s="1">
        <v>14</v>
      </c>
    </row>
    <row r="139" spans="7:8">
      <c r="G139" t="s">
        <v>545</v>
      </c>
      <c r="H139" s="1">
        <v>14</v>
      </c>
    </row>
  </sheetData>
  <mergeCells count="10">
    <mergeCell ref="L11:W11"/>
    <mergeCell ref="AA11:AL11"/>
    <mergeCell ref="J11:K11"/>
    <mergeCell ref="Y11:Z11"/>
    <mergeCell ref="AW3:BB3"/>
    <mergeCell ref="AQ3:AV3"/>
    <mergeCell ref="AK3:AP3"/>
    <mergeCell ref="AE3:AJ3"/>
    <mergeCell ref="Y3:AD3"/>
    <mergeCell ref="S3:X3"/>
  </mergeCells>
  <conditionalFormatting sqref="H5:J5">
    <cfRule type="containsBlanks" dxfId="1" priority="2">
      <formula>LEN(TRIM(H5))=0</formula>
    </cfRule>
  </conditionalFormatting>
  <conditionalFormatting sqref="R5">
    <cfRule type="containsBlanks" dxfId="0" priority="1">
      <formula>LEN(TRIM(R5))=0</formula>
    </cfRule>
  </conditionalFormatting>
  <dataValidations count="2">
    <dataValidation type="list" allowBlank="1" showInputMessage="1" showErrorMessage="1" sqref="H5" xr:uid="{CCF58ED9-0A01-4804-86A3-097A43C69438}">
      <formula1>$D$45:$D$60</formula1>
    </dataValidation>
    <dataValidation type="list" allowBlank="1" showInputMessage="1" showErrorMessage="1" sqref="R5" xr:uid="{9CA5A2FD-C264-4F42-B820-61722E2F7177}">
      <formula1>$B$44:$B$53</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4AF8-964A-4613-B113-9A8F5175EAF1}">
  <sheetPr codeName="Sheet16"/>
  <dimension ref="A1:AL150"/>
  <sheetViews>
    <sheetView workbookViewId="0"/>
  </sheetViews>
  <sheetFormatPr defaultColWidth="9.15625" defaultRowHeight="14.4"/>
  <cols>
    <col min="1" max="1" width="23.5234375" style="98" customWidth="1"/>
    <col min="2" max="2" width="28.15625" style="98" hidden="1" customWidth="1"/>
    <col min="3" max="3" width="27.7890625" style="98" bestFit="1" customWidth="1"/>
    <col min="4" max="4" width="40.15625" style="98" bestFit="1" customWidth="1"/>
    <col min="5" max="5" width="82.26171875" style="98" customWidth="1"/>
    <col min="6" max="6" width="21.5234375" style="98" bestFit="1" customWidth="1"/>
    <col min="7" max="7" width="23.5234375" style="98" bestFit="1" customWidth="1"/>
    <col min="8" max="8" width="30.7890625" style="98" customWidth="1"/>
    <col min="9" max="9" width="9.15625" style="98" customWidth="1"/>
    <col min="10" max="10" width="8.5234375" style="98" customWidth="1"/>
    <col min="11" max="11" width="6.26171875" style="98" bestFit="1" customWidth="1"/>
    <col min="12" max="12" width="4.47265625" style="98" bestFit="1" customWidth="1"/>
    <col min="13" max="13" width="8.26171875" style="98" bestFit="1" customWidth="1"/>
    <col min="14" max="14" width="9.15625" style="98" hidden="1" customWidth="1"/>
    <col min="15" max="15" width="9.26171875" style="98" hidden="1" customWidth="1"/>
    <col min="16" max="16" width="9.15625" style="98" hidden="1" customWidth="1"/>
    <col min="17" max="17" width="9.26171875" style="98" hidden="1" customWidth="1"/>
    <col min="18" max="18" width="9.15625" style="98" hidden="1" customWidth="1"/>
    <col min="19" max="19" width="14.26171875" style="98" hidden="1" customWidth="1"/>
    <col min="20" max="20" width="12.26171875" style="98" hidden="1" customWidth="1"/>
    <col min="21" max="21" width="11" style="98" hidden="1" customWidth="1"/>
    <col min="22" max="22" width="9.15625" style="98" hidden="1" customWidth="1"/>
    <col min="23" max="23" width="12" style="98" hidden="1" customWidth="1"/>
    <col min="24" max="24" width="9.15625" style="98" hidden="1" customWidth="1"/>
    <col min="25" max="28" width="9.26171875" style="98" hidden="1" customWidth="1"/>
    <col min="29" max="29" width="9.15625" style="98" hidden="1" customWidth="1"/>
    <col min="30" max="30" width="12.47265625" style="98" hidden="1" customWidth="1"/>
    <col min="31" max="31" width="12.5234375" style="98" hidden="1" customWidth="1"/>
    <col min="32" max="32" width="12.5234375" style="98" bestFit="1" customWidth="1"/>
    <col min="33" max="33" width="36.15625" style="98" bestFit="1" customWidth="1"/>
    <col min="34" max="34" width="6.26171875" style="98" bestFit="1" customWidth="1"/>
    <col min="35" max="35" width="5.15625" style="437" bestFit="1" customWidth="1"/>
    <col min="36" max="36" width="13.47265625" style="98" bestFit="1" customWidth="1"/>
    <col min="37" max="37" width="9.15625" style="98"/>
    <col min="38" max="38" width="13.15625" style="98" bestFit="1" customWidth="1"/>
    <col min="39" max="16384" width="9.15625" style="98"/>
  </cols>
  <sheetData>
    <row r="1" spans="1:38">
      <c r="A1" s="228" t="s">
        <v>413</v>
      </c>
    </row>
    <row r="2" spans="1:38" s="452" customFormat="1" ht="31.5">
      <c r="A2" s="438" t="s">
        <v>386</v>
      </c>
      <c r="B2" s="439" t="s">
        <v>387</v>
      </c>
      <c r="C2" s="439" t="s">
        <v>388</v>
      </c>
      <c r="D2" s="439" t="s">
        <v>389</v>
      </c>
      <c r="E2" s="439" t="s">
        <v>108</v>
      </c>
      <c r="F2" s="439" t="s">
        <v>390</v>
      </c>
      <c r="G2" s="440" t="s">
        <v>391</v>
      </c>
      <c r="H2" s="439" t="s">
        <v>392</v>
      </c>
      <c r="I2" s="441"/>
      <c r="J2" s="442" t="s">
        <v>393</v>
      </c>
      <c r="K2" s="442" t="s">
        <v>394</v>
      </c>
      <c r="L2" s="442" t="s">
        <v>395</v>
      </c>
      <c r="M2" s="443" t="s">
        <v>396</v>
      </c>
      <c r="N2" s="444"/>
      <c r="O2" s="445" t="s">
        <v>397</v>
      </c>
      <c r="P2" s="442" t="s">
        <v>398</v>
      </c>
      <c r="Q2" s="442" t="s">
        <v>399</v>
      </c>
      <c r="R2" s="442" t="s">
        <v>400</v>
      </c>
      <c r="S2" s="442" t="s">
        <v>401</v>
      </c>
      <c r="T2" s="442" t="s">
        <v>402</v>
      </c>
      <c r="U2" s="443" t="s">
        <v>403</v>
      </c>
      <c r="V2" s="446"/>
      <c r="W2" s="447" t="s">
        <v>404</v>
      </c>
      <c r="X2" s="448" t="s">
        <v>405</v>
      </c>
      <c r="Y2" s="448" t="s">
        <v>406</v>
      </c>
      <c r="Z2" s="448" t="s">
        <v>407</v>
      </c>
      <c r="AA2" s="448" t="s">
        <v>408</v>
      </c>
      <c r="AB2" s="448" t="s">
        <v>409</v>
      </c>
      <c r="AC2" s="449" t="s">
        <v>410</v>
      </c>
      <c r="AD2" s="448" t="s">
        <v>411</v>
      </c>
      <c r="AE2" s="450" t="s">
        <v>412</v>
      </c>
      <c r="AF2" s="451"/>
      <c r="AH2" s="598"/>
      <c r="AI2" s="598"/>
      <c r="AJ2" s="453"/>
      <c r="AK2" s="453"/>
      <c r="AL2" s="453"/>
    </row>
    <row r="3" spans="1:38" s="452" customFormat="1" ht="12.9">
      <c r="A3" s="454" t="s">
        <v>375</v>
      </c>
      <c r="B3" s="455" t="s">
        <v>376</v>
      </c>
      <c r="C3" s="456" t="s">
        <v>186</v>
      </c>
      <c r="D3" s="457" t="s">
        <v>377</v>
      </c>
      <c r="E3" s="457" t="s">
        <v>378</v>
      </c>
      <c r="F3" s="458" t="s">
        <v>379</v>
      </c>
      <c r="G3" s="458" t="s">
        <v>380</v>
      </c>
      <c r="H3" s="459" t="s">
        <v>381</v>
      </c>
      <c r="I3" s="460"/>
      <c r="J3" s="461">
        <v>72</v>
      </c>
      <c r="K3" s="462"/>
      <c r="L3" s="463" t="n">
        <f>(100-J3)/100</f>
        <v>0.28</v>
      </c>
      <c r="M3" s="464">
        <v>0.04</v>
      </c>
      <c r="N3" s="465"/>
      <c r="O3" s="466">
        <v>20</v>
      </c>
      <c r="P3" s="467" t="s">
        <v>382</v>
      </c>
      <c r="Q3" s="467">
        <v>0</v>
      </c>
      <c r="R3" s="468" t="s">
        <v>13</v>
      </c>
      <c r="S3" s="468" t="n">
        <f>VLOOKUP(R3,'[1]CRASH COSTS'!$B$5:$E$19,2,FALSE)</f>
        <v>4129000</v>
      </c>
      <c r="T3" s="468" t="n">
        <f>VLOOKUP(R3,'[1]CRASH COSTS'!$B$5:$E$19,3,FALSE)</f>
        <v>187000</v>
      </c>
      <c r="U3" s="469" t="n">
        <f>VLOOKUP(R3,'[1]CRASH COSTS'!$B$5:$E$19,4,FALSE)</f>
        <v>15100</v>
      </c>
      <c r="V3" s="465"/>
      <c r="W3" s="470" t="s">
        <v>383</v>
      </c>
      <c r="X3" s="471" t="s">
        <v>384</v>
      </c>
      <c r="Y3" s="471">
        <v>2010</v>
      </c>
      <c r="Z3" s="472">
        <v>253</v>
      </c>
      <c r="AA3" s="471">
        <v>3131</v>
      </c>
      <c r="AB3" s="471">
        <v>3</v>
      </c>
      <c r="AC3" s="473"/>
      <c r="AD3" s="474" t="s">
        <v>385</v>
      </c>
      <c r="AE3" s="475" t="s">
        <v>385</v>
      </c>
      <c r="AF3" s="451"/>
      <c r="AH3" s="598"/>
      <c r="AI3" s="598"/>
    </row>
    <row r="4" spans="1:38" s="452" customFormat="1" ht="10.8" thickBot="1">
      <c r="A4" s="476"/>
      <c r="B4" s="476"/>
      <c r="C4" s="477"/>
      <c r="D4" s="478"/>
      <c r="E4" s="478"/>
      <c r="F4" s="479"/>
      <c r="G4" s="479"/>
      <c r="H4" s="480"/>
      <c r="I4" s="481"/>
      <c r="J4" s="482"/>
      <c r="K4" s="483"/>
      <c r="L4" s="484"/>
      <c r="M4" s="485"/>
      <c r="N4" s="486"/>
      <c r="O4" s="484"/>
      <c r="P4" s="487"/>
      <c r="Q4" s="487"/>
      <c r="R4" s="486"/>
      <c r="S4" s="486"/>
      <c r="T4" s="486"/>
      <c r="U4" s="486"/>
      <c r="V4" s="486"/>
      <c r="W4" s="488"/>
      <c r="X4" s="485"/>
      <c r="Y4" s="485"/>
      <c r="Z4" s="489"/>
      <c r="AA4" s="485"/>
      <c r="AB4" s="485"/>
      <c r="AC4" s="488"/>
      <c r="AD4" s="490"/>
      <c r="AE4" s="490"/>
      <c r="AF4" s="451"/>
    </row>
    <row r="5" spans="1:38" ht="14.7" thickBot="1">
      <c r="D5" s="126" t="s">
        <v>415</v>
      </c>
      <c r="E5" s="530" t="str">
        <f>Assumptions!D7&amp;IF(Assumptions!D8="N/A",""," - Signal ID "&amp;Assumptions!D8)</f>
        <v>05-20-62123 (TIP #HS-2005A)</v>
      </c>
      <c r="G5" s="491" t="s">
        <v>42</v>
      </c>
      <c r="O5" s="98" t="s">
        <v>696</v>
      </c>
      <c r="AF5" s="452"/>
      <c r="AG5" s="492" t="s">
        <v>424</v>
      </c>
      <c r="AH5" s="493" t="s">
        <v>16</v>
      </c>
      <c r="AI5" s="494" t="s">
        <v>17</v>
      </c>
      <c r="AJ5" s="492" t="s">
        <v>434</v>
      </c>
    </row>
    <row r="6" spans="1:38">
      <c r="D6" s="495" t="s">
        <v>735</v>
      </c>
      <c r="E6" s="531" t="str">
        <f>Assumptions!D9&amp;", "&amp;Assumptions!D11&amp;" County"</f>
        <v>SR 1602 (Main Street) at SR 1207 (Spring Street), Granville County</v>
      </c>
      <c r="G6" s="496" t="s">
        <v>38</v>
      </c>
      <c r="N6" s="98" t="s">
        <v>697</v>
      </c>
      <c r="O6" s="98" t="str">
        <f>Assumptions!D9</f>
        <v>SR 1602 (Main Street) at SR 1207 (Spring Street)</v>
      </c>
      <c r="AF6" s="452"/>
      <c r="AG6" s="517" t="s">
        <v>19</v>
      </c>
      <c r="AH6" s="518" t="n">
        <f>Before!$AB$9</f>
        <v>7</v>
      </c>
      <c r="AI6" s="519" t="n">
        <f>After!$AB$9</f>
        <v>3</v>
      </c>
      <c r="AJ6" s="512" t="n">
        <f>IFERROR(ROUND((AI6-AH6)/AH6,2), "n/a")</f>
        <v>-0.57</v>
      </c>
    </row>
    <row r="7" spans="1:38" ht="14.7" thickBot="1">
      <c r="D7" s="495" t="s">
        <v>367</v>
      </c>
      <c r="E7" s="533" t="str">
        <f>"https://www.google.com/maps/search/?api=1&amp;query=" &amp; Assumptions!D10</f>
        <v>https://www.google.com/maps/search/?api=1&amp;query=36.310027, -78.587328</v>
      </c>
      <c r="G7" s="497" t="s">
        <v>331</v>
      </c>
      <c r="N7" s="98" t="s">
        <v>698</v>
      </c>
      <c r="O7" s="98" t="str" cm="1">
        <f t="array" ref="O7">_xlfn.REGEXEXTRACT(E5,"[0-9]{2}-[0-9]{2}-[0-9]{5}")</f>
        <v>05-20-62123</v>
      </c>
      <c r="AG7" s="520" t="s">
        <v>22</v>
      </c>
      <c r="AH7" s="521" t="n">
        <f>Before!$AF$9</f>
        <v>3</v>
      </c>
      <c r="AI7" s="522" t="n">
        <f>After!$AF$9</f>
        <v>2</v>
      </c>
      <c r="AJ7" s="513" t="n">
        <f>IFERROR(ROUND((AI7-AH7)/AH7,2), "n/a")</f>
        <v>-0.33</v>
      </c>
    </row>
    <row r="8" spans="1:38">
      <c r="D8" s="495" t="s">
        <v>416</v>
      </c>
      <c r="E8" s="498"/>
      <c r="N8" s="98" t="s">
        <v>699</v>
      </c>
      <c r="O8" s="98" t="str" cm="1">
        <f t="array" ref="O8">_xlfn.REGEXEXTRACT(E5,"[A-Z]{1,2}-[0-9]{4}[A-Z]{1,2}")</f>
        <v>HS-2005A</v>
      </c>
      <c r="AG8" s="520" t="s">
        <v>380</v>
      </c>
      <c r="AH8" s="523" t="n">
        <f>SUM(Before!$AB$4:$AB$7)</f>
        <v>1</v>
      </c>
      <c r="AI8" s="524" t="n">
        <f>SUM(After!$AB$4:$AB$7)</f>
        <v>0</v>
      </c>
      <c r="AJ8" s="514" t="n">
        <f t="shared" ref="AJ8:AJ19" si="0">IFERROR(ROUND((AI8-AH8)/AH8,2), "n/a")</f>
        <v>-1</v>
      </c>
    </row>
    <row r="9" spans="1:38">
      <c r="A9" s="228"/>
      <c r="D9" s="495" t="s">
        <v>417</v>
      </c>
      <c r="E9" s="531" t="str">
        <f>IF(_xlfn.XLOOKUP(G3,AG6:AG23,AH6:AH23)=_xlfn.XLOOKUP(G3,AG6:AG23,AI6:AI23),"No Change in "&amp;G3,IF(_xlfn.XLOOKUP(G3,AG6:AG23,AH6:AH23)=0,"Over 100% increase in "&amp;G3,IF(_xlfn.XLOOKUP(G3,AG6:AG23,AJ6:AJ23)&gt;1,"Over 100% increase in "&amp;G3,ABS(_xlfn.XLOOKUP(G3,AG6:AG23,AJ6:AJ23))*100&amp;"% "&amp;IF(_xlfn.XLOOKUP(G3,AG6:AG23,AJ6:AJ23)&gt;0,"increase",IF(_xlfn.XLOOKUP(G3,AG6:AG23,AJ6:AJ23)=0,"change","decrease"))&amp;" in "&amp;G3)))</f>
        <v>100% increase in Injury Crashes</v>
      </c>
      <c r="AG9" s="520" t="s">
        <v>428</v>
      </c>
      <c r="AH9" s="523" t="n">
        <f>SUM(Before!$AF$4:$AF$7)</f>
        <v>0</v>
      </c>
      <c r="AI9" s="524" t="n">
        <f>SUM(After!$AF$4:$AF$7)</f>
        <v>0</v>
      </c>
      <c r="AJ9" s="514" t="str">
        <f t="shared" si="0"/>
        <v>n/a</v>
      </c>
    </row>
    <row r="10" spans="1:38" ht="14.7" thickBot="1">
      <c r="A10" s="228"/>
      <c r="D10" s="133" t="s">
        <v>418</v>
      </c>
      <c r="E10" s="532" t="str">
        <f>IF(M3*100&gt;ABS(J3),IF(J3&gt;0,ABS(J3-M3*100)&amp;"% increase - "&amp;ABS(J3+M3*100)&amp;" % decrease ",ABS(J3+M3*100)&amp;"% decrease - "&amp;ABS(J3-M3*100)&amp;" % increase "),IF(M3&gt;0,IF(J3&gt;0,ABS((J3-M3*100))&amp;" - "&amp;ABS((J3+M3*100))&amp;"% decrease ",ABS((J3+M3*100))&amp;" - "&amp;ABS((J3-M3*100))&amp;"% increase "),IF(J3&gt;0,ABS(J3)&amp;"% decrease ",ABS(J3)&amp;"% increase ")))&amp;"in "&amp;G3</f>
        <v>68 - 76% decrease in Injury Crashes</v>
      </c>
      <c r="AG10" s="525" t="s">
        <v>319</v>
      </c>
      <c r="AH10" s="523" t="n">
        <f>COUNTIFS(Before!$D$4:$D$1003,"&gt;=2",Before!$D$4:$D$1003,"&lt;=3")</f>
        <v>1</v>
      </c>
      <c r="AI10" s="524" t="n">
        <f>COUNTIFS(After!$D$4:$D$1003,"&gt;=2",After!$D$4:$D$1003,"&lt;=3")</f>
        <v>0</v>
      </c>
      <c r="AJ10" s="514" t="n">
        <f t="shared" si="0"/>
        <v>-1</v>
      </c>
    </row>
    <row r="11" spans="1:38" ht="14.7" thickBot="1">
      <c r="D11" s="228"/>
      <c r="AG11" s="525" t="s">
        <v>427</v>
      </c>
      <c r="AH11" s="523" t="n">
        <f>COUNTIFS(Before!$D$4:$D$1003,"&gt;=2",Before!$D$4:$D$1003,"&lt;=3")</f>
        <v>1</v>
      </c>
      <c r="AI11" s="524" t="n">
        <f>COUNTIFS(After!$D$4:$D$1003,"&gt;=2",After!$D$4:$D$1003,"&lt;=3")</f>
        <v>0</v>
      </c>
      <c r="AJ11" s="514" t="n">
        <f t="shared" si="0"/>
        <v>-1</v>
      </c>
    </row>
    <row r="12" spans="1:38" ht="14.7" thickBot="1">
      <c r="D12" s="121" t="s">
        <v>440</v>
      </c>
      <c r="E12" s="534" t="str">
        <f>"Total Crashes "&amp;IF(AH6=AI6,"did not change",IF(AH6=0,"increased by over 100%",IF(AJ6&gt;1,"increased by over 100%",IF(AJ6&gt;0,"increased","decreased")&amp;" by "&amp;ABS(AJ6)*100&amp;"%")))&amp;" ("&amp;AH6&amp;" to "&amp;AI6&amp;"); Target crashes "&amp;IF(AH7=AI7,"did not change",IF(AH7=0,"increased by over 100%",IF(AJ7&gt;1,"increased by over 100%",IF(AJ7&gt;0,"increased","decreased"))&amp;" by "&amp;ABS(AJ7)*100&amp;"%"))&amp;" ("&amp;AH7&amp;" to "&amp;AI7&amp;")"</f>
        <v>Total Crashes decreased by 57% (7 to 3); Target crashes decreased by 33% (3 to 2)</v>
      </c>
      <c r="AG12" s="525" t="s">
        <v>429</v>
      </c>
      <c r="AH12" s="523" t="n">
        <f>COUNTIFS(Before!$F$4:$F$1003,"&gt;=4",Before!$F$4:$F$1003,"&lt;=6")</f>
        <v>1</v>
      </c>
      <c r="AI12" s="524" t="n">
        <f>COUNTIFS(After!$F$4:$F$1003,"&gt;=4",After!$F$4:$F$1003,"&lt;=6")</f>
        <v>0</v>
      </c>
      <c r="AJ12" s="514" t="n">
        <f t="shared" si="0"/>
        <v>-1</v>
      </c>
    </row>
    <row r="13" spans="1:38" ht="14.7" thickBot="1">
      <c r="AG13" s="525" t="s">
        <v>430</v>
      </c>
      <c r="AH13" s="523" t="n">
        <f>COUNTIFS(Before!$F$4:$F$1003,"&gt;=4",Before!$F$4:$F$1003,"&lt;=6",Before!$G$4:$G$1003,"K")</f>
        <v>0</v>
      </c>
      <c r="AI13" s="524" t="n">
        <f>COUNTIFS(After!$F$4:$F$1003,"&gt;=4",After!$F$4:$F$1003,"&lt;=6",After!$G$4:$G$1003,"K")</f>
        <v>0</v>
      </c>
      <c r="AJ13" s="514" t="str">
        <f t="shared" si="0"/>
        <v>n/a</v>
      </c>
    </row>
    <row r="14" spans="1:38">
      <c r="D14" s="827" t="s">
        <v>419</v>
      </c>
      <c r="E14" s="818" vm="1" t="e">
        <f ca="1">"* From the current NCDOT CRF List, a "&amp;ABS(J3)&amp;IF(M3&gt;0,"% (+/- "&amp;(M3*100)&amp;"%)","%")&amp;IF(J3&gt;0, " decrease", " increase")&amp;" in "&amp;G3&amp;" is the expected crash change for “"&amp;E3&amp;"” "&amp;IF(F3="All","","at “"&amp;F3&amp;"” sites ")&amp;"(CRF "&amp;A3&amp;_xlfn._LONGTEXT(").  This information is provided to compare expected crash reductions from research with what was realized at the study location.  The effectiveness of safety countermeasures varies from one location to another.  Because a project did not meet expectation","s does not mean the countermeasure is a poor treatment.  There are many factors that can influence safety effectiveness, such as traffic volumes, user demographics, location specific features, randomness of crashes, and other events that cannot be control","led for.")</f>
        <v>#NAME?</v>
      </c>
      <c r="F14" s="819"/>
      <c r="G14" s="819"/>
      <c r="H14" s="820"/>
      <c r="AG14" s="525" t="s">
        <v>431</v>
      </c>
      <c r="AH14" s="523" t="n">
        <f>COUNTIFS(Before!$F$4:$F$1003,"&gt;=4",Before!$F$4:$F$1003,"&lt;=6",Before!$G$4:$G$1003,"A")+COUNTIFS(Before!$F$4:$F$1003,"&gt;=4",Before!$F$4:$F$1003,"&lt;=6",Before!$G$4:$G$1003,"B")+COUNTIFS(Before!$F$4:$F$1003,"&gt;=4",Before!$F$4:$F$1003,"&lt;=6",Before!$G$4:$G$1003,"C")</f>
        <v>1</v>
      </c>
      <c r="AI14" s="524" t="n">
        <f>COUNTIFS(After!$F$4:$F$1003,"&gt;=4",After!$F$4:$F$1003,"&lt;=6",After!$G$4:$G$1003,"A")+COUNTIFS(After!$F$4:$F$1003,"&gt;=4",After!$F$4:$F$1003,"&lt;=6",After!$G$4:$G$1003,"B")+COUNTIFS(After!$F$4:$F$1003,"&gt;=4",After!$F$4:$F$1003,"&lt;=6",After!$G$4:$G$1003,"C")</f>
        <v>0</v>
      </c>
      <c r="AJ14" s="514" t="n">
        <f t="shared" si="0"/>
        <v>-1</v>
      </c>
    </row>
    <row r="15" spans="1:38">
      <c r="D15" s="828"/>
      <c r="E15" s="821"/>
      <c r="F15" s="822"/>
      <c r="G15" s="822"/>
      <c r="H15" s="823"/>
      <c r="AG15" s="525" t="s">
        <v>432</v>
      </c>
      <c r="AH15" s="523" t="n">
        <f>COUNTIFS(Before!$F$4:$F$1003,"&gt;=4",Before!$F$4:$F$1003,"&lt;=6",Before!$G$4:$G$1003,"O")</f>
        <v>0</v>
      </c>
      <c r="AI15" s="524" t="n">
        <f>COUNTIFS(After!$F$4:$F$1003,"&gt;=4",After!$F$4:$F$1003,"&lt;=6",After!$G$4:$G$1003,"O")</f>
        <v>0</v>
      </c>
      <c r="AJ15" s="514" t="str">
        <f t="shared" si="0"/>
        <v>n/a</v>
      </c>
    </row>
    <row r="16" spans="1:38">
      <c r="D16" s="828"/>
      <c r="E16" s="821"/>
      <c r="F16" s="822"/>
      <c r="G16" s="822"/>
      <c r="H16" s="823"/>
      <c r="AG16" s="525" t="s">
        <v>433</v>
      </c>
      <c r="AH16" s="523" t="n">
        <f>COUNTIFS(Before!$F$4:$F$1003,"&gt;=1",Before!$F$4:$F$1003,"&lt;=3")</f>
        <v>6</v>
      </c>
      <c r="AI16" s="524" t="n">
        <f>COUNTIFS(After!$F$4:$F$1003,"&gt;=1",After!$F$4:$F$1003,"&lt;=3")</f>
        <v>3</v>
      </c>
      <c r="AJ16" s="514" t="n">
        <f t="shared" si="0"/>
        <v>-0.5</v>
      </c>
    </row>
    <row r="17" spans="4:36" ht="15" customHeight="1">
      <c r="D17" s="828"/>
      <c r="E17" s="821"/>
      <c r="F17" s="822"/>
      <c r="G17" s="822"/>
      <c r="H17" s="823"/>
      <c r="AG17" s="525" t="s">
        <v>425</v>
      </c>
      <c r="AH17" s="523" t="n">
        <f>Before!$AB$4</f>
        <v>0</v>
      </c>
      <c r="AI17" s="524" t="n">
        <f>After!$AB$4</f>
        <v>0</v>
      </c>
      <c r="AJ17" s="514" t="str">
        <f t="shared" si="0"/>
        <v>n/a</v>
      </c>
    </row>
    <row r="18" spans="4:36">
      <c r="D18" s="828"/>
      <c r="E18" s="821"/>
      <c r="F18" s="822"/>
      <c r="G18" s="822"/>
      <c r="H18" s="823"/>
      <c r="AG18" s="520" t="s">
        <v>421</v>
      </c>
      <c r="AH18" s="523" t="n">
        <f>SUM(Before!$AB$4:$AB$6)</f>
        <v>0</v>
      </c>
      <c r="AI18" s="524" t="n">
        <f>SUM(After!$AB$4:$AB$6)</f>
        <v>0</v>
      </c>
      <c r="AJ18" s="514" t="str">
        <f t="shared" si="0"/>
        <v>n/a</v>
      </c>
    </row>
    <row r="19" spans="4:36">
      <c r="D19" s="828"/>
      <c r="E19" s="821"/>
      <c r="F19" s="822"/>
      <c r="G19" s="822"/>
      <c r="H19" s="823"/>
      <c r="AG19" s="525" t="s">
        <v>422</v>
      </c>
      <c r="AH19" s="523" t="n">
        <f>SUM(Before!$AB$4:$AB$5)</f>
        <v>0</v>
      </c>
      <c r="AI19" s="524" t="n">
        <f>SUM(After!$AB$4:$AB$5)</f>
        <v>0</v>
      </c>
      <c r="AJ19" s="514" t="str">
        <f t="shared" si="0"/>
        <v>n/a</v>
      </c>
    </row>
    <row r="20" spans="4:36" ht="14.7" thickBot="1">
      <c r="D20" s="829"/>
      <c r="E20" s="824"/>
      <c r="F20" s="825"/>
      <c r="G20" s="825"/>
      <c r="H20" s="826"/>
      <c r="AG20" s="525" t="s">
        <v>423</v>
      </c>
      <c r="AH20" s="523" t="n">
        <f>SUM(Before!$AB$6:$AB$7)</f>
        <v>1</v>
      </c>
      <c r="AI20" s="524" t="n">
        <f>SUM(After!$AB$6:$AB$7)</f>
        <v>0</v>
      </c>
      <c r="AJ20" s="514" t="n">
        <f>IFERROR(ROUND((AF20-AH20)/AH20,2), "n/a")</f>
        <v>-1</v>
      </c>
    </row>
    <row r="21" spans="4:36" ht="15" customHeight="1" thickBot="1">
      <c r="D21" s="499"/>
      <c r="E21" s="500"/>
      <c r="F21" s="500"/>
      <c r="G21" s="500"/>
      <c r="H21" s="500"/>
      <c r="AG21" s="520" t="s">
        <v>426</v>
      </c>
      <c r="AH21" s="523" t="n">
        <f>SUM(Before!$AB$5:$AB$7)</f>
        <v>1</v>
      </c>
      <c r="AI21" s="524" t="n">
        <f>SUM(After!$AB$5:$AB$7)</f>
        <v>0</v>
      </c>
      <c r="AJ21" s="514" t="n">
        <f>IFERROR(ROUND((AF21-AH21)/AH21,2), "n/a")</f>
        <v>-1</v>
      </c>
    </row>
    <row r="22" spans="4:36" ht="14.7" thickBot="1">
      <c r="D22" s="126" t="s">
        <v>414</v>
      </c>
      <c r="E22" s="535">
        <f>Assumptions!D13</f>
        <v>5</v>
      </c>
      <c r="AG22" s="526" t="s">
        <v>420</v>
      </c>
      <c r="AH22" s="527" t="n">
        <f>Before!$AB$8</f>
        <v>6</v>
      </c>
      <c r="AI22" s="528" t="n">
        <f>After!$AB$8</f>
        <v>3</v>
      </c>
      <c r="AJ22" s="515" t="n">
        <f>IFERROR(ROUND((AF22-AH22)/AH22,2), "n/a")</f>
        <v>-1</v>
      </c>
    </row>
    <row r="23" spans="4:36" ht="14.7" thickBot="1">
      <c r="D23" s="495" t="s">
        <v>435</v>
      </c>
      <c r="E23" s="501"/>
      <c r="AF23" s="98" t="s">
        <v>439</v>
      </c>
      <c r="AG23" s="529" t="str">
        <f>G3</f>
        <v>Injury Crashes</v>
      </c>
      <c r="AH23" s="502"/>
      <c r="AI23" s="503"/>
      <c r="AJ23" s="516" t="str">
        <f>IFERROR(ROUND((AI23-AH23)/AH23,2), "n/a")</f>
        <v>n/a</v>
      </c>
    </row>
    <row r="24" spans="4:36" ht="15" customHeight="1">
      <c r="D24" s="495" t="s">
        <v>436</v>
      </c>
      <c r="E24" s="501"/>
      <c r="AI24" s="504"/>
    </row>
    <row r="25" spans="4:36">
      <c r="D25" s="495" t="s">
        <v>437</v>
      </c>
      <c r="E25" s="501"/>
      <c r="AI25" s="505"/>
    </row>
    <row r="26" spans="4:36" ht="14.7" thickBot="1">
      <c r="D26" s="133" t="s">
        <v>438</v>
      </c>
      <c r="E26" s="506"/>
      <c r="AI26" s="505"/>
    </row>
    <row r="27" spans="4:36" ht="14.7" thickBot="1">
      <c r="D27" s="228"/>
      <c r="E27" s="176"/>
      <c r="AI27" s="505"/>
    </row>
    <row r="28" spans="4:36" ht="14.7" thickBot="1">
      <c r="D28"/>
      <c r="E28" s="536" t="s">
        <v>693</v>
      </c>
      <c r="F28" s="536" t="s">
        <v>692</v>
      </c>
      <c r="G28" s="537" t="s">
        <v>691</v>
      </c>
      <c r="H28" s="257"/>
      <c r="AI28" s="505"/>
    </row>
    <row r="29" spans="4:36" ht="15" customHeight="1">
      <c r="D29" s="815" t="s">
        <v>554</v>
      </c>
      <c r="E29" s="538" t="str">
        <f>"Regional Traffic Engineer ("&amp;_xlfn.XLOOKUP(E22,'Email List'!B:B,'Email List'!C:C)&amp;")"</f>
        <v>Regional Traffic Engineer (Tyler Fowler)</v>
      </c>
      <c r="F29" s="539" t="str">
        <f>_xlfn.XLOOKUP($E$22,'Email List'!$B:$B,'Email List'!D:D)</f>
        <v>tjfowler2@ncdot.gov</v>
      </c>
      <c r="G29" s="540">
        <f>_xlfn.XLOOKUP($E$22,'Email List'!$B:$B,'Email List'!E:E)</f>
        <v>46233</v>
      </c>
      <c r="H29" s="257"/>
      <c r="AI29" s="505"/>
    </row>
    <row r="30" spans="4:36">
      <c r="D30" s="816"/>
      <c r="E30" s="541" t="str">
        <f>"Region Traffic Safety Engineer ("&amp;_xlfn.XLOOKUP(E22,'Email List'!B:B,'Email List'!F:F)&amp;")"</f>
        <v>Region Traffic Safety Engineer (Vacant)</v>
      </c>
      <c r="F30" s="542" t="str">
        <f>_xlfn.XLOOKUP($E$22,'Email List'!$B:$B,'Email List'!G:G)</f>
        <v>Vacant</v>
      </c>
      <c r="G30" s="543">
        <f>_xlfn.XLOOKUP($E$22,'Email List'!$B:$B,'Email List'!H:H)</f>
        <v>46233</v>
      </c>
      <c r="H30"/>
      <c r="AI30" s="505"/>
    </row>
    <row r="31" spans="4:36">
      <c r="D31" s="816"/>
      <c r="E31" s="541" t="str">
        <f>"Division Traffic Engineer ("&amp;_xlfn.XLOOKUP(E22,'Email List'!B:B,'Email List'!I:I)&amp;")"</f>
        <v>Division Traffic Engineer (Ashley Lowery + Ben Upshaw)</v>
      </c>
      <c r="F31" s="542" t="str">
        <f>_xlfn.XLOOKUP($E$22,'Email List'!$B:$B,'Email List'!J:J)</f>
        <v>aclowery1@ncdot.gov</v>
      </c>
      <c r="G31" s="543">
        <f>_xlfn.XLOOKUP($E$22,'Email List'!$B:$B,'Email List'!K:K)</f>
        <v>46233</v>
      </c>
      <c r="H31"/>
      <c r="AI31" s="507"/>
    </row>
    <row r="32" spans="4:36" ht="14.7" thickBot="1">
      <c r="D32" s="817"/>
      <c r="E32" s="544" t="str">
        <f>"Regional Signals Engineer ("&amp;_xlfn.XLOOKUP(E22,'Email List'!B:B,'Email List'!L:L)&amp;")"</f>
        <v>Regional Signals Engineer (Rob Ziemba)</v>
      </c>
      <c r="F32" s="545" t="str">
        <f>IF(E23="Y",_xlfn.XLOOKUP($E$22,'Email List'!$B:$B,'Email List'!M:M),"")</f>
        <v/>
      </c>
      <c r="G32" s="546" t="str">
        <f>IF(E23="Y",_xlfn.XLOOKUP($E$22,'Email List'!$B:$B,'Email List'!N:N),"")</f>
        <v/>
      </c>
      <c r="H32" s="257"/>
      <c r="AI32" s="507"/>
    </row>
    <row r="33" spans="4:35">
      <c r="D33" s="815" t="s">
        <v>562</v>
      </c>
      <c r="E33" s="538" t="s">
        <v>690</v>
      </c>
      <c r="F33" s="547" t="s">
        <v>563</v>
      </c>
      <c r="G33" s="548" t="s">
        <v>546</v>
      </c>
      <c r="H33" s="257"/>
      <c r="AI33" s="505"/>
    </row>
    <row r="34" spans="4:35">
      <c r="D34" s="816"/>
      <c r="E34" s="541" t="s">
        <v>689</v>
      </c>
      <c r="F34" s="549" t="s">
        <v>564</v>
      </c>
      <c r="G34" s="550" t="s">
        <v>546</v>
      </c>
      <c r="H34"/>
      <c r="AI34" s="507"/>
    </row>
    <row r="35" spans="4:35">
      <c r="D35" s="816"/>
      <c r="E35" s="541" t="s">
        <v>688</v>
      </c>
      <c r="F35" s="549" t="s">
        <v>565</v>
      </c>
      <c r="G35" s="550" t="s">
        <v>546</v>
      </c>
      <c r="H35"/>
      <c r="AI35" s="508"/>
    </row>
    <row r="36" spans="4:35">
      <c r="D36" s="816"/>
      <c r="E36" s="541" t="s">
        <v>687</v>
      </c>
      <c r="F36" s="549" t="s">
        <v>619</v>
      </c>
      <c r="G36" s="550" t="s">
        <v>546</v>
      </c>
      <c r="H36"/>
      <c r="AI36" s="98"/>
    </row>
    <row r="37" spans="4:35">
      <c r="D37" s="816"/>
      <c r="E37" s="541" t="s">
        <v>686</v>
      </c>
      <c r="F37" s="549" t="s">
        <v>566</v>
      </c>
      <c r="G37" s="550" t="s">
        <v>546</v>
      </c>
      <c r="H37"/>
      <c r="AI37" s="98"/>
    </row>
    <row r="38" spans="4:35">
      <c r="D38" s="816"/>
      <c r="E38" s="541" t="s">
        <v>685</v>
      </c>
      <c r="F38" s="549" t="s">
        <v>568</v>
      </c>
      <c r="G38" s="550" t="s">
        <v>546</v>
      </c>
      <c r="H38"/>
      <c r="AI38" s="98"/>
    </row>
    <row r="39" spans="4:35">
      <c r="D39" s="816"/>
      <c r="E39" s="541" t="str">
        <f>"Regional Field Operations Engineer ("&amp;_xlfn.XLOOKUP(E22,'Email List'!B:B,'Email List'!O:O)&amp;")"</f>
        <v>Regional Field Operations Engineer (John Grant)</v>
      </c>
      <c r="F39" s="542" t="str">
        <f>_xlfn.XLOOKUP($E$22,'Email List'!$B:$B,'Email List'!P:P)</f>
        <v>ALREADY INCLUDED</v>
      </c>
      <c r="G39" s="543">
        <f>_xlfn.XLOOKUP($E$22,'Email List'!$B:$B,'Email List'!Q:Q)</f>
        <v>46233</v>
      </c>
      <c r="H39"/>
      <c r="AI39" s="98"/>
    </row>
    <row r="40" spans="4:35">
      <c r="D40" s="816"/>
      <c r="E40" s="541" t="s">
        <v>694</v>
      </c>
      <c r="F40" s="549" t="s">
        <v>695</v>
      </c>
      <c r="G40" s="550" t="s">
        <v>546</v>
      </c>
      <c r="H40"/>
      <c r="AI40" s="98"/>
    </row>
    <row r="41" spans="4:35">
      <c r="D41" s="816"/>
      <c r="E41" s="541" t="s">
        <v>571</v>
      </c>
      <c r="F41" s="549" t="str">
        <f>IF(E23="Y","dishak@ncdot.gov","")</f>
        <v/>
      </c>
      <c r="G41" s="550" t="s">
        <v>546</v>
      </c>
      <c r="H41"/>
      <c r="AI41" s="98"/>
    </row>
    <row r="42" spans="4:35">
      <c r="D42" s="816"/>
      <c r="E42" s="541" t="str">
        <f>"Division Engineer ("&amp;_xlfn.XLOOKUP(E22,'Email List'!B:B,'Email List'!R:R)&amp;")"</f>
        <v>Division Engineer (Becca Gallas)</v>
      </c>
      <c r="F42" s="542" t="str">
        <f>_xlfn.XLOOKUP($E$22,'Email List'!$B:$B,'Email List'!S:S)</f>
        <v>rjgallas@ncdot.gov</v>
      </c>
      <c r="G42" s="543">
        <f>_xlfn.XLOOKUP($E$22,'Email List'!$B:$B,'Email List'!T:T)</f>
        <v>46233</v>
      </c>
      <c r="H42"/>
      <c r="AI42" s="98"/>
    </row>
    <row r="43" spans="4:35">
      <c r="D43" s="816"/>
      <c r="E43" s="541" t="s">
        <v>574</v>
      </c>
      <c r="F43" s="549" t="str">
        <f>IF(E24="Y","nhorne@ncdot.gov","")</f>
        <v/>
      </c>
      <c r="G43" s="550" t="s">
        <v>546</v>
      </c>
      <c r="H43"/>
      <c r="AI43" s="98"/>
    </row>
    <row r="44" spans="4:35">
      <c r="D44" s="816"/>
      <c r="E44" s="541" t="s">
        <v>575</v>
      </c>
      <c r="F44" s="549" t="str">
        <f>IF(E25="Y","sdlowry@ncdot.gov","")</f>
        <v/>
      </c>
      <c r="G44" s="550" t="s">
        <v>546</v>
      </c>
      <c r="H44"/>
      <c r="AI44" s="98"/>
    </row>
    <row r="45" spans="4:35" ht="14.7" thickBot="1">
      <c r="D45" s="817"/>
      <c r="E45" s="544" t="s">
        <v>576</v>
      </c>
      <c r="F45" s="551" t="str">
        <f>IF(E26="Y","bfuqua1@ncdot.gov","")</f>
        <v/>
      </c>
      <c r="G45" s="552" t="s">
        <v>546</v>
      </c>
      <c r="H45"/>
      <c r="AI45" s="98"/>
    </row>
    <row r="46" spans="4:35">
      <c r="D46"/>
      <c r="E46"/>
      <c r="F46"/>
      <c r="G46"/>
      <c r="H46"/>
      <c r="AI46" s="98"/>
    </row>
    <row r="47" spans="4:35" ht="14.7" thickBot="1">
      <c r="D47" s="5" t="s">
        <v>577</v>
      </c>
      <c r="E47"/>
      <c r="F47" s="553"/>
      <c r="G47" s="47"/>
      <c r="H47" s="47"/>
      <c r="AI47" s="98"/>
    </row>
    <row r="48" spans="4:35" ht="14.7" thickBot="1">
      <c r="D48" s="554" t="s">
        <v>578</v>
      </c>
      <c r="E48" s="830" t="str">
        <f>_xlfn.CONCAT(IF(OR(F29="Vacant",F29="ALREADY INCLUDED"),"",_xlfn.CONCAT(F29,"; ")),IF(OR(F30="Vacant",F30="ALREADY INCLUDED"),"",_xlfn.CONCAT(F30,"; ")),IF(OR(F31="Vacant",F31="ALREADY INCLUDED"),"",F31),IF(OR(F32="Vacant",F32="ALREADY INCLUDED",F32=""),"",_xlfn.CONCAT("; ",F32)))</f>
        <v>tjfowler2@ncdot.gov; aclowery1@ncdot.gov</v>
      </c>
      <c r="F48" s="831"/>
      <c r="G48" s="831"/>
      <c r="H48" s="832"/>
      <c r="I48" s="509"/>
      <c r="AI48" s="98"/>
    </row>
    <row r="49" spans="4:35" ht="32.25" customHeight="1" thickBot="1">
      <c r="D49" s="555" t="s">
        <v>562</v>
      </c>
      <c r="E49" s="833" t="str">
        <f>_xlfn.CONCAT(IF(OR(F33="Vacant",F33="ALREADY INCLUDED"),"",_xlfn.CONCAT(F33,"; ")),IF(OR(F34="Vacant",F34="ALREADY INCLUDED"),"",_xlfn.CONCAT(F34,"; ")),IF(OR(F35="Vacant",F35="ALREADY INCLUDED"),"",_xlfn.CONCAT(F35,"; ")),IF(OR(F36="Vacant",F36="ALREADY INCLUDED"),"",_xlfn.CONCAT(F36,"; ")),IF(OR(F37="Vacant",F37="ALREADY INCLUDED"),"",_xlfn.CONCAT(F37,"; ")),IF(OR(F38="Vacant",F38="ALREADY INCLUDED"),"",_xlfn.CONCAT(F38,"; ")),IF(OR(F39="Vacant",F39="ALREADY INCLUDED"),"",_xlfn.CONCAT(F39,"; ")),IF(OR(F40="Vacant",F40="ALREADY INCLUDED",F40=""),"",_xlfn.CONCAT(F40,"; ")),IF(OR(F41="Vacant",F41="ALREADY INCLUDED",F41=""),"",_xlfn.CONCAT(F41,"; ")),IF(OR(F42="Vacant",F42="ALREADY INCLUDED"),"",F42),IF(F43="","",_xlfn.CONCAT("; ",F43)), IF(F44="","",_xlfn.CONCAT("; ",F44)),, IF(F45="","",_xlfn.CONCAT("; ",F45)))</f>
        <v>jportanova@ncdot.gov; stroy@ncdot.gov; bgmurphy@ncdot.gov; clsimpson@ncdot.gov; jhgrant@ncdot.gov; jwdale@ncdot.gov; rjgallas@ncdot.gov</v>
      </c>
      <c r="F49" s="834"/>
      <c r="G49" s="834"/>
      <c r="H49" s="835"/>
      <c r="I49" s="510"/>
      <c r="AI49" s="98"/>
    </row>
    <row r="50" spans="4:35" ht="14.7" thickBot="1">
      <c r="I50" s="511"/>
      <c r="AI50" s="98"/>
    </row>
    <row r="51" spans="4:35">
      <c r="AI51" s="98"/>
    </row>
    <row r="52" spans="4:35">
      <c r="AI52" s="98"/>
    </row>
    <row r="53" spans="4:35">
      <c r="AI53" s="98"/>
    </row>
    <row r="54" spans="4:35">
      <c r="AI54" s="98"/>
    </row>
    <row r="55" spans="4:35">
      <c r="AI55" s="98"/>
    </row>
    <row r="56" spans="4:35">
      <c r="AI56" s="98"/>
    </row>
    <row r="57" spans="4:35">
      <c r="AI57" s="98"/>
    </row>
    <row r="58" spans="4:35">
      <c r="AI58" s="98"/>
    </row>
    <row r="59" spans="4:35">
      <c r="AI59" s="98"/>
    </row>
    <row r="60" spans="4:35">
      <c r="AI60" s="98"/>
    </row>
    <row r="61" spans="4:35">
      <c r="AI61" s="98"/>
    </row>
    <row r="62" spans="4:35">
      <c r="AI62" s="98"/>
    </row>
    <row r="63" spans="4:35">
      <c r="AI63" s="98"/>
    </row>
    <row r="64" spans="4:35">
      <c r="AI64" s="98"/>
    </row>
    <row r="65" s="98" customFormat="1"/>
    <row r="66" s="98" customFormat="1"/>
    <row r="67" s="98" customFormat="1"/>
    <row r="68" s="98" customFormat="1"/>
    <row r="69" s="98" customFormat="1"/>
    <row r="70" s="98" customFormat="1"/>
    <row r="71" s="98" customFormat="1"/>
    <row r="72" s="98" customFormat="1"/>
    <row r="73" s="98" customFormat="1"/>
    <row r="74" s="98" customFormat="1"/>
    <row r="75" s="98" customFormat="1"/>
    <row r="76" s="98" customFormat="1"/>
    <row r="77" s="98" customFormat="1"/>
    <row r="78" s="98" customFormat="1"/>
    <row r="79" s="98" customFormat="1"/>
    <row r="80" s="98" customFormat="1"/>
    <row r="81" s="98" customFormat="1"/>
    <row r="82" s="98" customFormat="1"/>
    <row r="83" s="98" customFormat="1"/>
    <row r="84" s="98" customFormat="1"/>
    <row r="85" s="98" customFormat="1"/>
    <row r="86" s="98" customFormat="1"/>
    <row r="87" s="98" customFormat="1"/>
    <row r="88" s="98" customFormat="1"/>
    <row r="89" s="98" customFormat="1"/>
    <row r="90" s="98" customFormat="1"/>
    <row r="91" s="98" customFormat="1"/>
    <row r="92" s="98" customFormat="1"/>
    <row r="93" s="98" customFormat="1"/>
    <row r="94" s="98" customFormat="1"/>
    <row r="95" s="98" customFormat="1"/>
    <row r="96" s="98" customFormat="1"/>
    <row r="97" s="98" customFormat="1"/>
    <row r="98" s="98" customFormat="1"/>
    <row r="99" s="98" customFormat="1"/>
    <row r="100" s="98" customFormat="1"/>
    <row r="101" s="98" customFormat="1"/>
    <row r="102" s="98" customFormat="1"/>
    <row r="103" s="98" customFormat="1"/>
    <row r="104" s="98" customFormat="1"/>
    <row r="105" s="98" customFormat="1"/>
    <row r="106" s="98" customFormat="1"/>
    <row r="107" s="98" customFormat="1"/>
    <row r="108" s="98" customFormat="1"/>
    <row r="109" s="98" customFormat="1"/>
    <row r="110" s="98" customFormat="1"/>
    <row r="111" s="98" customFormat="1"/>
    <row r="112" s="98" customFormat="1"/>
    <row r="113" s="98" customFormat="1"/>
    <row r="114" s="98" customFormat="1"/>
    <row r="115" s="98" customFormat="1"/>
    <row r="116" s="98" customFormat="1"/>
    <row r="117" s="98" customFormat="1"/>
    <row r="118" s="98" customFormat="1"/>
    <row r="119" s="98" customFormat="1"/>
    <row r="120" s="98" customFormat="1"/>
    <row r="121" s="98" customFormat="1"/>
    <row r="122" s="98" customFormat="1"/>
    <row r="123" s="98" customFormat="1"/>
    <row r="124" s="98" customFormat="1"/>
    <row r="125" s="98" customFormat="1"/>
    <row r="126" s="98" customFormat="1"/>
    <row r="127" s="98" customFormat="1"/>
    <row r="128" s="98" customFormat="1"/>
    <row r="129" s="98" customFormat="1"/>
    <row r="130" s="98" customFormat="1"/>
    <row r="131" s="98" customFormat="1"/>
    <row r="132" s="98" customFormat="1"/>
    <row r="133" s="98" customFormat="1"/>
    <row r="134" s="98" customFormat="1"/>
    <row r="135" s="98" customFormat="1"/>
    <row r="136" s="98" customFormat="1"/>
    <row r="137" s="98" customFormat="1"/>
    <row r="138" s="98" customFormat="1"/>
    <row r="139" s="98" customFormat="1"/>
    <row r="140" s="98" customFormat="1"/>
    <row r="141" s="98" customFormat="1"/>
    <row r="142" s="98" customFormat="1"/>
    <row r="143" s="98" customFormat="1"/>
    <row r="144" s="98" customFormat="1"/>
    <row r="145" s="98" customFormat="1"/>
    <row r="146" s="98" customFormat="1"/>
    <row r="147" s="98" customFormat="1"/>
    <row r="148" s="98" customFormat="1"/>
    <row r="149" s="98" customFormat="1"/>
    <row r="150" s="98" customFormat="1"/>
  </sheetData>
  <sheetProtection formatCells="0" formatColumns="0" formatRows="0"/>
  <mergeCells count="6">
    <mergeCell ref="D29:D32"/>
    <mergeCell ref="E14:H20"/>
    <mergeCell ref="D14:D20"/>
    <mergeCell ref="E48:H48"/>
    <mergeCell ref="E49:H49"/>
    <mergeCell ref="D33:D45"/>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1BB9-ACB5-489A-A4B7-14130A92DE9B}">
  <sheetPr codeName="Sheet20"/>
  <dimension ref="A1:T32"/>
  <sheetViews>
    <sheetView workbookViewId="0">
      <pane xSplit="2" topLeftCell="C1" activePane="topRight" state="frozen"/>
      <selection pane="topRight" activeCell="E7" sqref="E7"/>
    </sheetView>
  </sheetViews>
  <sheetFormatPr defaultRowHeight="14.4"/>
  <cols>
    <col min="1" max="2" width="11.15625" bestFit="1" customWidth="1"/>
    <col min="3" max="4" width="16.47265625" bestFit="1" customWidth="1"/>
    <col min="5" max="5" width="12.15625" style="2" bestFit="1" customWidth="1"/>
    <col min="6" max="7" width="16.47265625" bestFit="1" customWidth="1"/>
    <col min="8" max="8" width="12.15625" style="2" bestFit="1" customWidth="1"/>
    <col min="9" max="10" width="16.47265625" bestFit="1" customWidth="1"/>
    <col min="11" max="11" width="12.15625" bestFit="1" customWidth="1"/>
    <col min="12" max="13" width="16.47265625" bestFit="1" customWidth="1"/>
    <col min="14" max="14" width="12.15625" style="2" bestFit="1" customWidth="1"/>
    <col min="15" max="16" width="16.47265625" bestFit="1" customWidth="1"/>
    <col min="17" max="17" width="12.15625" style="2" bestFit="1" customWidth="1"/>
    <col min="18" max="19" width="16.47265625" bestFit="1" customWidth="1"/>
    <col min="20" max="20" width="12.15625" style="2" bestFit="1" customWidth="1"/>
  </cols>
  <sheetData>
    <row r="1" spans="1:20">
      <c r="A1" t="s">
        <v>547</v>
      </c>
      <c r="B1" t="s">
        <v>548</v>
      </c>
      <c r="C1" t="s">
        <v>549</v>
      </c>
      <c r="D1" t="s">
        <v>550</v>
      </c>
      <c r="E1" s="2" t="s">
        <v>551</v>
      </c>
      <c r="F1" t="s">
        <v>552</v>
      </c>
      <c r="G1" t="s">
        <v>579</v>
      </c>
      <c r="H1" s="2" t="s">
        <v>580</v>
      </c>
      <c r="I1" t="s">
        <v>581</v>
      </c>
      <c r="J1" t="s">
        <v>582</v>
      </c>
      <c r="K1" t="s">
        <v>583</v>
      </c>
      <c r="L1" t="s">
        <v>584</v>
      </c>
      <c r="M1" t="s">
        <v>585</v>
      </c>
      <c r="N1" s="2" t="s">
        <v>586</v>
      </c>
      <c r="O1" t="s">
        <v>587</v>
      </c>
      <c r="P1" t="s">
        <v>588</v>
      </c>
      <c r="Q1" s="2" t="s">
        <v>589</v>
      </c>
      <c r="R1" t="s">
        <v>590</v>
      </c>
      <c r="S1" t="s">
        <v>591</v>
      </c>
      <c r="T1" s="2" t="s">
        <v>592</v>
      </c>
    </row>
    <row r="2" spans="1:20">
      <c r="K2" s="2"/>
    </row>
    <row r="3" spans="1:20">
      <c r="B3" t="s">
        <v>553</v>
      </c>
      <c r="C3" t="s">
        <v>555</v>
      </c>
      <c r="E3" s="2" t="s">
        <v>593</v>
      </c>
      <c r="F3" t="s">
        <v>557</v>
      </c>
      <c r="H3" s="2" t="s">
        <v>593</v>
      </c>
      <c r="I3" t="s">
        <v>559</v>
      </c>
      <c r="K3" s="2" t="s">
        <v>593</v>
      </c>
      <c r="L3" t="s">
        <v>561</v>
      </c>
      <c r="N3" s="2" t="s">
        <v>593</v>
      </c>
      <c r="O3" t="s">
        <v>569</v>
      </c>
      <c r="Q3" s="2" t="s">
        <v>593</v>
      </c>
      <c r="R3" t="s">
        <v>572</v>
      </c>
      <c r="T3" s="2" t="s">
        <v>593</v>
      </c>
    </row>
    <row r="4" spans="1:20">
      <c r="B4">
        <v>1</v>
      </c>
      <c r="C4" t="s">
        <v>594</v>
      </c>
      <c r="D4" t="s">
        <v>556</v>
      </c>
      <c r="E4" s="2">
        <v>46233</v>
      </c>
      <c r="F4" t="s">
        <v>595</v>
      </c>
      <c r="G4" t="s">
        <v>558</v>
      </c>
      <c r="H4" s="2">
        <v>46233</v>
      </c>
      <c r="I4" t="s">
        <v>596</v>
      </c>
      <c r="J4" t="s">
        <v>560</v>
      </c>
      <c r="K4" s="2">
        <v>46233</v>
      </c>
      <c r="L4" t="s">
        <v>597</v>
      </c>
      <c r="M4" t="s">
        <v>598</v>
      </c>
      <c r="N4" s="2">
        <v>46233</v>
      </c>
      <c r="O4" t="s">
        <v>599</v>
      </c>
      <c r="P4" t="s">
        <v>570</v>
      </c>
      <c r="Q4" s="2">
        <v>46233</v>
      </c>
      <c r="R4" t="s">
        <v>600</v>
      </c>
      <c r="S4" t="s">
        <v>573</v>
      </c>
      <c r="T4" s="2">
        <v>46233</v>
      </c>
    </row>
    <row r="5" spans="1:20">
      <c r="B5">
        <v>2</v>
      </c>
      <c r="C5" t="s">
        <v>594</v>
      </c>
      <c r="D5" t="s">
        <v>556</v>
      </c>
      <c r="E5" s="2">
        <v>46233</v>
      </c>
      <c r="F5" t="s">
        <v>595</v>
      </c>
      <c r="G5" t="s">
        <v>558</v>
      </c>
      <c r="H5" s="2">
        <v>46233</v>
      </c>
      <c r="I5" t="s">
        <v>601</v>
      </c>
      <c r="J5" t="s">
        <v>602</v>
      </c>
      <c r="K5" s="2">
        <v>46233</v>
      </c>
      <c r="L5" t="s">
        <v>597</v>
      </c>
      <c r="M5" t="s">
        <v>598</v>
      </c>
      <c r="N5" s="2">
        <v>46233</v>
      </c>
      <c r="O5" t="s">
        <v>599</v>
      </c>
      <c r="P5" t="s">
        <v>570</v>
      </c>
      <c r="Q5" s="2">
        <v>46233</v>
      </c>
      <c r="R5" t="s">
        <v>603</v>
      </c>
      <c r="S5" t="s">
        <v>604</v>
      </c>
      <c r="T5" s="2">
        <v>46233</v>
      </c>
    </row>
    <row r="6" spans="1:20">
      <c r="B6">
        <v>3</v>
      </c>
      <c r="C6" t="s">
        <v>605</v>
      </c>
      <c r="D6" t="s">
        <v>606</v>
      </c>
      <c r="E6" s="2">
        <v>46233</v>
      </c>
      <c r="F6" t="s">
        <v>607</v>
      </c>
      <c r="G6" t="s">
        <v>608</v>
      </c>
      <c r="H6" s="2">
        <v>46233</v>
      </c>
      <c r="I6" t="s">
        <v>609</v>
      </c>
      <c r="J6" t="s">
        <v>610</v>
      </c>
      <c r="K6" s="2">
        <v>46233</v>
      </c>
      <c r="L6" t="s">
        <v>597</v>
      </c>
      <c r="M6" t="s">
        <v>598</v>
      </c>
      <c r="N6" s="2">
        <v>46233</v>
      </c>
      <c r="O6" t="s">
        <v>599</v>
      </c>
      <c r="P6" t="s">
        <v>570</v>
      </c>
      <c r="Q6" s="2">
        <v>46233</v>
      </c>
      <c r="R6" t="s">
        <v>611</v>
      </c>
      <c r="S6" t="s">
        <v>612</v>
      </c>
      <c r="T6" s="2">
        <v>46233</v>
      </c>
    </row>
    <row r="7" spans="1:20">
      <c r="B7">
        <v>4</v>
      </c>
      <c r="C7" t="s">
        <v>594</v>
      </c>
      <c r="D7" t="s">
        <v>556</v>
      </c>
      <c r="E7" s="2">
        <v>46233</v>
      </c>
      <c r="F7" t="s">
        <v>595</v>
      </c>
      <c r="G7" t="s">
        <v>558</v>
      </c>
      <c r="H7" s="2">
        <v>46233</v>
      </c>
      <c r="I7" t="s">
        <v>613</v>
      </c>
      <c r="J7" t="s">
        <v>614</v>
      </c>
      <c r="K7" s="2">
        <v>46233</v>
      </c>
      <c r="L7" t="s">
        <v>597</v>
      </c>
      <c r="M7" t="s">
        <v>598</v>
      </c>
      <c r="N7" s="2">
        <v>46233</v>
      </c>
      <c r="O7" t="s">
        <v>599</v>
      </c>
      <c r="P7" t="s">
        <v>570</v>
      </c>
      <c r="Q7" s="2">
        <v>46233</v>
      </c>
      <c r="R7" t="s">
        <v>615</v>
      </c>
      <c r="S7" t="s">
        <v>616</v>
      </c>
      <c r="T7" s="2">
        <v>46233</v>
      </c>
    </row>
    <row r="8" spans="1:20">
      <c r="B8">
        <v>5</v>
      </c>
      <c r="C8" t="s">
        <v>617</v>
      </c>
      <c r="D8" t="s">
        <v>618</v>
      </c>
      <c r="E8" s="2">
        <v>46233</v>
      </c>
      <c r="F8" t="s">
        <v>619</v>
      </c>
      <c r="G8" t="s">
        <v>619</v>
      </c>
      <c r="H8" s="2">
        <v>46233</v>
      </c>
      <c r="I8" t="s">
        <v>620</v>
      </c>
      <c r="J8" t="s">
        <v>621</v>
      </c>
      <c r="K8" s="2">
        <v>46233</v>
      </c>
      <c r="L8" t="s">
        <v>622</v>
      </c>
      <c r="M8" t="s">
        <v>623</v>
      </c>
      <c r="N8" s="2">
        <v>46233</v>
      </c>
      <c r="O8" t="s">
        <v>567</v>
      </c>
      <c r="P8" t="s">
        <v>624</v>
      </c>
      <c r="Q8" s="2">
        <v>46233</v>
      </c>
      <c r="R8" t="s">
        <v>625</v>
      </c>
      <c r="S8" t="s">
        <v>626</v>
      </c>
      <c r="T8" s="2">
        <v>46233</v>
      </c>
    </row>
    <row r="9" spans="1:20">
      <c r="B9">
        <v>6</v>
      </c>
      <c r="C9" t="s">
        <v>627</v>
      </c>
      <c r="D9" t="s">
        <v>628</v>
      </c>
      <c r="E9" s="2">
        <v>46233</v>
      </c>
      <c r="F9" t="s">
        <v>629</v>
      </c>
      <c r="G9" t="s">
        <v>630</v>
      </c>
      <c r="H9" s="2">
        <v>46233</v>
      </c>
      <c r="I9" t="s">
        <v>631</v>
      </c>
      <c r="J9" t="s">
        <v>632</v>
      </c>
      <c r="K9" s="2">
        <v>46233</v>
      </c>
      <c r="L9" t="s">
        <v>597</v>
      </c>
      <c r="M9" t="s">
        <v>598</v>
      </c>
      <c r="N9" s="2">
        <v>46233</v>
      </c>
      <c r="O9" t="s">
        <v>599</v>
      </c>
      <c r="P9" t="s">
        <v>570</v>
      </c>
      <c r="Q9" s="2">
        <v>46233</v>
      </c>
      <c r="R9" t="s">
        <v>633</v>
      </c>
      <c r="S9" t="s">
        <v>634</v>
      </c>
      <c r="T9" s="2">
        <v>46233</v>
      </c>
    </row>
    <row r="10" spans="1:20">
      <c r="B10">
        <v>7</v>
      </c>
      <c r="C10" t="s">
        <v>635</v>
      </c>
      <c r="D10" t="s">
        <v>636</v>
      </c>
      <c r="E10" s="2">
        <v>46233</v>
      </c>
      <c r="F10" t="s">
        <v>637</v>
      </c>
      <c r="G10" t="s">
        <v>638</v>
      </c>
      <c r="H10" s="2">
        <v>46233</v>
      </c>
      <c r="I10" t="s">
        <v>639</v>
      </c>
      <c r="J10" t="s">
        <v>640</v>
      </c>
      <c r="K10" s="2">
        <v>46233</v>
      </c>
      <c r="L10" t="s">
        <v>622</v>
      </c>
      <c r="M10" t="s">
        <v>623</v>
      </c>
      <c r="N10" s="2">
        <v>46233</v>
      </c>
      <c r="O10" t="s">
        <v>567</v>
      </c>
      <c r="P10" t="s">
        <v>624</v>
      </c>
      <c r="Q10" s="2">
        <v>46233</v>
      </c>
      <c r="R10" t="s">
        <v>641</v>
      </c>
      <c r="S10" t="s">
        <v>642</v>
      </c>
      <c r="T10" s="2">
        <v>46233</v>
      </c>
    </row>
    <row r="11" spans="1:20">
      <c r="B11">
        <v>8</v>
      </c>
      <c r="C11" t="s">
        <v>617</v>
      </c>
      <c r="D11" t="s">
        <v>618</v>
      </c>
      <c r="E11" s="2">
        <v>46233</v>
      </c>
      <c r="F11" t="s">
        <v>619</v>
      </c>
      <c r="G11" t="s">
        <v>619</v>
      </c>
      <c r="H11" s="2">
        <v>46233</v>
      </c>
      <c r="I11" t="s">
        <v>643</v>
      </c>
      <c r="J11" t="s">
        <v>644</v>
      </c>
      <c r="K11" s="2">
        <v>46233</v>
      </c>
      <c r="L11" t="s">
        <v>622</v>
      </c>
      <c r="M11" t="s">
        <v>623</v>
      </c>
      <c r="N11" s="2">
        <v>46233</v>
      </c>
      <c r="O11" t="s">
        <v>567</v>
      </c>
      <c r="P11" t="s">
        <v>624</v>
      </c>
      <c r="Q11" s="2">
        <v>46233</v>
      </c>
      <c r="R11" t="s">
        <v>645</v>
      </c>
      <c r="S11" t="s">
        <v>646</v>
      </c>
      <c r="T11" s="2">
        <v>46233</v>
      </c>
    </row>
    <row r="12" spans="1:20">
      <c r="B12">
        <v>9</v>
      </c>
      <c r="C12" t="s">
        <v>635</v>
      </c>
      <c r="D12" t="s">
        <v>636</v>
      </c>
      <c r="E12" s="2">
        <v>46233</v>
      </c>
      <c r="F12" t="s">
        <v>637</v>
      </c>
      <c r="G12" t="s">
        <v>638</v>
      </c>
      <c r="H12" s="2">
        <v>46233</v>
      </c>
      <c r="I12" t="s">
        <v>647</v>
      </c>
      <c r="J12" t="s">
        <v>648</v>
      </c>
      <c r="K12" s="2">
        <v>46233</v>
      </c>
      <c r="L12" t="s">
        <v>622</v>
      </c>
      <c r="M12" t="s">
        <v>623</v>
      </c>
      <c r="N12" s="2">
        <v>46233</v>
      </c>
      <c r="O12" t="s">
        <v>567</v>
      </c>
      <c r="P12" t="s">
        <v>624</v>
      </c>
      <c r="Q12" s="2">
        <v>46233</v>
      </c>
      <c r="R12" t="s">
        <v>649</v>
      </c>
      <c r="S12" t="s">
        <v>650</v>
      </c>
      <c r="T12" s="2">
        <v>46233</v>
      </c>
    </row>
    <row r="13" spans="1:20">
      <c r="B13">
        <v>10</v>
      </c>
      <c r="C13" t="s">
        <v>651</v>
      </c>
      <c r="D13" t="s">
        <v>652</v>
      </c>
      <c r="E13" s="2">
        <v>46233</v>
      </c>
      <c r="F13" t="s">
        <v>653</v>
      </c>
      <c r="G13" t="s">
        <v>654</v>
      </c>
      <c r="H13" s="2">
        <v>46233</v>
      </c>
      <c r="I13" t="s">
        <v>655</v>
      </c>
      <c r="J13" t="s">
        <v>656</v>
      </c>
      <c r="K13" s="2">
        <v>46233</v>
      </c>
      <c r="L13" t="s">
        <v>619</v>
      </c>
      <c r="M13" t="s">
        <v>619</v>
      </c>
      <c r="N13" s="2">
        <v>46233</v>
      </c>
      <c r="O13" t="s">
        <v>657</v>
      </c>
      <c r="P13" t="s">
        <v>658</v>
      </c>
      <c r="Q13" s="2">
        <v>46233</v>
      </c>
      <c r="R13" t="s">
        <v>659</v>
      </c>
      <c r="S13" t="s">
        <v>660</v>
      </c>
      <c r="T13" s="2">
        <v>46233</v>
      </c>
    </row>
    <row r="14" spans="1:20">
      <c r="B14">
        <v>11</v>
      </c>
      <c r="C14" t="s">
        <v>661</v>
      </c>
      <c r="D14" t="s">
        <v>662</v>
      </c>
      <c r="E14" s="2">
        <v>46233</v>
      </c>
      <c r="F14" t="s">
        <v>663</v>
      </c>
      <c r="G14" t="s">
        <v>664</v>
      </c>
      <c r="H14" s="2">
        <v>46233</v>
      </c>
      <c r="I14" t="s">
        <v>665</v>
      </c>
      <c r="J14" t="s">
        <v>666</v>
      </c>
      <c r="K14" s="2">
        <v>46233</v>
      </c>
      <c r="L14" t="s">
        <v>619</v>
      </c>
      <c r="M14" t="s">
        <v>619</v>
      </c>
      <c r="N14" s="2">
        <v>46233</v>
      </c>
      <c r="O14" t="s">
        <v>657</v>
      </c>
      <c r="P14" t="s">
        <v>658</v>
      </c>
      <c r="Q14" s="2">
        <v>46233</v>
      </c>
      <c r="R14" t="s">
        <v>667</v>
      </c>
      <c r="S14" t="s">
        <v>668</v>
      </c>
      <c r="T14" s="2">
        <v>46233</v>
      </c>
    </row>
    <row r="15" spans="1:20">
      <c r="B15">
        <v>12</v>
      </c>
      <c r="C15" t="s">
        <v>661</v>
      </c>
      <c r="D15" t="s">
        <v>662</v>
      </c>
      <c r="E15" s="2">
        <v>46233</v>
      </c>
      <c r="F15" t="s">
        <v>663</v>
      </c>
      <c r="G15" t="s">
        <v>664</v>
      </c>
      <c r="H15" s="2">
        <v>46233</v>
      </c>
      <c r="I15" t="s">
        <v>669</v>
      </c>
      <c r="J15" t="s">
        <v>670</v>
      </c>
      <c r="K15" s="2">
        <v>46233</v>
      </c>
      <c r="L15" t="s">
        <v>619</v>
      </c>
      <c r="M15" t="s">
        <v>619</v>
      </c>
      <c r="N15" s="2">
        <v>46233</v>
      </c>
      <c r="O15" t="s">
        <v>657</v>
      </c>
      <c r="P15" t="s">
        <v>658</v>
      </c>
      <c r="Q15" s="2">
        <v>46233</v>
      </c>
      <c r="R15" t="s">
        <v>671</v>
      </c>
      <c r="S15" t="s">
        <v>672</v>
      </c>
      <c r="T15" s="2">
        <v>46233</v>
      </c>
    </row>
    <row r="16" spans="1:20">
      <c r="B16">
        <v>13</v>
      </c>
      <c r="C16" t="s">
        <v>673</v>
      </c>
      <c r="D16" t="s">
        <v>674</v>
      </c>
      <c r="E16" s="2">
        <v>46233</v>
      </c>
      <c r="F16" t="s">
        <v>675</v>
      </c>
      <c r="G16" t="s">
        <v>676</v>
      </c>
      <c r="H16" s="2">
        <v>46233</v>
      </c>
      <c r="I16" t="s">
        <v>677</v>
      </c>
      <c r="J16" t="s">
        <v>678</v>
      </c>
      <c r="K16" s="2">
        <v>46233</v>
      </c>
      <c r="L16" t="s">
        <v>619</v>
      </c>
      <c r="M16" t="s">
        <v>619</v>
      </c>
      <c r="N16" s="2">
        <v>46233</v>
      </c>
      <c r="O16" t="s">
        <v>657</v>
      </c>
      <c r="P16" t="s">
        <v>658</v>
      </c>
      <c r="Q16" s="2">
        <v>46233</v>
      </c>
      <c r="R16" t="s">
        <v>679</v>
      </c>
      <c r="S16" t="s">
        <v>680</v>
      </c>
      <c r="T16" s="2">
        <v>46233</v>
      </c>
    </row>
    <row r="17" spans="2:20">
      <c r="B17">
        <v>14</v>
      </c>
      <c r="C17" t="s">
        <v>673</v>
      </c>
      <c r="D17" t="s">
        <v>674</v>
      </c>
      <c r="E17" s="2">
        <v>46233</v>
      </c>
      <c r="F17" t="s">
        <v>675</v>
      </c>
      <c r="G17" t="s">
        <v>676</v>
      </c>
      <c r="H17" s="2">
        <v>46233</v>
      </c>
      <c r="I17" t="s">
        <v>681</v>
      </c>
      <c r="J17" t="s">
        <v>682</v>
      </c>
      <c r="K17" s="2">
        <v>46233</v>
      </c>
      <c r="L17" t="s">
        <v>619</v>
      </c>
      <c r="M17" t="s">
        <v>619</v>
      </c>
      <c r="N17" s="2">
        <v>46233</v>
      </c>
      <c r="O17" t="s">
        <v>657</v>
      </c>
      <c r="P17" t="s">
        <v>658</v>
      </c>
      <c r="Q17" s="2">
        <v>46233</v>
      </c>
      <c r="R17" t="s">
        <v>683</v>
      </c>
      <c r="S17" t="s">
        <v>684</v>
      </c>
      <c r="T17" s="2">
        <v>46233</v>
      </c>
    </row>
    <row r="18" spans="2:20">
      <c r="K18" s="2"/>
    </row>
    <row r="19" spans="2:20">
      <c r="K19" s="2"/>
    </row>
    <row r="20" spans="2:20">
      <c r="K20" s="2"/>
    </row>
    <row r="21" spans="2:20">
      <c r="K21" s="2"/>
    </row>
    <row r="22" spans="2:20">
      <c r="K22" s="2"/>
    </row>
    <row r="23" spans="2:20">
      <c r="K23" s="2"/>
    </row>
    <row r="24" spans="2:20">
      <c r="K24" s="2"/>
    </row>
    <row r="25" spans="2:20">
      <c r="K25" s="2"/>
    </row>
    <row r="26" spans="2:20">
      <c r="K26" s="2"/>
    </row>
    <row r="27" spans="2:20">
      <c r="K27" s="2"/>
    </row>
    <row r="28" spans="2:20">
      <c r="K28" s="2"/>
    </row>
    <row r="29" spans="2:20">
      <c r="K29" s="2"/>
    </row>
    <row r="30" spans="2:20">
      <c r="K30" s="2"/>
    </row>
    <row r="31" spans="2:20">
      <c r="K31" s="2"/>
    </row>
    <row r="32" spans="2:20">
      <c r="K32" s="2"/>
    </row>
  </sheetData>
  <phoneticPr fontId="4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C5F00B-1AEE-4BBD-B5A0-7FD6A030EA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Step-by-Step Instructions</vt:lpstr>
      <vt:lpstr>Typical Target Crash Types</vt:lpstr>
      <vt:lpstr>Assumptions</vt:lpstr>
      <vt:lpstr>Evaluation Set-up</vt:lpstr>
      <vt:lpstr>Fiche Prep Tool</vt:lpstr>
      <vt:lpstr>Initial Crash ID list</vt:lpstr>
      <vt:lpstr>Parameters</vt:lpstr>
      <vt:lpstr>Original Fiche</vt:lpstr>
      <vt:lpstr>Filtered Fiche</vt:lpstr>
      <vt:lpstr>Binned Crashes</vt:lpstr>
      <vt:lpstr>Before</vt:lpstr>
      <vt:lpstr>After</vt:lpstr>
      <vt:lpstr>Trends</vt:lpstr>
      <vt:lpstr>One Pager</vt:lpstr>
      <vt:lpstr>For NCDOT staff - for Tracking</vt:lpstr>
      <vt:lpstr>For NCDOT staff - Email</vt:lpstr>
      <vt:lpstr>Email List</vt:lpstr>
      <vt:lpstr>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S. Nye</dc:creator>
  <cp:lastModifiedBy>Chris Bahret</cp:lastModifiedBy>
  <cp:lastPrinted>2026-09-11T12:00:20Z</cp:lastPrinted>
  <dcterms:created xsi:type="dcterms:W3CDTF">2019-02-04T16:37:52Z</dcterms:created>
  <dcterms:modified xsi:type="dcterms:W3CDTF">2026-09-15T10:33:45Z</dcterms:modified>
</cp:coreProperties>
</file>