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F28BE89E-FBB1-4DCE-9DF4-C1C2BAA20623}" xr6:coauthVersionLast="43" xr6:coauthVersionMax="43" xr10:uidLastSave="{00000000-0000-0000-0000-000000000000}"/>
  <bookViews>
    <workbookView xWindow="384" yWindow="3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B69" i="3"/>
  <c r="B64" i="3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H41" i="1"/>
  <c r="F42" i="1"/>
  <c r="J42" i="1"/>
  <c r="C14" i="3"/>
  <c r="D41" i="1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J18" i="1"/>
  <c r="C38" i="3"/>
  <c r="L11" i="1"/>
  <c r="E35" i="3"/>
  <c r="L9" i="1"/>
  <c r="E39" i="3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L18" i="3"/>
  <c r="Q18" i="3"/>
  <c r="C39" i="5"/>
  <c r="B58" i="5"/>
  <c r="B59" i="5"/>
  <c r="C42" i="5"/>
  <c r="B69" i="5"/>
  <c r="H46" i="6"/>
  <c r="J19" i="1"/>
  <c r="C3" i="3"/>
  <c r="F10" i="2"/>
  <c r="D17" i="4"/>
  <c r="E17" i="4"/>
  <c r="L14" i="1"/>
  <c r="J32" i="1"/>
  <c r="J30" i="1"/>
  <c r="C32" i="3"/>
  <c r="J13" i="1"/>
  <c r="C5" i="3"/>
  <c r="N16" i="3"/>
  <c r="Q16" i="3"/>
  <c r="P50" i="1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10" i="4"/>
  <c r="I52" i="3"/>
  <c r="I69" i="3"/>
  <c r="I49" i="3"/>
  <c r="D47" i="5"/>
  <c r="I22" i="3"/>
  <c r="I27" i="3"/>
  <c r="B5" i="6"/>
  <c r="C122" i="2"/>
  <c r="F122" i="2"/>
  <c r="D20" i="4"/>
  <c r="B64" i="5"/>
  <c r="C125" i="2"/>
  <c r="E125" i="2"/>
  <c r="B68" i="5"/>
  <c r="B71" i="5"/>
  <c r="B39" i="5"/>
  <c r="B40" i="5"/>
  <c r="B42" i="5"/>
  <c r="G53" i="3"/>
  <c r="G55" i="3"/>
  <c r="G59" i="3"/>
  <c r="I21" i="5"/>
  <c r="I24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<sst xmlns="http://schemas.openxmlformats.org/spreadsheetml/2006/main" count="395" uniqueCount="232">
  <si>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</si>
  <si>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</si>
  <si>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</si>
  <si>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</si>
  <si>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</si>
  <si>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</si>
  <si>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</si>
  <si>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</si>
  <si>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</si>
  <si>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</si>
  <si>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</si>
  <si>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</si>
  <si>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</si>
  <si>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</si>
  <si>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</si>
  <si>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</si>
  <si>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</si>
  <si>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</si>
  <si>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</si>
  <si>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</si>
  <si>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</si>
  <si>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</si>
  <si>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</si>
  <si>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</si>
  <si>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</si>
  <si>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</si>
  <si>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</si>
  <si>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</si>
  <si>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</si>
  <si>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</si>
  <si>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</si>
  <si>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</si>
  <si>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</si>
  <si>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</si>
  <si>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</si>
  <si>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</si>
  <si>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</si>
  <si>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</si>
  <si>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</si>
  <si>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</si>
  <si>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</si>
  <si>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</si>
  <si>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</si>
  <si>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</si>
  <si>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</si>
  <si>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</si>
  <si>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</si>
  <si>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</si>
  <si>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</si>
  <si>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</si>
  <si>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</si>
  <si>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</si>
  <si>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</si>
  <si>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</si>
  <si>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</si>
  <si>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</si>
  <si>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</si>
  <si>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</si>
  <si>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</si>
  <si>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</si>
  <si>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</si>
  <si>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</si>
  <si>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</si>
  <si>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</si>
  <si>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</si>
  <si>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</si>
  <si>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</si>
  <si>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</si>
  <si>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</si>
  <si>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</si>
  <si>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</si>
  <si>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</si>
  <si>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</si>
  <si>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</si>
  <si>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</si>
  <si>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</si>
  <si>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</si>
  <si>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</si>
  <si>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</si>
  <si>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</si>
  <si>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</si>
  <si>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</si>
  <si>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</si>
  <si>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</si>
  <si>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</si>
  <si>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</si>
  <si>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</si>
  <si>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</si>
  <si>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</si>
  <si>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</si>
  <si>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</si>
  <si>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</si>
  <si>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</si>
  <si>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</si>
  <si>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</si>
  <si>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</si>
  <si>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</si>
  <si>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</si>
  <si>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</si>
  <si>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</si>
  <si>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</si>
  <si>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</si>
  <si>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</si>
  <si>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</si>
  <si>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</si>
  <si>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</si>
  <si>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</si>
  <si>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</si>
  <si>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</si>
  <si>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</si>
  <si>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</si>
  <si>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</si>
  <si>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</si>
  <si>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</si>
  <si>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</si>
  <si>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</si>
  <si>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</si>
  <si>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</si>
  <si>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</si>
  <si>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</si>
  <si>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</si>
  <si>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</si>
  <si>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</si>
  <si>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</si>
  <si>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</si>
  <si>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</si>
  <si>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</si>
  <si>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</si>
  <si>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</si>
  <si>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</si>
  <si>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</si>
  <si>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</si>
  <si>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</si>
  <si>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</si>
  <si>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</si>
  <si>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</si>
  <si>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</si>
  <si>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</si>
  <si>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</si>
  <si>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</si>
  <si>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</si>
  <si>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</si>
  <si>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</si>
  <si>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</si>
  <si>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</si>
  <si>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</si>
  <si>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</si>
  <si>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</si>
  <si>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</si>
  <si>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</si>
  <si>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</si>
  <si>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</si>
  <si>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</si>
  <si>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</si>
  <si>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</si>
  <si>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</si>
  <si>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</si>
  <si>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</si>
  <si>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</si>
  <si>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</si>
  <si>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</si>
  <si>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</si>
  <si>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</si>
  <si>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</si>
  <si>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</si>
  <si>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</si>
  <si>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</si>
  <si>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</si>
  <si>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</si>
  <si>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</si>
  <si>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</si>
  <si>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</si>
  <si>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</si>
  <si>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</si>
  <si>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</si>
  <si>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</si>
  <si>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</si>
  <si>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</si>
  <si>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</si>
  <si>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</si>
  <si>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</si>
  <si>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</si>
  <si>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</si>
  <si>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</si>
  <si>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</si>
  <si>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</si>
  <si>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</si>
  <si>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</si>
  <si>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</si>
  <si>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</si>
  <si>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</si>
  <si>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</si>
  <si>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</si>
  <si>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</si>
  <si>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</si>
  <si>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</si>
  <si>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</si>
  <si>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</si>
  <si>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</si>
  <si>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</si>
  <si>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</si>
  <si>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</si>
  <si>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</si>
  <si>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</si>
  <si>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</si>
  <si>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</si>
  <si>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</si>
  <si>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</si>
  <si>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</si>
  <si>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</si>
  <si>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</si>
  <si>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</si>
  <si>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</si>
  <si>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</si>
  <si>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</si>
  <si>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</si>
  <si>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</si>
  <si>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</si>
  <si>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</si>
  <si>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</si>
  <si>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</si>
  <si>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</si>
  <si>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</si>
  <si>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</si>
  <si>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</si>
  <si>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Jade</t>
  </si>
  <si>
    <t>Anderson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</si>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</sst>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4" x14ac:knownFonts="1">
    <font>
      <sz val="10"/>
      <name val="Arial"/>
    </font>
    <font>
      <sz val="10"/>
      <name val="Arial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FF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3" fontId="0" fillId="2" borderId="0" xfId="0" applyNumberFormat="1" applyFill="1"/>
    <xf numFmtId="3" fontId="0" fillId="3" borderId="0" xfId="0" applyNumberFormat="1" applyFill="1"/>
    <xf numFmtId="3" fontId="12" fillId="4" borderId="0" xfId="0" applyNumberFormat="1" applyFont="1" applyFill="1"/>
    <xf numFmtId="0" fontId="3" fillId="3" borderId="0" xfId="0" applyFont="1" applyFill="1" applyAlignment="1">
      <alignment horizontal="justify" vertical="top" wrapText="1"/>
    </xf>
    <xf numFmtId="0" fontId="0" fillId="3" borderId="0" xfId="0" applyFill="1"/>
    <xf numFmtId="0" fontId="6" fillId="3" borderId="3" xfId="0" applyFont="1" applyFill="1" applyBorder="1"/>
    <xf numFmtId="0" fontId="0" fillId="3" borderId="4" xfId="0" applyFill="1" applyBorder="1"/>
    <xf numFmtId="168" fontId="0" fillId="3" borderId="5" xfId="0" applyNumberFormat="1" applyFill="1" applyBorder="1"/>
    <xf numFmtId="0" fontId="6" fillId="3" borderId="6" xfId="0" applyFont="1" applyFill="1" applyBorder="1"/>
    <xf numFmtId="0" fontId="10" fillId="3" borderId="0" xfId="0" applyFont="1" applyFill="1" applyBorder="1"/>
    <xf numFmtId="168" fontId="0" fillId="3" borderId="7" xfId="0" applyNumberFormat="1" applyFill="1" applyBorder="1"/>
    <xf numFmtId="0" fontId="0" fillId="3" borderId="0" xfId="0" applyFill="1" applyBorder="1"/>
    <xf numFmtId="168" fontId="0" fillId="3" borderId="7" xfId="1" applyNumberFormat="1" applyFont="1" applyFill="1" applyBorder="1"/>
    <xf numFmtId="168" fontId="6" fillId="3" borderId="9" xfId="0" applyNumberFormat="1" applyFont="1" applyFill="1" applyBorder="1"/>
    <xf numFmtId="168" fontId="6" fillId="3" borderId="7" xfId="0" applyNumberFormat="1" applyFont="1" applyFill="1" applyBorder="1"/>
    <xf numFmtId="0" fontId="6" fillId="3" borderId="8" xfId="0" applyFont="1" applyFill="1" applyBorder="1"/>
    <xf numFmtId="0" fontId="0" fillId="3" borderId="2" xfId="0" applyFill="1" applyBorder="1"/>
    <xf numFmtId="168" fontId="6" fillId="3" borderId="10" xfId="0" applyNumberFormat="1" applyFont="1" applyFill="1" applyBorder="1"/>
    <xf numFmtId="0" fontId="13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3" fillId="0" borderId="0" xfId="0" applyFont="1"/>
    <xf numFmtId="0" fontId="1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3147-3957-4A88-89DD-C90AB1A26188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1" t="s">
        <v>227</v>
      </c>
      <c r="F2" s="82"/>
      <c r="G2" s="83"/>
      <c r="H2" s="83"/>
      <c r="I2" s="83"/>
      <c r="J2" s="83"/>
      <c r="K2" s="83"/>
      <c r="L2" s="83"/>
      <c r="M2" s="84"/>
    </row>
    <row r="3" spans="1:13" ht="13.8" thickBot="1" x14ac:dyDescent="0.3"/>
    <row r="4" spans="1:13" ht="25.2" customHeight="1" thickBot="1" x14ac:dyDescent="0.35">
      <c r="C4" s="81" t="s">
        <v>228</v>
      </c>
      <c r="F4" s="85"/>
      <c r="G4" s="83"/>
      <c r="H4" s="83"/>
      <c r="I4" s="83"/>
      <c r="J4" s="83"/>
      <c r="K4" s="83"/>
      <c r="L4" s="83"/>
      <c r="M4" s="84"/>
    </row>
    <row r="5" spans="1:13" ht="13.8" thickBot="1" x14ac:dyDescent="0.3"/>
    <row r="6" spans="1:13" ht="23.4" customHeight="1" thickBot="1" x14ac:dyDescent="0.35">
      <c r="C6" s="81" t="s">
        <v>229</v>
      </c>
      <c r="F6" s="85"/>
      <c r="G6" s="83"/>
      <c r="H6" s="83"/>
      <c r="I6" s="84"/>
    </row>
    <row r="7" spans="1:13" ht="13.8" thickBot="1" x14ac:dyDescent="0.3"/>
    <row r="8" spans="1:13" ht="28.2" customHeight="1" thickBot="1" x14ac:dyDescent="0.35">
      <c r="C8" s="81" t="s">
        <v>230</v>
      </c>
      <c r="F8" s="85"/>
      <c r="G8" s="84"/>
      <c r="J8" s="81" t="s">
        <v>231</v>
      </c>
      <c r="L8" s="85"/>
      <c r="M8" s="84"/>
    </row>
    <row r="10" spans="1:13" ht="30" customHeight="1" thickBot="1" x14ac:dyDescent="0.3">
      <c r="C10" s="71" t="s">
        <v>218</v>
      </c>
      <c r="D10" s="71"/>
      <c r="F10" s="71" t="s">
        <v>219</v>
      </c>
      <c r="G10" s="71"/>
      <c r="I10" s="71" t="s">
        <v>220</v>
      </c>
      <c r="J10" s="71"/>
      <c r="L10" s="68" t="s">
        <v>221</v>
      </c>
      <c r="M10" s="68"/>
    </row>
    <row r="11" spans="1:13" ht="30" customHeight="1" thickBot="1" x14ac:dyDescent="0.3">
      <c r="C11" s="69" t="s">
        <v>225</v>
      </c>
      <c r="D11" s="70"/>
      <c r="F11" s="69" t="s">
        <v>226</v>
      </c>
      <c r="G11" s="70"/>
      <c r="I11" s="72">
        <v>1010101</v>
      </c>
      <c r="J11" s="73"/>
      <c r="L11" s="69" t="s">
        <v>222</v>
      </c>
      <c r="M11" s="70"/>
    </row>
    <row r="12" spans="1:13" x14ac:dyDescent="0.25">
      <c r="A12" s="40" t="s">
        <v>222</v>
      </c>
    </row>
    <row r="13" spans="1:13" x14ac:dyDescent="0.25">
      <c r="A13" s="40" t="s">
        <v>223</v>
      </c>
    </row>
    <row r="14" spans="1:13" x14ac:dyDescent="0.25">
      <c r="A14" s="40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9991F28E-BA8D-4A79-B0AF-F62382F4E161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5" workbookViewId="0">
      <selection activeCell="B41" sqref="B41"/>
    </sheetView>
  </sheetViews>
  <sheetFormatPr defaultRowHeight="13.2" x14ac:dyDescent="0.25"/>
  <cols>
    <col min="1" max="1" width="42.5546875" customWidth="1"/>
    <col min="2" max="2" width="10.6640625" bestFit="1" customWidth="1"/>
    <col min="3" max="3" width="2.77734375" customWidth="1"/>
    <col min="4" max="4" width="10.664062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4"/>
      <c r="B1" s="75" t="s">
        <v>0</v>
      </c>
      <c r="C1" s="75"/>
      <c r="D1" s="75"/>
      <c r="E1" s="2"/>
      <c r="F1" s="75" t="s">
        <v>1</v>
      </c>
      <c r="G1" s="75"/>
      <c r="H1" s="75"/>
    </row>
    <row r="2" spans="1:10" ht="13.8" x14ac:dyDescent="0.25">
      <c r="A2" s="74"/>
      <c r="B2" s="76">
        <v>42185</v>
      </c>
      <c r="C2" s="76"/>
      <c r="D2" s="76"/>
      <c r="E2" s="4"/>
      <c r="F2" s="76">
        <v>41820</v>
      </c>
      <c r="G2" s="76"/>
      <c r="H2" s="76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4562300+'IS-BS'!I27</f>
        <v>4957631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1234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1234898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23452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3235425</v>
      </c>
      <c r="C14" s="8"/>
      <c r="D14" s="8"/>
      <c r="E14" s="8"/>
      <c r="F14" s="10">
        <v>2345</v>
      </c>
      <c r="G14" s="8"/>
      <c r="H14" s="8"/>
    </row>
    <row r="15" spans="1:10" ht="13.8" x14ac:dyDescent="0.25">
      <c r="A15" s="7" t="s">
        <v>15</v>
      </c>
      <c r="B15" s="10">
        <v>3245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2349090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12348989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23457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2349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274</v>
      </c>
      <c r="C29" s="8"/>
      <c r="D29" s="8"/>
      <c r="E29" s="8"/>
      <c r="F29" s="10">
        <v>850000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12000</v>
      </c>
      <c r="C32" s="8"/>
      <c r="D32" s="8"/>
      <c r="E32" s="8"/>
      <c r="F32" s="10">
        <v>2345</v>
      </c>
      <c r="G32" s="8"/>
      <c r="H32" s="8"/>
    </row>
    <row r="33" spans="1:9" ht="13.8" x14ac:dyDescent="0.25">
      <c r="A33" s="7" t="s">
        <v>31</v>
      </c>
      <c r="B33" s="10">
        <v>264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239898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2626759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2364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13345299</v>
      </c>
      <c r="C44" s="8"/>
      <c r="D44" s="21">
        <f>SUM(D4:D43)</f>
        <v>20505480</v>
      </c>
      <c r="E44" s="10"/>
      <c r="F44" s="21">
        <f>SUM(F4:F43)</f>
        <v>5651014</v>
      </c>
      <c r="G44" s="8"/>
      <c r="H44" s="21">
        <f>SUM(H4:H43)</f>
        <v>5817719</v>
      </c>
    </row>
    <row r="46" spans="1:9" x14ac:dyDescent="0.25">
      <c r="D46" s="20">
        <f>D44-B44</f>
        <v>7160181</v>
      </c>
      <c r="H46" s="20">
        <f>H44-F44</f>
        <v>166705</v>
      </c>
    </row>
    <row r="48" spans="1:9" x14ac:dyDescent="0.25">
      <c r="H48" s="9">
        <f>'IS-BS'!I27</f>
        <v>395331</v>
      </c>
      <c r="I48" s="40" t="s">
        <v>191</v>
      </c>
    </row>
    <row r="49" spans="8:9" x14ac:dyDescent="0.25">
      <c r="H49" s="9">
        <f>'IS-BS'!G51</f>
        <v>320000</v>
      </c>
      <c r="I49" s="40" t="s">
        <v>190</v>
      </c>
    </row>
    <row r="51" spans="8:9" x14ac:dyDescent="0.25">
      <c r="H51" s="9">
        <f>H37+H48-H49</f>
        <v>926530</v>
      </c>
      <c r="I51" s="40" t="s">
        <v>192</v>
      </c>
    </row>
    <row r="53" spans="8:9" x14ac:dyDescent="0.25">
      <c r="H53" s="9">
        <f>H51-D37</f>
        <v>-1700229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20" zoomScale="90" zoomScaleNormal="90" workbookViewId="0">
      <selection activeCell="C81" sqref="C81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9">
        <v>41455</v>
      </c>
      <c r="C9" t="s">
        <v>77</v>
      </c>
      <c r="E9" s="9">
        <f>I92</f>
        <v>12993.75</v>
      </c>
    </row>
    <row r="10" spans="1:7" x14ac:dyDescent="0.25">
      <c r="A10" s="19"/>
      <c r="D10" s="40" t="s">
        <v>147</v>
      </c>
      <c r="F10" s="9">
        <f>E9</f>
        <v>12993.75</v>
      </c>
      <c r="G10" s="40" t="s">
        <v>176</v>
      </c>
    </row>
    <row r="11" spans="1:7" x14ac:dyDescent="0.25">
      <c r="A11" s="19"/>
      <c r="F11" s="9"/>
    </row>
    <row r="12" spans="1:7" x14ac:dyDescent="0.25">
      <c r="A12" s="19"/>
      <c r="B12" s="39">
        <v>41455</v>
      </c>
      <c r="C12" s="40" t="s">
        <v>77</v>
      </c>
      <c r="E12" s="9">
        <f>H78</f>
        <v>129.80000000000001</v>
      </c>
      <c r="F12" s="9"/>
    </row>
    <row r="13" spans="1:7" x14ac:dyDescent="0.25">
      <c r="A13" s="19"/>
      <c r="D13" s="40" t="s">
        <v>148</v>
      </c>
      <c r="F13" s="9">
        <f>E12</f>
        <v>129.80000000000001</v>
      </c>
      <c r="G13" s="40" t="s">
        <v>176</v>
      </c>
    </row>
    <row r="14" spans="1:7" x14ac:dyDescent="0.25">
      <c r="A14" s="19"/>
      <c r="F14" s="9"/>
    </row>
    <row r="15" spans="1:7" x14ac:dyDescent="0.25">
      <c r="A15" s="19"/>
      <c r="B15" s="39">
        <v>41455</v>
      </c>
      <c r="C15" s="40" t="s">
        <v>77</v>
      </c>
      <c r="E15" s="9">
        <f>H81</f>
        <v>15800</v>
      </c>
      <c r="F15" s="9"/>
    </row>
    <row r="16" spans="1:7" x14ac:dyDescent="0.25">
      <c r="A16" s="19"/>
      <c r="D16" s="40" t="s">
        <v>214</v>
      </c>
      <c r="F16" s="9">
        <f>E15</f>
        <v>15800</v>
      </c>
      <c r="G16" s="40" t="s">
        <v>176</v>
      </c>
    </row>
    <row r="17" spans="1:7" x14ac:dyDescent="0.25">
      <c r="A17" s="48"/>
      <c r="D17" s="40"/>
      <c r="F17" s="9"/>
      <c r="G17" s="40"/>
    </row>
    <row r="18" spans="1:7" x14ac:dyDescent="0.25">
      <c r="A18" s="48"/>
      <c r="B18">
        <v>41455</v>
      </c>
      <c r="C18" t="s">
        <v>77</v>
      </c>
      <c r="D18" s="40"/>
      <c r="E18" s="9">
        <f>H84</f>
        <v>1680</v>
      </c>
      <c r="F18" s="9"/>
      <c r="G18" s="40"/>
    </row>
    <row r="19" spans="1:7" x14ac:dyDescent="0.25">
      <c r="A19" s="48"/>
      <c r="D19" s="40" t="s">
        <v>215</v>
      </c>
      <c r="F19" s="9">
        <f>E18</f>
        <v>1680</v>
      </c>
      <c r="G19" s="40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9">
        <v>41426</v>
      </c>
      <c r="C21" s="40" t="s">
        <v>146</v>
      </c>
      <c r="E21" s="9">
        <f>E76</f>
        <v>70000</v>
      </c>
    </row>
    <row r="22" spans="1:7" x14ac:dyDescent="0.25">
      <c r="A22" s="19"/>
      <c r="D22" s="40" t="s">
        <v>118</v>
      </c>
      <c r="F22" s="9">
        <f>E21</f>
        <v>70000</v>
      </c>
      <c r="G22" s="40" t="s">
        <v>176</v>
      </c>
    </row>
    <row r="23" spans="1:7" x14ac:dyDescent="0.25">
      <c r="A23" s="19"/>
    </row>
    <row r="24" spans="1:7" x14ac:dyDescent="0.25">
      <c r="A24" s="19" t="s">
        <v>149</v>
      </c>
      <c r="B24" s="39">
        <v>41455</v>
      </c>
      <c r="C24" s="40" t="s">
        <v>150</v>
      </c>
      <c r="E24" s="9">
        <v>10000</v>
      </c>
      <c r="F24" s="9"/>
    </row>
    <row r="25" spans="1:7" x14ac:dyDescent="0.25">
      <c r="A25" s="19"/>
      <c r="D25" s="40" t="s">
        <v>151</v>
      </c>
      <c r="E25" s="9"/>
      <c r="F25" s="9">
        <v>10000</v>
      </c>
      <c r="G25" s="40" t="s">
        <v>176</v>
      </c>
    </row>
    <row r="26" spans="1:7" x14ac:dyDescent="0.25">
      <c r="A26" s="19"/>
      <c r="D26" s="40"/>
      <c r="E26" s="9"/>
      <c r="F26" s="9"/>
      <c r="G26" s="40"/>
    </row>
    <row r="27" spans="1:7" x14ac:dyDescent="0.25">
      <c r="A27" s="19"/>
      <c r="B27" s="39">
        <v>41455</v>
      </c>
      <c r="C27" s="40" t="s">
        <v>177</v>
      </c>
      <c r="D27" s="40"/>
      <c r="E27" s="9">
        <f>90000/4</f>
        <v>22500</v>
      </c>
      <c r="F27" s="9"/>
      <c r="G27" s="40"/>
    </row>
    <row r="28" spans="1:7" x14ac:dyDescent="0.25">
      <c r="A28" s="19"/>
      <c r="B28" s="39"/>
      <c r="D28" s="40" t="s">
        <v>150</v>
      </c>
      <c r="E28" s="9"/>
      <c r="F28" s="9">
        <f>E27</f>
        <v>22500</v>
      </c>
      <c r="G28" s="40" t="s">
        <v>176</v>
      </c>
    </row>
    <row r="29" spans="1:7" x14ac:dyDescent="0.25">
      <c r="A29" s="19"/>
      <c r="D29" s="40"/>
      <c r="E29" s="9"/>
      <c r="F29" s="9"/>
      <c r="G29" s="40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9">
        <v>41455</v>
      </c>
      <c r="C31" s="40" t="s">
        <v>186</v>
      </c>
      <c r="E31" s="9">
        <v>150000</v>
      </c>
      <c r="F31" s="9"/>
    </row>
    <row r="32" spans="1:7" x14ac:dyDescent="0.25">
      <c r="A32" s="19"/>
      <c r="D32" s="40" t="s">
        <v>153</v>
      </c>
      <c r="E32" s="9"/>
      <c r="F32" s="9">
        <v>150000</v>
      </c>
      <c r="G32" s="40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9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40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9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40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9">
        <v>41455</v>
      </c>
      <c r="C42" t="s">
        <v>159</v>
      </c>
      <c r="E42" s="9">
        <f>C102</f>
        <v>74101.964999999997</v>
      </c>
      <c r="F42" s="9"/>
    </row>
    <row r="43" spans="1:7" x14ac:dyDescent="0.25">
      <c r="A43" s="19"/>
      <c r="D43" t="s">
        <v>160</v>
      </c>
      <c r="E43" s="9"/>
      <c r="F43" s="9">
        <f>E42</f>
        <v>74101.964999999997</v>
      </c>
      <c r="G43" s="40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0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0" t="s">
        <v>175</v>
      </c>
      <c r="E70" s="9">
        <f>SUM(E3:E69)</f>
        <v>381505.51500000001</v>
      </c>
      <c r="F70" s="9">
        <f>SUM(F3:F69)</f>
        <v>381505.51500000001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3245</v>
      </c>
      <c r="D78" s="10"/>
      <c r="E78" s="10"/>
      <c r="F78" s="10" t="s">
        <v>46</v>
      </c>
      <c r="G78" s="22">
        <v>0.04</v>
      </c>
      <c r="H78" s="21">
        <f>C78*G78</f>
        <v>129.80000000000001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28923.55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4957631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4940131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74101.964999999997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91601.964999999997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129.80000000000291</v>
      </c>
      <c r="D122" s="10"/>
      <c r="E122" s="10">
        <f>C122*E120</f>
        <v>103.84000000000233</v>
      </c>
      <c r="F122" s="10">
        <f>C122*F120</f>
        <v>25.960000000000583</v>
      </c>
      <c r="G122" s="10"/>
      <c r="H122" s="10">
        <f>'Trial Balance'!B18*0.04</f>
        <v>129.80000000000001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1" activePane="bottomRight" state="frozen"/>
      <selection activeCell="J56" sqref="J56"/>
      <selection pane="topRight" activeCell="J56" sqref="J56"/>
      <selection pane="bottomLeft" activeCell="J56" sqref="J56"/>
      <selection pane="bottomRight" activeCell="L14" sqref="L14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4"/>
      <c r="B3" s="75" t="s">
        <v>0</v>
      </c>
      <c r="C3" s="75"/>
      <c r="D3" s="75"/>
      <c r="E3" s="2"/>
      <c r="F3" s="75" t="s">
        <v>61</v>
      </c>
      <c r="G3" s="75"/>
      <c r="H3" s="75"/>
      <c r="I3" s="2"/>
      <c r="J3" s="75" t="s">
        <v>1</v>
      </c>
      <c r="K3" s="75"/>
      <c r="L3" s="75"/>
      <c r="M3" s="3"/>
      <c r="N3" s="75" t="s">
        <v>1</v>
      </c>
      <c r="O3" s="75"/>
      <c r="P3" s="75"/>
    </row>
    <row r="4" spans="1:18" ht="13.8" x14ac:dyDescent="0.25">
      <c r="A4" s="74"/>
      <c r="B4" s="77">
        <v>42185</v>
      </c>
      <c r="C4" s="77"/>
      <c r="D4" s="77"/>
      <c r="E4" s="4"/>
      <c r="F4" s="77">
        <v>42185</v>
      </c>
      <c r="G4" s="77"/>
      <c r="H4" s="77"/>
      <c r="I4" s="4"/>
      <c r="J4" s="77">
        <v>42185</v>
      </c>
      <c r="K4" s="77"/>
      <c r="L4" s="77"/>
      <c r="M4" s="3"/>
      <c r="N4" s="77">
        <v>41820</v>
      </c>
      <c r="O4" s="77"/>
      <c r="P4" s="77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1">
        <f>IF('Base Data'!B4="",0,'Base Data'!B4)</f>
        <v>0</v>
      </c>
      <c r="C6" s="41"/>
      <c r="D6" s="41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1">
        <f>IF('Base Data'!F4="",0,'Base Data'!F4)</f>
        <v>0</v>
      </c>
      <c r="O6" s="41"/>
      <c r="P6" s="41">
        <f>IF('Base Data'!H4="",0,'Base Data'!H4)</f>
        <v>455000</v>
      </c>
    </row>
    <row r="7" spans="1:18" ht="13.8" x14ac:dyDescent="0.25">
      <c r="A7" s="7" t="s">
        <v>5</v>
      </c>
      <c r="B7" s="41">
        <f>IF('Base Data'!B5="",0,'Base Data'!B5)</f>
        <v>4957631</v>
      </c>
      <c r="C7" s="41"/>
      <c r="D7" s="41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4940131</v>
      </c>
      <c r="K7" s="10"/>
      <c r="L7" s="10"/>
      <c r="M7" s="8"/>
      <c r="N7" s="41">
        <f>IF('Base Data'!F5="",0,'Base Data'!F5)</f>
        <v>700000</v>
      </c>
      <c r="O7" s="41"/>
      <c r="P7" s="41">
        <f>IF('Base Data'!H5="",0,'Base Data'!H5)</f>
        <v>0</v>
      </c>
    </row>
    <row r="8" spans="1:18" ht="13.8" x14ac:dyDescent="0.25">
      <c r="A8" s="7" t="s">
        <v>6</v>
      </c>
      <c r="B8" s="41">
        <f>IF('Base Data'!B6="",0,'Base Data'!B6)</f>
        <v>0</v>
      </c>
      <c r="C8" s="41"/>
      <c r="D8" s="41">
        <f>IF('Base Data'!D6="",0,'Base Data'!D6)</f>
        <v>1234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1234</v>
      </c>
      <c r="M8" s="8"/>
      <c r="N8" s="41">
        <f>IF('Base Data'!F6="",0,'Base Data'!F6)</f>
        <v>0</v>
      </c>
      <c r="O8" s="41"/>
      <c r="P8" s="41">
        <f>IF('Base Data'!H6="",0,'Base Data'!H6)</f>
        <v>15000</v>
      </c>
    </row>
    <row r="9" spans="1:18" ht="13.8" x14ac:dyDescent="0.25">
      <c r="A9" s="7" t="s">
        <v>7</v>
      </c>
      <c r="B9" s="41">
        <f>IF('Base Data'!B7="",0,'Base Data'!B7)</f>
        <v>0</v>
      </c>
      <c r="C9" s="41"/>
      <c r="D9" s="41">
        <f>IF('Base Data'!D7="",0,'Base Data'!D7)</f>
        <v>93600</v>
      </c>
      <c r="E9" s="10"/>
      <c r="F9" s="10"/>
      <c r="G9" s="10"/>
      <c r="H9" s="10">
        <f>Journals!F13</f>
        <v>129.80000000000001</v>
      </c>
      <c r="I9" s="10"/>
      <c r="J9" s="10"/>
      <c r="K9" s="10"/>
      <c r="L9" s="10">
        <f t="shared" si="1"/>
        <v>93729.8</v>
      </c>
      <c r="M9" s="8"/>
      <c r="N9" s="41">
        <f>IF('Base Data'!F7="",0,'Base Data'!F7)</f>
        <v>0</v>
      </c>
      <c r="O9" s="41"/>
      <c r="P9" s="41">
        <f>IF('Base Data'!H7="",0,'Base Data'!H7)</f>
        <v>93600</v>
      </c>
      <c r="R9" s="9"/>
    </row>
    <row r="10" spans="1:18" ht="13.8" x14ac:dyDescent="0.25">
      <c r="A10" s="7" t="s">
        <v>216</v>
      </c>
      <c r="B10" s="41"/>
      <c r="C10" s="41"/>
      <c r="D10" s="41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1"/>
      <c r="O10" s="41"/>
      <c r="P10" s="41"/>
      <c r="R10" s="9"/>
    </row>
    <row r="11" spans="1:18" ht="13.8" x14ac:dyDescent="0.25">
      <c r="A11" s="7" t="s">
        <v>8</v>
      </c>
      <c r="B11" s="41">
        <f>IF('Base Data'!B8="",0,'Base Data'!B8)</f>
        <v>0</v>
      </c>
      <c r="C11" s="41"/>
      <c r="D11" s="41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1">
        <f>IF('Base Data'!F8="",0,'Base Data'!F8)</f>
        <v>0</v>
      </c>
      <c r="O11" s="41"/>
      <c r="P11" s="41">
        <f>IF('Base Data'!H8="",0,'Base Data'!H8)</f>
        <v>45000</v>
      </c>
      <c r="Q11" s="9"/>
    </row>
    <row r="12" spans="1:18" ht="13.8" x14ac:dyDescent="0.25">
      <c r="A12" s="7" t="s">
        <v>62</v>
      </c>
      <c r="B12" s="41">
        <f>IF('Base Data'!B9="",0,'Base Data'!B9)</f>
        <v>0</v>
      </c>
      <c r="C12" s="41"/>
      <c r="D12" s="41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1">
        <f>IF('Base Data'!F9="",0,'Base Data'!F9)</f>
        <v>0</v>
      </c>
      <c r="O12" s="41"/>
      <c r="P12" s="41">
        <f>IF('Base Data'!H9="",0,'Base Data'!H9)</f>
        <v>0</v>
      </c>
      <c r="Q12" s="9"/>
    </row>
    <row r="13" spans="1:18" ht="13.8" x14ac:dyDescent="0.25">
      <c r="A13" s="7" t="s">
        <v>9</v>
      </c>
      <c r="B13" s="41">
        <f>IF('Base Data'!B10="",0,'Base Data'!B10)</f>
        <v>0</v>
      </c>
      <c r="C13" s="41"/>
      <c r="D13" s="41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1">
        <f>IF('Base Data'!F10="",0,'Base Data'!F10)</f>
        <v>20000</v>
      </c>
      <c r="O13" s="41"/>
      <c r="P13" s="41">
        <f>IF('Base Data'!H10="",0,'Base Data'!H10)</f>
        <v>0</v>
      </c>
      <c r="Q13" s="9"/>
    </row>
    <row r="14" spans="1:18" ht="13.8" x14ac:dyDescent="0.25">
      <c r="A14" s="7" t="s">
        <v>11</v>
      </c>
      <c r="B14" s="41">
        <f>IF('Base Data'!B11="",0,'Base Data'!B11)</f>
        <v>0</v>
      </c>
      <c r="C14" s="41"/>
      <c r="D14" s="41">
        <f>IF('Base Data'!D11="",0,'Base Data'!D11)</f>
        <v>1234898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1304898</v>
      </c>
      <c r="M14" s="8"/>
      <c r="N14" s="41">
        <f>IF('Base Data'!F11="",0,'Base Data'!F11)</f>
        <v>0</v>
      </c>
      <c r="O14" s="41"/>
      <c r="P14" s="41">
        <f>IF('Base Data'!H11="",0,'Base Data'!H11)</f>
        <v>200000</v>
      </c>
    </row>
    <row r="15" spans="1:18" ht="13.8" x14ac:dyDescent="0.25">
      <c r="A15" s="7" t="s">
        <v>12</v>
      </c>
      <c r="B15" s="41">
        <f>IF('Base Data'!B12="",0,'Base Data'!B12)</f>
        <v>23452</v>
      </c>
      <c r="C15" s="41"/>
      <c r="D15" s="41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23452</v>
      </c>
      <c r="K15" s="10"/>
      <c r="L15" s="10">
        <f t="shared" si="1"/>
        <v>0</v>
      </c>
      <c r="M15" s="8"/>
      <c r="N15" s="41">
        <f>IF('Base Data'!F12="",0,'Base Data'!F12)</f>
        <v>20000</v>
      </c>
      <c r="O15" s="41"/>
      <c r="P15" s="41">
        <f>IF('Base Data'!H12="",0,'Base Data'!H12)</f>
        <v>0</v>
      </c>
    </row>
    <row r="16" spans="1:18" ht="13.8" x14ac:dyDescent="0.25">
      <c r="A16" s="7" t="s">
        <v>13</v>
      </c>
      <c r="B16" s="41">
        <f>IF('Base Data'!B13="",0,'Base Data'!B13)</f>
        <v>0</v>
      </c>
      <c r="C16" s="41"/>
      <c r="D16" s="41">
        <f>IF('Base Data'!D13="",0,'Base Data'!D13)</f>
        <v>0</v>
      </c>
      <c r="E16" s="8"/>
      <c r="F16" s="10">
        <f>Journals!E34+Journals!E42</f>
        <v>91601.964999999997</v>
      </c>
      <c r="G16" s="10"/>
      <c r="H16" s="10"/>
      <c r="I16" s="10"/>
      <c r="J16" s="10">
        <f t="shared" si="0"/>
        <v>91601.964999999997</v>
      </c>
      <c r="K16" s="10"/>
      <c r="L16" s="10"/>
      <c r="M16" s="8"/>
      <c r="N16" s="41">
        <f>IF('Base Data'!F13="",0,'Base Data'!F13)</f>
        <v>55000</v>
      </c>
      <c r="O16" s="41"/>
      <c r="P16" s="41">
        <f>IF('Base Data'!H13="",0,'Base Data'!H13)</f>
        <v>0</v>
      </c>
    </row>
    <row r="17" spans="1:16" ht="13.8" x14ac:dyDescent="0.25">
      <c r="A17" s="7" t="s">
        <v>14</v>
      </c>
      <c r="B17" s="41">
        <f>IF('Base Data'!B14="",0,'Base Data'!B14)</f>
        <v>3235425</v>
      </c>
      <c r="C17" s="41"/>
      <c r="D17" s="41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3235425</v>
      </c>
      <c r="K17" s="10"/>
      <c r="L17" s="10">
        <f t="shared" si="1"/>
        <v>0</v>
      </c>
      <c r="M17" s="8"/>
      <c r="N17" s="41">
        <f>IF('Base Data'!F14="",0,'Base Data'!F14)</f>
        <v>2345</v>
      </c>
      <c r="O17" s="41"/>
      <c r="P17" s="41">
        <f>IF('Base Data'!H14="",0,'Base Data'!H14)</f>
        <v>0</v>
      </c>
    </row>
    <row r="18" spans="1:16" ht="13.8" x14ac:dyDescent="0.25">
      <c r="A18" s="7" t="s">
        <v>15</v>
      </c>
      <c r="B18" s="41">
        <f>IF('Base Data'!B15="",0,'Base Data'!B15)</f>
        <v>3245</v>
      </c>
      <c r="C18" s="41"/>
      <c r="D18" s="41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3245</v>
      </c>
      <c r="K18" s="10"/>
      <c r="L18" s="10">
        <f t="shared" si="1"/>
        <v>0</v>
      </c>
      <c r="M18" s="8"/>
      <c r="N18" s="41">
        <f>IF('Base Data'!F15="",0,'Base Data'!F15)</f>
        <v>780000</v>
      </c>
      <c r="O18" s="41"/>
      <c r="P18" s="41">
        <f>IF('Base Data'!H15="",0,'Base Data'!H15)</f>
        <v>0</v>
      </c>
    </row>
    <row r="19" spans="1:16" ht="13.8" x14ac:dyDescent="0.25">
      <c r="A19" s="7" t="s">
        <v>16</v>
      </c>
      <c r="B19" s="41">
        <f>IF('Base Data'!B16="",0,'Base Data'!B16)</f>
        <v>1302950</v>
      </c>
      <c r="C19" s="41"/>
      <c r="D19" s="41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1">
        <f>IF('Base Data'!F16="",0,'Base Data'!F16)</f>
        <v>1610000</v>
      </c>
      <c r="O19" s="41"/>
      <c r="P19" s="41">
        <f>IF('Base Data'!H16="",0,'Base Data'!H16)</f>
        <v>0</v>
      </c>
    </row>
    <row r="20" spans="1:16" ht="13.8" x14ac:dyDescent="0.25">
      <c r="A20" s="7" t="s">
        <v>17</v>
      </c>
      <c r="B20" s="41">
        <f>IF('Base Data'!B17="",0,'Base Data'!B17)</f>
        <v>0</v>
      </c>
      <c r="C20" s="41"/>
      <c r="D20" s="41">
        <f>IF('Base Data'!D17="",0,'Base Data'!D17)</f>
        <v>0</v>
      </c>
      <c r="E20" s="8"/>
      <c r="F20" s="10">
        <f>Journals!E9+Journals!E12+Journals!E15+Journals!F19</f>
        <v>30603.55</v>
      </c>
      <c r="G20" s="10"/>
      <c r="H20" s="10"/>
      <c r="I20" s="10"/>
      <c r="J20" s="10">
        <f t="shared" si="0"/>
        <v>30603.55</v>
      </c>
      <c r="K20" s="10"/>
      <c r="L20" s="10"/>
      <c r="M20" s="8"/>
      <c r="N20" s="41">
        <f>IF('Base Data'!F17="",0,'Base Data'!F17)</f>
        <v>51200</v>
      </c>
      <c r="O20" s="41"/>
      <c r="P20" s="41">
        <f>IF('Base Data'!H17="",0,'Base Data'!H17)</f>
        <v>0</v>
      </c>
    </row>
    <row r="21" spans="1:16" ht="13.8" x14ac:dyDescent="0.25">
      <c r="A21" s="7" t="s">
        <v>18</v>
      </c>
      <c r="B21" s="41">
        <f>IF('Base Data'!B18="",0,'Base Data'!B18)</f>
        <v>2349090</v>
      </c>
      <c r="C21" s="41"/>
      <c r="D21" s="41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2349090</v>
      </c>
      <c r="K21" s="10"/>
      <c r="L21" s="10">
        <f t="shared" si="1"/>
        <v>0</v>
      </c>
      <c r="M21" s="8"/>
      <c r="N21" s="41">
        <f>IF('Base Data'!F18="",0,'Base Data'!F18)</f>
        <v>50000</v>
      </c>
      <c r="O21" s="41"/>
      <c r="P21" s="41">
        <f>IF('Base Data'!H18="",0,'Base Data'!H18)</f>
        <v>0</v>
      </c>
    </row>
    <row r="22" spans="1:16" ht="13.8" x14ac:dyDescent="0.25">
      <c r="A22" s="7" t="s">
        <v>19</v>
      </c>
      <c r="B22" s="41">
        <f>IF('Base Data'!B19="",0,'Base Data'!B19)</f>
        <v>295000</v>
      </c>
      <c r="C22" s="41"/>
      <c r="D22" s="41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1">
        <f>IF('Base Data'!F19="",0,'Base Data'!F19)</f>
        <v>320000</v>
      </c>
      <c r="O22" s="41"/>
      <c r="P22" s="41">
        <f>IF('Base Data'!H19="",0,'Base Data'!H19)</f>
        <v>0</v>
      </c>
    </row>
    <row r="23" spans="1:16" ht="13.8" x14ac:dyDescent="0.25">
      <c r="A23" s="7" t="s">
        <v>20</v>
      </c>
      <c r="B23" s="41">
        <f>IF('Base Data'!B20="",0,'Base Data'!B20)</f>
        <v>0</v>
      </c>
      <c r="C23" s="41"/>
      <c r="D23" s="41">
        <f>IF('Base Data'!D20="",0,'Base Data'!D20)</f>
        <v>12348989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12348989</v>
      </c>
      <c r="M23" s="8"/>
      <c r="N23" s="41">
        <f>IF('Base Data'!F20="",0,'Base Data'!F20)</f>
        <v>0</v>
      </c>
      <c r="O23" s="41"/>
      <c r="P23" s="41">
        <f>IF('Base Data'!H20="",0,'Base Data'!H20)</f>
        <v>10000</v>
      </c>
    </row>
    <row r="24" spans="1:16" ht="13.8" x14ac:dyDescent="0.25">
      <c r="A24" s="7" t="s">
        <v>183</v>
      </c>
      <c r="B24" s="41"/>
      <c r="C24" s="41"/>
      <c r="D24" s="41"/>
      <c r="E24" s="10"/>
      <c r="F24" s="10"/>
      <c r="G24" s="10"/>
      <c r="H24" s="10"/>
      <c r="I24" s="10"/>
      <c r="J24" s="10"/>
      <c r="K24" s="10"/>
      <c r="L24" s="10"/>
      <c r="M24" s="8"/>
      <c r="N24" s="41">
        <f>IF('Base Data'!F21="",0,'Base Data'!F21)</f>
        <v>25000</v>
      </c>
      <c r="O24" s="41"/>
      <c r="P24" s="41">
        <f>IF('Base Data'!H21="",0,'Base Data'!H21)</f>
        <v>0</v>
      </c>
    </row>
    <row r="25" spans="1:16" ht="13.8" x14ac:dyDescent="0.25">
      <c r="A25" s="7" t="s">
        <v>21</v>
      </c>
      <c r="B25" s="41">
        <f>IF('Base Data'!B22="",0,'Base Data'!B22)</f>
        <v>23457</v>
      </c>
      <c r="C25" s="41"/>
      <c r="D25" s="41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23457</v>
      </c>
      <c r="K25" s="10"/>
      <c r="L25" s="10">
        <f t="shared" si="1"/>
        <v>0</v>
      </c>
      <c r="M25" s="8"/>
      <c r="N25" s="41">
        <f>IF('Base Data'!F22="",0,'Base Data'!F22)</f>
        <v>52000</v>
      </c>
      <c r="O25" s="41"/>
      <c r="P25" s="41">
        <f>IF('Base Data'!H22="",0,'Base Data'!H22)</f>
        <v>0</v>
      </c>
    </row>
    <row r="26" spans="1:16" ht="13.8" x14ac:dyDescent="0.25">
      <c r="A26" s="7" t="s">
        <v>22</v>
      </c>
      <c r="B26" s="41">
        <f>IF('Base Data'!B23="",0,'Base Data'!B23)</f>
        <v>210000</v>
      </c>
      <c r="C26" s="41"/>
      <c r="D26" s="41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1">
        <f>IF('Base Data'!F23="",0,'Base Data'!F23)</f>
        <v>210000</v>
      </c>
      <c r="O26" s="41"/>
      <c r="P26" s="41">
        <f>IF('Base Data'!H23="",0,'Base Data'!H23)</f>
        <v>0</v>
      </c>
    </row>
    <row r="27" spans="1:16" ht="13.8" x14ac:dyDescent="0.25">
      <c r="A27" s="7" t="s">
        <v>23</v>
      </c>
      <c r="B27" s="41">
        <f>IF('Base Data'!B24="",0,'Base Data'!B24)</f>
        <v>37125</v>
      </c>
      <c r="C27" s="41"/>
      <c r="D27" s="41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1">
        <f>IF('Base Data'!F24="",0,'Base Data'!F24)</f>
        <v>55874</v>
      </c>
      <c r="O27" s="41"/>
      <c r="P27" s="41">
        <f>IF('Base Data'!H24="",0,'Base Data'!H24)</f>
        <v>0</v>
      </c>
    </row>
    <row r="28" spans="1:16" ht="13.8" x14ac:dyDescent="0.25">
      <c r="A28" s="7" t="s">
        <v>24</v>
      </c>
      <c r="B28" s="41">
        <f>IF('Base Data'!B25="",0,'Base Data'!B25)</f>
        <v>0</v>
      </c>
      <c r="C28" s="41"/>
      <c r="D28" s="41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1">
        <f>IF('Base Data'!F25="",0,'Base Data'!F25)</f>
        <v>0</v>
      </c>
      <c r="O28" s="41"/>
      <c r="P28" s="41">
        <f>IF('Base Data'!H25="",0,'Base Data'!H25)</f>
        <v>59920</v>
      </c>
    </row>
    <row r="29" spans="1:16" ht="13.8" x14ac:dyDescent="0.25">
      <c r="A29" s="7" t="s">
        <v>25</v>
      </c>
      <c r="B29" s="41">
        <f>IF('Base Data'!B26="",0,'Base Data'!B26)</f>
        <v>71775</v>
      </c>
      <c r="C29" s="41"/>
      <c r="D29" s="41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1">
        <f>IF('Base Data'!F26="",0,'Base Data'!F26)</f>
        <v>48250</v>
      </c>
      <c r="O29" s="41"/>
      <c r="P29" s="41">
        <f>IF('Base Data'!H26="",0,'Base Data'!H26)</f>
        <v>0</v>
      </c>
    </row>
    <row r="30" spans="1:16" ht="13.8" x14ac:dyDescent="0.25">
      <c r="A30" s="7" t="s">
        <v>26</v>
      </c>
      <c r="B30" s="41">
        <f>IF('Base Data'!B27="",0,'Base Data'!B27)</f>
        <v>2349</v>
      </c>
      <c r="C30" s="41"/>
      <c r="D30" s="41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-4451</v>
      </c>
      <c r="K30" s="10"/>
      <c r="L30" s="10"/>
      <c r="M30" s="8"/>
      <c r="N30" s="41">
        <f>IF('Base Data'!F27="",0,'Base Data'!F27)</f>
        <v>200000</v>
      </c>
      <c r="O30" s="41"/>
      <c r="P30" s="41">
        <f>IF('Base Data'!H27="",0,'Base Data'!H27)</f>
        <v>0</v>
      </c>
    </row>
    <row r="31" spans="1:16" ht="13.8" x14ac:dyDescent="0.25">
      <c r="A31" s="7" t="s">
        <v>27</v>
      </c>
      <c r="B31" s="41">
        <f>IF('Base Data'!B28="",0,'Base Data'!B28)</f>
        <v>0</v>
      </c>
      <c r="C31" s="41"/>
      <c r="D31" s="41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1">
        <f>IF('Base Data'!F28="",0,'Base Data'!F28)</f>
        <v>0</v>
      </c>
      <c r="O31" s="41"/>
      <c r="P31" s="41">
        <f>IF('Base Data'!H28="",0,'Base Data'!H28)</f>
        <v>780000</v>
      </c>
    </row>
    <row r="32" spans="1:16" ht="13.8" x14ac:dyDescent="0.25">
      <c r="A32" s="7" t="s">
        <v>28</v>
      </c>
      <c r="B32" s="41">
        <f>IF('Base Data'!B29="",0,'Base Data'!B29)</f>
        <v>274</v>
      </c>
      <c r="C32" s="41"/>
      <c r="D32" s="41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70274</v>
      </c>
      <c r="K32" s="10"/>
      <c r="L32" s="10"/>
      <c r="M32" s="8"/>
      <c r="N32" s="41">
        <f>IF('Base Data'!F29="",0,'Base Data'!F29)</f>
        <v>850000</v>
      </c>
      <c r="O32" s="41"/>
      <c r="P32" s="41">
        <f>IF('Base Data'!H29="",0,'Base Data'!H29)</f>
        <v>0</v>
      </c>
    </row>
    <row r="33" spans="1:16" ht="13.8" x14ac:dyDescent="0.25">
      <c r="A33" s="7" t="s">
        <v>63</v>
      </c>
      <c r="B33" s="41">
        <f>IF('Base Data'!B30="",0,'Base Data'!B30)</f>
        <v>0</v>
      </c>
      <c r="C33" s="41"/>
      <c r="D33" s="41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1">
        <f>IF('Base Data'!F30="",0,'Base Data'!F30)</f>
        <v>0</v>
      </c>
      <c r="O33" s="41"/>
      <c r="P33" s="41">
        <f>IF('Base Data'!H30="",0,'Base Data'!H30)</f>
        <v>0</v>
      </c>
    </row>
    <row r="34" spans="1:16" ht="13.8" x14ac:dyDescent="0.25">
      <c r="A34" s="7" t="s">
        <v>29</v>
      </c>
      <c r="B34" s="41">
        <f>IF('Base Data'!B31="",0,'Base Data'!B31)</f>
        <v>0</v>
      </c>
      <c r="C34" s="41"/>
      <c r="D34" s="41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1">
        <f>IF('Base Data'!F31="",0,'Base Data'!F31)</f>
        <v>0</v>
      </c>
      <c r="O34" s="41"/>
      <c r="P34" s="41">
        <f>IF('Base Data'!H31="",0,'Base Data'!H31)</f>
        <v>500000</v>
      </c>
    </row>
    <row r="35" spans="1:16" ht="13.8" x14ac:dyDescent="0.25">
      <c r="A35" s="7" t="s">
        <v>30</v>
      </c>
      <c r="B35" s="41">
        <f>IF('Base Data'!B32="",0,'Base Data'!B32)</f>
        <v>12000</v>
      </c>
      <c r="C35" s="41"/>
      <c r="D35" s="41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12000</v>
      </c>
      <c r="K35" s="10"/>
      <c r="L35" s="10">
        <f t="shared" si="1"/>
        <v>0</v>
      </c>
      <c r="M35" s="8"/>
      <c r="N35" s="41">
        <f>IF('Base Data'!F32="",0,'Base Data'!F32)</f>
        <v>2345</v>
      </c>
      <c r="O35" s="41"/>
      <c r="P35" s="41">
        <f>IF('Base Data'!H32="",0,'Base Data'!H32)</f>
        <v>0</v>
      </c>
    </row>
    <row r="36" spans="1:16" ht="13.8" x14ac:dyDescent="0.25">
      <c r="A36" s="7" t="s">
        <v>31</v>
      </c>
      <c r="B36" s="41">
        <f>IF('Base Data'!B33="",0,'Base Data'!B33)</f>
        <v>264</v>
      </c>
      <c r="C36" s="41"/>
      <c r="D36" s="41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264</v>
      </c>
      <c r="K36" s="10"/>
      <c r="L36" s="10">
        <f t="shared" si="1"/>
        <v>0</v>
      </c>
      <c r="M36" s="8"/>
      <c r="N36" s="41">
        <f>IF('Base Data'!F33="",0,'Base Data'!F33)</f>
        <v>71000</v>
      </c>
      <c r="O36" s="41"/>
      <c r="P36" s="41">
        <f>IF('Base Data'!H33="",0,'Base Data'!H33)</f>
        <v>0</v>
      </c>
    </row>
    <row r="37" spans="1:16" ht="13.8" x14ac:dyDescent="0.25">
      <c r="A37" s="7" t="s">
        <v>32</v>
      </c>
      <c r="B37" s="41">
        <f>IF('Base Data'!B34="",0,'Base Data'!B34)</f>
        <v>239898</v>
      </c>
      <c r="C37" s="41"/>
      <c r="D37" s="41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239898</v>
      </c>
      <c r="K37" s="10"/>
      <c r="L37" s="10">
        <f t="shared" si="1"/>
        <v>0</v>
      </c>
      <c r="M37" s="8"/>
      <c r="N37" s="41">
        <f>IF('Base Data'!F34="",0,'Base Data'!F34)</f>
        <v>32000</v>
      </c>
      <c r="O37" s="41"/>
      <c r="P37" s="41">
        <f>IF('Base Data'!H34="",0,'Base Data'!H34)</f>
        <v>0</v>
      </c>
    </row>
    <row r="38" spans="1:16" ht="13.8" x14ac:dyDescent="0.25">
      <c r="A38" s="7" t="s">
        <v>33</v>
      </c>
      <c r="B38" s="41">
        <f>IF('Base Data'!B35="",0,'Base Data'!B35)</f>
        <v>0</v>
      </c>
      <c r="C38" s="41"/>
      <c r="D38" s="41">
        <f>IF('Base Data'!D35="",0,'Base Data'!D35)</f>
        <v>0</v>
      </c>
      <c r="E38" s="10"/>
      <c r="F38" s="10"/>
      <c r="G38" s="10"/>
      <c r="H38" s="10">
        <f>Journals!F43</f>
        <v>74101.964999999997</v>
      </c>
      <c r="I38" s="10"/>
      <c r="J38" s="10"/>
      <c r="K38" s="10"/>
      <c r="L38" s="10">
        <f t="shared" si="1"/>
        <v>74101.964999999997</v>
      </c>
      <c r="M38" s="8"/>
      <c r="N38" s="41">
        <f>IF('Base Data'!F35="",0,'Base Data'!F35)</f>
        <v>0</v>
      </c>
      <c r="O38" s="41"/>
      <c r="P38" s="41">
        <f>IF('Base Data'!H35="",0,'Base Data'!H35)</f>
        <v>14000</v>
      </c>
    </row>
    <row r="39" spans="1:16" ht="13.8" x14ac:dyDescent="0.25">
      <c r="A39" s="7" t="s">
        <v>34</v>
      </c>
      <c r="B39" s="41">
        <f>IF('Base Data'!B36="",0,'Base Data'!B36)</f>
        <v>10000</v>
      </c>
      <c r="C39" s="41"/>
      <c r="D39" s="41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1">
        <f>IF('Base Data'!F36="",0,'Base Data'!F36)</f>
        <v>0</v>
      </c>
      <c r="O39" s="41"/>
      <c r="P39" s="41">
        <f>IF('Base Data'!H36="",0,'Base Data'!H36)</f>
        <v>0</v>
      </c>
    </row>
    <row r="40" spans="1:16" ht="13.8" x14ac:dyDescent="0.25">
      <c r="A40" s="7" t="s">
        <v>35</v>
      </c>
      <c r="B40" s="41">
        <f>IF('Base Data'!B37="",0,'Base Data'!B37)</f>
        <v>0</v>
      </c>
      <c r="C40" s="41"/>
      <c r="D40" s="41">
        <f>IF('Base Data'!D37="",0,'Base Data'!D37)</f>
        <v>2626759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2626759</v>
      </c>
      <c r="M40" s="8"/>
      <c r="N40" s="41">
        <f>IF('Base Data'!F37="",0,'Base Data'!F37)</f>
        <v>0</v>
      </c>
      <c r="O40" s="41"/>
      <c r="P40" s="41">
        <f>IF('Base Data'!H37="",0,'Base Data'!H37)</f>
        <v>851199</v>
      </c>
    </row>
    <row r="41" spans="1:16" ht="13.8" x14ac:dyDescent="0.25">
      <c r="A41" s="7" t="s">
        <v>180</v>
      </c>
      <c r="B41" s="41">
        <f>IF('Base Data'!B38="",0,'Base Data'!B38)</f>
        <v>360000</v>
      </c>
      <c r="C41" s="41"/>
      <c r="D41" s="41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1">
        <f>IF('Base Data'!F38="",0,'Base Data'!F38)</f>
        <v>305000</v>
      </c>
      <c r="O41" s="41"/>
      <c r="P41" s="41">
        <f>IF('Base Data'!H38="",0,'Base Data'!H38)</f>
        <v>0</v>
      </c>
    </row>
    <row r="42" spans="1:16" ht="13.8" x14ac:dyDescent="0.25">
      <c r="A42" s="7" t="s">
        <v>181</v>
      </c>
      <c r="B42" s="41"/>
      <c r="C42" s="41"/>
      <c r="D42" s="41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1"/>
      <c r="O42" s="41"/>
      <c r="P42" s="41"/>
    </row>
    <row r="43" spans="1:16" ht="13.8" x14ac:dyDescent="0.25">
      <c r="A43" s="7" t="s">
        <v>36</v>
      </c>
      <c r="B43" s="41">
        <f>IF('Base Data'!B39="",0,'Base Data'!B39)</f>
        <v>0</v>
      </c>
      <c r="C43" s="41"/>
      <c r="D43" s="41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1">
        <f>IF('Base Data'!F39="",0,'Base Data'!F39)</f>
        <v>0</v>
      </c>
      <c r="O43" s="41"/>
      <c r="P43" s="41">
        <f>IF('Base Data'!H39="",0,'Base Data'!H39)</f>
        <v>2794000</v>
      </c>
    </row>
    <row r="44" spans="1:16" ht="13.8" x14ac:dyDescent="0.25">
      <c r="A44" s="7" t="s">
        <v>37</v>
      </c>
      <c r="B44" s="41">
        <f>IF('Base Data'!B40="",0,'Base Data'!B40)</f>
        <v>120000</v>
      </c>
      <c r="C44" s="41"/>
      <c r="D44" s="41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1">
        <f>IF('Base Data'!F40="",0,'Base Data'!F40)</f>
        <v>100000</v>
      </c>
      <c r="O44" s="41"/>
      <c r="P44" s="41">
        <f>IF('Base Data'!H40="",0,'Base Data'!H40)</f>
        <v>0</v>
      </c>
    </row>
    <row r="45" spans="1:16" ht="13.8" x14ac:dyDescent="0.25">
      <c r="A45" s="7" t="s">
        <v>38</v>
      </c>
      <c r="B45" s="41">
        <f>IF('Base Data'!B41="",0,'Base Data'!B41)</f>
        <v>2364</v>
      </c>
      <c r="C45" s="41"/>
      <c r="D45" s="41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f t="shared" si="0"/>
        <v>-10136</v>
      </c>
      <c r="K45" s="10"/>
      <c r="L45" s="10"/>
      <c r="M45" s="8"/>
      <c r="N45" s="41">
        <f>IF('Base Data'!F41="",0,'Base Data'!F41)</f>
        <v>80000</v>
      </c>
      <c r="O45" s="41"/>
      <c r="P45" s="41">
        <f>IF('Base Data'!H41="",0,'Base Data'!H41)</f>
        <v>0</v>
      </c>
    </row>
    <row r="46" spans="1:16" ht="13.8" x14ac:dyDescent="0.25">
      <c r="A46" s="7" t="s">
        <v>39</v>
      </c>
      <c r="B46" s="41">
        <f>IF('Base Data'!B42="",0,'Base Data'!B42)</f>
        <v>12000</v>
      </c>
      <c r="C46" s="41"/>
      <c r="D46" s="41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1">
        <f>IF('Base Data'!F42="",0,'Base Data'!F42)</f>
        <v>11000</v>
      </c>
      <c r="O46" s="41"/>
      <c r="P46" s="41">
        <f>IF('Base Data'!H42="",0,'Base Data'!H42)</f>
        <v>0</v>
      </c>
    </row>
    <row r="47" spans="1:16" ht="13.8" x14ac:dyDescent="0.25">
      <c r="A47" s="7" t="s">
        <v>40</v>
      </c>
      <c r="B47" s="41">
        <f>IF('Base Data'!B43="",0,'Base Data'!B43)</f>
        <v>77000</v>
      </c>
      <c r="C47" s="41"/>
      <c r="D47" s="41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1">
        <f>IF('Base Data'!F43="",0,'Base Data'!F43)</f>
        <v>0</v>
      </c>
      <c r="O47" s="41"/>
      <c r="P47" s="41">
        <f>IF('Base Data'!H43="",0,'Base Data'!H43)</f>
        <v>0</v>
      </c>
    </row>
    <row r="48" spans="1:16" ht="13.8" x14ac:dyDescent="0.25">
      <c r="A48" s="1"/>
      <c r="B48" s="21">
        <f>SUM(B6:B47)</f>
        <v>13345299</v>
      </c>
      <c r="C48" s="8"/>
      <c r="D48" s="21">
        <f>SUM(D6:D47)</f>
        <v>20505480</v>
      </c>
      <c r="E48" s="10"/>
      <c r="F48" s="21">
        <f>SUM(F6:F47)</f>
        <v>525505.51500000001</v>
      </c>
      <c r="G48" s="8"/>
      <c r="H48" s="21">
        <f>SUM(H6:H47)</f>
        <v>525505.51500000001</v>
      </c>
      <c r="I48" s="10"/>
      <c r="J48" s="21">
        <f>SUM(J6:J47)</f>
        <v>13520004.515000001</v>
      </c>
      <c r="K48" s="10"/>
      <c r="L48" s="21">
        <f>SUM(L6:L47)</f>
        <v>20680185.515000001</v>
      </c>
      <c r="M48" s="8"/>
      <c r="N48" s="21">
        <f>SUM(N6:N47)</f>
        <v>5651014</v>
      </c>
      <c r="O48" s="8"/>
      <c r="P48" s="21">
        <f>SUM(P6:P47)</f>
        <v>5817719</v>
      </c>
    </row>
    <row r="50" spans="2:16" x14ac:dyDescent="0.25">
      <c r="D50" s="20">
        <f>B48-D48</f>
        <v>-7160181</v>
      </c>
      <c r="H50" s="20">
        <f>F48-H48</f>
        <v>0</v>
      </c>
      <c r="L50" s="20">
        <f>J48-L48</f>
        <v>-7160181</v>
      </c>
      <c r="P50" s="20">
        <f>N48-P48</f>
        <v>-166705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31" activePane="bottomRight" state="frozen"/>
      <selection activeCell="J56" sqref="J56"/>
      <selection pane="topRight" activeCell="J56" sqref="J56"/>
      <selection pane="bottomLeft" activeCell="J56" sqref="J56"/>
      <selection pane="bottomRight" activeCell="I46" sqref="I46"/>
    </sheetView>
  </sheetViews>
  <sheetFormatPr defaultRowHeight="13.2" x14ac:dyDescent="0.25"/>
  <cols>
    <col min="2" max="2" width="43.21875" customWidth="1"/>
    <col min="3" max="3" width="9.77734375" bestFit="1" customWidth="1"/>
    <col min="4" max="4" width="3.21875" customWidth="1"/>
    <col min="5" max="7" width="9.77734375" bestFit="1" customWidth="1"/>
    <col min="8" max="8" width="4.21875" customWidth="1"/>
    <col min="9" max="9" width="9.77734375" bestFit="1" customWidth="1"/>
    <col min="10" max="10" width="9.21875" hidden="1" customWidth="1"/>
    <col min="11" max="20" width="0" hidden="1" customWidth="1"/>
  </cols>
  <sheetData>
    <row r="1" spans="1:19" x14ac:dyDescent="0.25">
      <c r="B1" s="18" t="s">
        <v>64</v>
      </c>
      <c r="C1" s="78">
        <v>2015</v>
      </c>
      <c r="D1" s="78"/>
      <c r="E1" s="78"/>
      <c r="G1" s="78">
        <v>2014</v>
      </c>
      <c r="H1" s="78"/>
      <c r="I1" s="78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50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2794000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50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50">
        <f>'Trial Balance'!J23</f>
        <v>0</v>
      </c>
      <c r="D4" s="9"/>
      <c r="E4" s="9">
        <f>'Trial Balance'!L23</f>
        <v>12348989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50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50">
        <f>'Trial Balance'!J16</f>
        <v>91601.964999999997</v>
      </c>
      <c r="D6" s="9"/>
      <c r="E6" s="9">
        <f>'Trial Balance'!L16</f>
        <v>0</v>
      </c>
      <c r="F6" s="9"/>
      <c r="G6" s="52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91601.964999999997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50">
        <f>'Trial Balance'!J41</f>
        <v>216000</v>
      </c>
      <c r="D7" s="9"/>
      <c r="E7" s="9">
        <f>'Trial Balance'!L41</f>
        <v>0</v>
      </c>
      <c r="F7" s="9"/>
      <c r="G7" s="52">
        <f>'Trial Balance'!N41</f>
        <v>305000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50">
        <f>'Trial Balance'!J20</f>
        <v>30603.55</v>
      </c>
      <c r="D8" s="9"/>
      <c r="E8" s="9">
        <f>'Trial Balance'!L20</f>
        <v>0</v>
      </c>
      <c r="F8" s="9"/>
      <c r="G8" s="52">
        <f>'Trial Balance'!N20</f>
        <v>51200</v>
      </c>
      <c r="H8" s="9"/>
      <c r="I8" s="9">
        <f>'Trial Balance'!P20</f>
        <v>0</v>
      </c>
      <c r="J8" s="9"/>
      <c r="K8" s="9"/>
      <c r="L8" s="9">
        <f>Journals!F128+Journals!F125+Journals!F122</f>
        <v>3185.9600000000005</v>
      </c>
      <c r="M8" s="9">
        <f>Journals!E128+Journals!E125+Journals!E122</f>
        <v>25737.590000000004</v>
      </c>
      <c r="N8" s="9"/>
      <c r="O8" s="9"/>
      <c r="P8" s="9"/>
      <c r="Q8" s="9">
        <f t="shared" si="0"/>
        <v>1679.9999999999964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50">
        <f>'Trial Balance'!J25</f>
        <v>23457</v>
      </c>
      <c r="D9" s="9"/>
      <c r="E9" s="9">
        <f>'Trial Balance'!L25</f>
        <v>0</v>
      </c>
      <c r="F9" s="9"/>
      <c r="G9" s="52">
        <f>'Trial Balance'!N25</f>
        <v>52000</v>
      </c>
      <c r="H9" s="9"/>
      <c r="I9" s="9">
        <f>'Trial Balance'!P25</f>
        <v>0</v>
      </c>
      <c r="J9" s="9"/>
      <c r="K9" s="9"/>
      <c r="L9" s="9">
        <f>C9*0.2</f>
        <v>4691.4000000000005</v>
      </c>
      <c r="M9" s="9">
        <f>C9-L9</f>
        <v>18765.599999999999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50">
        <f>'Trial Balance'!J21</f>
        <v>2349090</v>
      </c>
      <c r="D10" s="9"/>
      <c r="E10" s="9">
        <f>'Trial Balance'!L21</f>
        <v>0</v>
      </c>
      <c r="F10" s="9"/>
      <c r="G10" s="52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2349090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50">
        <f>'Trial Balance'!J35</f>
        <v>12000</v>
      </c>
      <c r="D11" s="9"/>
      <c r="E11" s="9">
        <f>'Trial Balance'!L35</f>
        <v>0</v>
      </c>
      <c r="F11" s="9"/>
      <c r="G11" s="52">
        <f>'Trial Balance'!N35</f>
        <v>2345</v>
      </c>
      <c r="H11" s="9"/>
      <c r="I11" s="9">
        <f>'Trial Balance'!P35</f>
        <v>0</v>
      </c>
      <c r="J11" s="9"/>
      <c r="K11" s="9"/>
      <c r="L11" s="9">
        <f>C11</f>
        <v>12000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50">
        <f>'Trial Balance'!J36</f>
        <v>264</v>
      </c>
      <c r="D12" s="9"/>
      <c r="E12" s="9">
        <f>'Trial Balance'!L36</f>
        <v>0</v>
      </c>
      <c r="F12" s="9"/>
      <c r="G12" s="52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264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50">
        <f>'Trial Balance'!J37</f>
        <v>239898</v>
      </c>
      <c r="D13" s="9"/>
      <c r="E13" s="9">
        <f>'Trial Balance'!L37</f>
        <v>0</v>
      </c>
      <c r="F13" s="9"/>
      <c r="G13" s="52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239898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50">
        <f>'Trial Balance'!J42</f>
        <v>144000</v>
      </c>
      <c r="D14" s="9"/>
      <c r="E14" s="9"/>
      <c r="F14" s="9"/>
      <c r="G14" s="52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50">
        <f>'Trial Balance'!J46</f>
        <v>12000</v>
      </c>
      <c r="D15" s="9"/>
      <c r="E15" s="9">
        <f>'Trial Balance'!L46</f>
        <v>0</v>
      </c>
      <c r="F15" s="9"/>
      <c r="G15" s="52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12000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50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50">
        <f>'Trial Balance'!J15</f>
        <v>23452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23452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50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51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50">
        <f>SUM(C5:C18)</f>
        <v>3236641.5150000001</v>
      </c>
      <c r="D20" s="9"/>
      <c r="E20" s="9"/>
      <c r="F20" s="9"/>
      <c r="G20" s="9">
        <f>SUM(G5:G18)</f>
        <v>717795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50">
        <f>SUM(C2:C19)</f>
        <v>4546391.5150000006</v>
      </c>
      <c r="D21" s="9"/>
      <c r="E21" s="9">
        <f>SUM(E2:E19)</f>
        <v>14717989</v>
      </c>
      <c r="F21" s="9"/>
      <c r="G21" s="9">
        <f>SUM(G2:G19)</f>
        <v>2352795</v>
      </c>
      <c r="H21" s="9"/>
      <c r="I21" s="9">
        <f>SUM(I2:I19)</f>
        <v>2804000</v>
      </c>
      <c r="J21" s="9"/>
      <c r="K21" s="9"/>
      <c r="L21" s="9">
        <f>SUM(L2:L18)</f>
        <v>2753481.36</v>
      </c>
      <c r="M21" s="9">
        <f>SUM(M2:M18)</f>
        <v>174103.19</v>
      </c>
      <c r="N21" s="9">
        <f>SUM(N2:N18)</f>
        <v>163376.965</v>
      </c>
      <c r="O21" s="9">
        <f>SUM(O2:O18)</f>
        <v>1309750</v>
      </c>
      <c r="P21" s="9">
        <f>SUM(P2:P18)</f>
        <v>0</v>
      </c>
      <c r="Q21" s="9">
        <f t="shared" si="1"/>
        <v>145680.0000000007</v>
      </c>
    </row>
    <row r="22" spans="1:17" x14ac:dyDescent="0.25">
      <c r="B22" s="18" t="s">
        <v>69</v>
      </c>
      <c r="E22" s="20">
        <f>E21-C21</f>
        <v>10171597.484999999</v>
      </c>
      <c r="F22" s="9"/>
      <c r="I22" s="20">
        <f>I21-G21</f>
        <v>451205</v>
      </c>
      <c r="J22" s="9"/>
      <c r="K22" s="9"/>
      <c r="L22" s="9"/>
      <c r="M22" s="9"/>
      <c r="N22" s="9">
        <f>SUM(L21:N21)</f>
        <v>3090961.5149999997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10171597.484999999</v>
      </c>
      <c r="F27" s="9"/>
      <c r="G27" s="9"/>
      <c r="H27" s="9"/>
      <c r="I27" s="20">
        <f>I22-I26</f>
        <v>395331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3235425</v>
      </c>
      <c r="D30" s="9"/>
      <c r="E30" s="9">
        <f>'Trial Balance'!L17</f>
        <v>0</v>
      </c>
      <c r="F30" s="9"/>
      <c r="G30" s="9">
        <f>'Trial Balance'!N17</f>
        <v>2345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4940131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-4451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77000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12993.75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3245</v>
      </c>
      <c r="D38" s="9"/>
      <c r="E38" s="9">
        <f>'Trial Balance'!L18</f>
        <v>0</v>
      </c>
      <c r="F38" s="9"/>
      <c r="G38" s="9">
        <f>'Trial Balance'!N18</f>
        <v>780000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93729.8</v>
      </c>
      <c r="F39" s="9"/>
      <c r="G39" s="9">
        <f>'Trial Balance'!N9</f>
        <v>0</v>
      </c>
      <c r="H39" s="9"/>
      <c r="I39" s="9">
        <f>'Trial Balance'!P9</f>
        <v>93600</v>
      </c>
      <c r="J39" s="9"/>
    </row>
    <row r="40" spans="1:13" ht="13.8" x14ac:dyDescent="0.25">
      <c r="A40">
        <v>10</v>
      </c>
      <c r="B40" s="7" t="s">
        <v>28</v>
      </c>
      <c r="C40" s="9">
        <v>1234</v>
      </c>
      <c r="D40" s="9"/>
      <c r="E40" s="9">
        <f>'Trial Balance'!L32</f>
        <v>0</v>
      </c>
      <c r="F40" s="9"/>
      <c r="G40" s="9">
        <f>'Trial Balance'!N32</f>
        <v>850000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-10136</v>
      </c>
      <c r="D41" s="9"/>
      <c r="E41" s="9">
        <f>'Trial Balance'!L45</f>
        <v>0</v>
      </c>
      <c r="F41" s="9"/>
      <c r="G41" s="9">
        <f>'Trial Balance'!N45</f>
        <v>80000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120000</v>
      </c>
      <c r="D42" s="9"/>
      <c r="E42" s="9">
        <v>12346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1234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74101.964999999997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53" t="s">
        <v>29</v>
      </c>
      <c r="C48" s="9">
        <f>'Trial Balance'!J34</f>
        <v>0</v>
      </c>
      <c r="D48" s="9"/>
      <c r="E48" s="9">
        <f>'Trial Balance'!L34</f>
        <v>500000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780000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12798356.484999999</v>
      </c>
      <c r="F50" s="9"/>
      <c r="G50" s="9">
        <f>'Trial Balance'!N40</f>
        <v>0</v>
      </c>
      <c r="H50" s="9"/>
      <c r="I50" s="9">
        <f>'Trial Balance'!P40+I27</f>
        <v>1246530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295000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1304898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B53" s="54"/>
      <c r="C53" s="9">
        <f>SUM(C30:C52)</f>
        <v>8867448</v>
      </c>
      <c r="D53" s="9"/>
      <c r="E53" s="9">
        <f>SUM(E30:E52)</f>
        <v>16146140</v>
      </c>
      <c r="F53" s="9">
        <f>E53-C53</f>
        <v>7278692</v>
      </c>
      <c r="G53" s="9">
        <f>SUM(G30:G52)</f>
        <v>3242345</v>
      </c>
      <c r="H53" s="9"/>
      <c r="I53" s="9">
        <f>SUM(I30:I52)</f>
        <v>3409050</v>
      </c>
      <c r="J53" s="9"/>
      <c r="U53" s="9">
        <f>I53-G53</f>
        <v>166705</v>
      </c>
    </row>
    <row r="55" spans="1:21" x14ac:dyDescent="0.25">
      <c r="C55" s="9">
        <f>C53+C21</f>
        <v>13413839.515000001</v>
      </c>
      <c r="D55" s="9"/>
      <c r="E55" s="9">
        <f>E53+E21</f>
        <v>30864129</v>
      </c>
      <c r="F55" s="9"/>
      <c r="G55" s="9">
        <f>G53+G21</f>
        <v>5595140</v>
      </c>
      <c r="H55" s="9"/>
      <c r="I55" s="9">
        <f>I53+I21</f>
        <v>6213050</v>
      </c>
      <c r="J55" s="9"/>
    </row>
    <row r="56" spans="1:21" x14ac:dyDescent="0.25">
      <c r="C56" s="9">
        <f>'Trial Balance'!J48</f>
        <v>13520004.515000001</v>
      </c>
      <c r="D56" s="9"/>
      <c r="E56" s="9">
        <f>'Trial Balance'!L48</f>
        <v>20680185.515000001</v>
      </c>
      <c r="F56" s="9"/>
      <c r="G56" s="9">
        <f>'Trial Balance'!N48</f>
        <v>5651014</v>
      </c>
      <c r="H56" s="9"/>
      <c r="I56" s="9">
        <f>'Trial Balance'!P48</f>
        <v>5817719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106165</v>
      </c>
      <c r="D59" s="9"/>
      <c r="E59" s="9">
        <f>E55-C55</f>
        <v>17450289.484999999</v>
      </c>
      <c r="F59" s="9"/>
      <c r="G59" s="9">
        <f>G56-G55</f>
        <v>55874</v>
      </c>
      <c r="H59" s="9"/>
      <c r="I59" s="9">
        <f>I55-G55</f>
        <v>617910</v>
      </c>
      <c r="J59" s="9"/>
    </row>
    <row r="60" spans="1:21" x14ac:dyDescent="0.25">
      <c r="C60" s="9"/>
      <c r="D60" s="9"/>
      <c r="E60" s="20">
        <f>E59-C59</f>
        <v>17344124.484999999</v>
      </c>
      <c r="F60" s="9"/>
      <c r="G60" s="9"/>
      <c r="H60" s="9"/>
      <c r="I60" s="20">
        <f>I59-G59</f>
        <v>562036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46">
        <f>'Trial Balance'!P31</f>
        <v>780000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1093235</v>
      </c>
      <c r="D65" s="9"/>
      <c r="E65" s="9"/>
      <c r="F65" s="9"/>
      <c r="G65" s="9"/>
      <c r="H65" s="9"/>
      <c r="I65" s="46">
        <f>'Base Data'!H37</f>
        <v>851199</v>
      </c>
      <c r="J65" s="9"/>
    </row>
    <row r="66" spans="2:10" x14ac:dyDescent="0.25">
      <c r="B66" s="40" t="s">
        <v>194</v>
      </c>
      <c r="C66" s="9">
        <f>E60</f>
        <v>17344124.484999999</v>
      </c>
      <c r="D66" s="9"/>
      <c r="E66" s="20"/>
      <c r="F66" s="20"/>
      <c r="G66" s="20"/>
      <c r="H66" s="20"/>
      <c r="I66" s="46">
        <f>I60</f>
        <v>562036</v>
      </c>
      <c r="J66" s="20"/>
    </row>
    <row r="67" spans="2:10" x14ac:dyDescent="0.25">
      <c r="B67" s="40" t="s">
        <v>195</v>
      </c>
      <c r="C67" s="9">
        <f>-C51</f>
        <v>-295000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0" t="s">
        <v>197</v>
      </c>
      <c r="C68" s="20">
        <f>C65+C66+C67</f>
        <v>18142359.484999999</v>
      </c>
      <c r="D68" s="9"/>
      <c r="E68" s="9"/>
      <c r="F68" s="9"/>
      <c r="G68" s="9"/>
      <c r="H68" s="9"/>
      <c r="I68" s="20">
        <f>I65+I66+I67</f>
        <v>1093235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1304898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20327257.484999999</v>
      </c>
      <c r="D70" s="9"/>
      <c r="E70" s="9"/>
      <c r="F70" s="9"/>
      <c r="G70" s="9"/>
      <c r="H70" s="9"/>
      <c r="I70" s="20">
        <f>I64+I68+I69</f>
        <v>2073235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395331</v>
      </c>
      <c r="D5" s="9"/>
      <c r="E5" s="9">
        <f>SUM(B5:D5)</f>
        <v>395331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926530</v>
      </c>
      <c r="D10" s="20">
        <f>'Trial Balance'!P14</f>
        <v>200000</v>
      </c>
      <c r="E10" s="20">
        <f>SUM(E4:E9)</f>
        <v>1906530</v>
      </c>
      <c r="F10" s="9">
        <f>'IS-BS'!I70-E10</f>
        <v>166705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926530</v>
      </c>
      <c r="D14" s="9">
        <f>'Trial Balance'!P14</f>
        <v>200000</v>
      </c>
      <c r="E14" s="9">
        <f>SUM(B14:D14)</f>
        <v>1906530</v>
      </c>
      <c r="F14" s="9"/>
      <c r="G14" s="9"/>
    </row>
    <row r="15" spans="1:7" x14ac:dyDescent="0.25">
      <c r="A15" t="s">
        <v>83</v>
      </c>
      <c r="B15" s="9"/>
      <c r="C15" s="9">
        <f>'IS-BS'!E27</f>
        <v>10171597.484999999</v>
      </c>
      <c r="D15" s="9"/>
      <c r="E15" s="9">
        <f>SUM(B15:D15)</f>
        <v>10171597.484999999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10803127.484999999</v>
      </c>
      <c r="D20" s="20">
        <f>SUM(D14:D19)</f>
        <v>270000</v>
      </c>
      <c r="E20" s="20">
        <f>SUM(E14:E19)</f>
        <v>11953127.484999999</v>
      </c>
      <c r="F20" s="9">
        <f>E20-'IS-BS'!C70</f>
        <v>-8374130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0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topLeftCell="A7" zoomScaleNormal="100" workbookViewId="0">
      <selection activeCell="B19" sqref="B19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79" t="s">
        <v>198</v>
      </c>
      <c r="B2" s="79"/>
      <c r="C2" s="79"/>
      <c r="I2" s="9"/>
    </row>
    <row r="3" spans="1:12" ht="13.8" x14ac:dyDescent="0.25">
      <c r="A3" s="29" t="s">
        <v>92</v>
      </c>
      <c r="B3" s="30">
        <v>1459320</v>
      </c>
      <c r="C3" s="31"/>
      <c r="G3" s="55" t="s">
        <v>121</v>
      </c>
      <c r="H3" s="56" t="s">
        <v>122</v>
      </c>
      <c r="I3" s="57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58"/>
      <c r="H4" s="59" t="s">
        <v>210</v>
      </c>
      <c r="I4" s="60">
        <f>-B4+E30</f>
        <v>-693360</v>
      </c>
      <c r="J4" s="9"/>
    </row>
    <row r="5" spans="1:12" ht="13.8" x14ac:dyDescent="0.25">
      <c r="A5" s="29" t="s">
        <v>94</v>
      </c>
      <c r="B5" s="30">
        <v>325</v>
      </c>
      <c r="C5" s="31"/>
      <c r="G5" s="58"/>
      <c r="H5" s="61"/>
      <c r="I5" s="60"/>
    </row>
    <row r="6" spans="1:12" ht="13.8" x14ac:dyDescent="0.25">
      <c r="A6" s="29" t="s">
        <v>95</v>
      </c>
      <c r="B6" s="30">
        <v>81857</v>
      </c>
      <c r="C6" s="31"/>
      <c r="G6" s="58"/>
      <c r="H6" s="61" t="s">
        <v>123</v>
      </c>
      <c r="I6" s="60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58"/>
      <c r="H7" s="61" t="s">
        <v>124</v>
      </c>
      <c r="I7" s="60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58"/>
      <c r="H8" s="61" t="s">
        <v>68</v>
      </c>
      <c r="I8" s="62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58"/>
      <c r="H9" s="61"/>
      <c r="I9" s="63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58" t="s">
        <v>126</v>
      </c>
      <c r="H10" s="61"/>
      <c r="I10" s="60"/>
    </row>
    <row r="11" spans="1:12" ht="13.8" x14ac:dyDescent="0.25">
      <c r="A11" s="29" t="s">
        <v>99</v>
      </c>
      <c r="B11" s="30">
        <f>B5-B10</f>
        <v>-169732</v>
      </c>
      <c r="C11" s="43"/>
      <c r="G11" s="58"/>
      <c r="H11" s="59" t="s">
        <v>182</v>
      </c>
      <c r="I11" s="60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44"/>
      <c r="G12" s="58"/>
      <c r="H12" s="61" t="s">
        <v>132</v>
      </c>
      <c r="I12" s="60">
        <f>E51</f>
        <v>5000</v>
      </c>
    </row>
    <row r="13" spans="1:12" ht="13.8" x14ac:dyDescent="0.25">
      <c r="A13" s="29" t="s">
        <v>101</v>
      </c>
      <c r="B13" s="32">
        <f>B11-B12</f>
        <v>-330849</v>
      </c>
      <c r="C13" s="43"/>
      <c r="E13" s="44"/>
      <c r="G13" s="58"/>
      <c r="H13" s="61" t="s">
        <v>133</v>
      </c>
      <c r="I13" s="60">
        <f>-C45</f>
        <v>-80000</v>
      </c>
    </row>
    <row r="14" spans="1:12" ht="30" customHeight="1" thickBot="1" x14ac:dyDescent="0.3">
      <c r="A14" s="33"/>
      <c r="B14" s="31"/>
      <c r="C14" s="31"/>
      <c r="E14" s="44"/>
      <c r="G14" s="58"/>
      <c r="H14" s="61"/>
      <c r="I14" s="63">
        <f>SUM(I11:I13)</f>
        <v>-85000</v>
      </c>
    </row>
    <row r="15" spans="1:12" ht="13.8" x14ac:dyDescent="0.25">
      <c r="A15" s="79" t="s">
        <v>199</v>
      </c>
      <c r="B15" s="79"/>
      <c r="C15" s="79"/>
      <c r="E15" s="44"/>
      <c r="G15" s="58"/>
      <c r="H15" s="61"/>
      <c r="I15" s="60"/>
      <c r="L15" s="49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44"/>
      <c r="F16" s="9"/>
      <c r="G16" s="58" t="s">
        <v>75</v>
      </c>
      <c r="H16" s="61"/>
      <c r="I16" s="60"/>
      <c r="L16" s="49">
        <v>-775217</v>
      </c>
    </row>
    <row r="17" spans="1:12" ht="13.8" x14ac:dyDescent="0.25">
      <c r="A17" s="29" t="s">
        <v>103</v>
      </c>
      <c r="B17" s="42">
        <f>181886+1125</f>
        <v>183011</v>
      </c>
      <c r="C17" s="42">
        <v>117000</v>
      </c>
      <c r="E17" s="44">
        <f>B17-C17</f>
        <v>66011</v>
      </c>
      <c r="F17" s="9"/>
      <c r="G17" s="58"/>
      <c r="H17" s="61" t="s">
        <v>125</v>
      </c>
      <c r="I17" s="60">
        <f>E33</f>
        <v>-50000</v>
      </c>
      <c r="L17" s="49">
        <v>-36375</v>
      </c>
    </row>
    <row r="18" spans="1:12" ht="13.8" x14ac:dyDescent="0.25">
      <c r="A18" s="29" t="s">
        <v>104</v>
      </c>
      <c r="B18" s="42">
        <v>421600</v>
      </c>
      <c r="C18" s="42">
        <v>16000</v>
      </c>
      <c r="E18" s="44">
        <f>B18-C18</f>
        <v>405600</v>
      </c>
      <c r="F18" s="9"/>
      <c r="G18" s="58"/>
      <c r="H18" s="61" t="s">
        <v>57</v>
      </c>
      <c r="I18" s="60">
        <f>E37</f>
        <v>100000</v>
      </c>
      <c r="L18" s="49">
        <v>-111117</v>
      </c>
    </row>
    <row r="19" spans="1:12" ht="13.8" x14ac:dyDescent="0.25">
      <c r="A19" s="29" t="s">
        <v>105</v>
      </c>
      <c r="B19" s="42">
        <v>1234</v>
      </c>
      <c r="C19" s="42">
        <v>-1400</v>
      </c>
      <c r="E19" s="44">
        <f>B19-C19</f>
        <v>2634</v>
      </c>
      <c r="F19" s="9"/>
      <c r="G19" s="58"/>
      <c r="H19" s="61" t="s">
        <v>137</v>
      </c>
      <c r="I19" s="60">
        <v>-30000</v>
      </c>
      <c r="L19" s="49">
        <f>SUM(L15:L18)</f>
        <v>131011</v>
      </c>
    </row>
    <row r="20" spans="1:12" ht="14.4" thickBot="1" x14ac:dyDescent="0.3">
      <c r="A20" s="29" t="s">
        <v>51</v>
      </c>
      <c r="B20" s="42">
        <f>203000+52500+11000</f>
        <v>266500</v>
      </c>
      <c r="C20" s="42">
        <v>196000</v>
      </c>
      <c r="E20" s="44"/>
      <c r="F20" s="9"/>
      <c r="G20" s="58"/>
      <c r="H20" s="61"/>
      <c r="I20" s="63">
        <f>SUM(I17:I19)</f>
        <v>20000</v>
      </c>
    </row>
    <row r="21" spans="1:12" ht="13.8" x14ac:dyDescent="0.25">
      <c r="A21" s="29" t="s">
        <v>106</v>
      </c>
      <c r="B21" s="42">
        <v>575000</v>
      </c>
      <c r="C21" s="42">
        <v>500000</v>
      </c>
      <c r="E21" s="44"/>
      <c r="F21" s="9"/>
      <c r="G21" s="58"/>
      <c r="H21" s="61" t="s">
        <v>134</v>
      </c>
      <c r="I21" s="64">
        <f>I9+I14+I20</f>
        <v>66011</v>
      </c>
    </row>
    <row r="22" spans="1:12" ht="13.8" x14ac:dyDescent="0.25">
      <c r="A22" s="29" t="s">
        <v>107</v>
      </c>
      <c r="B22" s="42">
        <v>800000</v>
      </c>
      <c r="C22" s="42">
        <v>800000</v>
      </c>
      <c r="E22" s="44"/>
      <c r="F22" s="9"/>
      <c r="G22" s="58"/>
      <c r="H22" s="61"/>
      <c r="I22" s="60"/>
    </row>
    <row r="23" spans="1:12" ht="13.8" x14ac:dyDescent="0.25">
      <c r="A23" s="29" t="s">
        <v>108</v>
      </c>
      <c r="B23" s="42">
        <v>-32000</v>
      </c>
      <c r="C23" s="42">
        <v>-16000</v>
      </c>
      <c r="E23" s="44">
        <f>B23-C23</f>
        <v>-16000</v>
      </c>
      <c r="F23" s="9"/>
      <c r="G23" s="58" t="s">
        <v>135</v>
      </c>
      <c r="H23" s="61"/>
      <c r="I23" s="60">
        <f>C17</f>
        <v>117000</v>
      </c>
    </row>
    <row r="24" spans="1:12" ht="13.8" x14ac:dyDescent="0.25">
      <c r="A24" s="29" t="s">
        <v>79</v>
      </c>
      <c r="B24" s="42">
        <v>180000</v>
      </c>
      <c r="C24" s="42">
        <v>170000</v>
      </c>
      <c r="E24" s="44"/>
      <c r="F24" s="9"/>
      <c r="G24" s="65" t="s">
        <v>136</v>
      </c>
      <c r="H24" s="66"/>
      <c r="I24" s="67">
        <f>I21+I23</f>
        <v>183011</v>
      </c>
    </row>
    <row r="25" spans="1:12" ht="13.8" x14ac:dyDescent="0.25">
      <c r="A25" s="29" t="s">
        <v>109</v>
      </c>
      <c r="B25" s="42">
        <v>-61200</v>
      </c>
      <c r="C25" s="42">
        <v>-34000</v>
      </c>
      <c r="E25" s="44">
        <f>B25-C25</f>
        <v>-27200</v>
      </c>
      <c r="F25" s="9"/>
    </row>
    <row r="26" spans="1:12" ht="13.8" x14ac:dyDescent="0.25">
      <c r="A26" s="29" t="s">
        <v>80</v>
      </c>
      <c r="B26" s="42">
        <v>220000</v>
      </c>
      <c r="C26" s="42">
        <v>190000</v>
      </c>
      <c r="E26" s="44">
        <f>B26-C26</f>
        <v>30000</v>
      </c>
      <c r="F26" s="9"/>
    </row>
    <row r="27" spans="1:12" ht="13.8" x14ac:dyDescent="0.25">
      <c r="A27" s="29" t="s">
        <v>110</v>
      </c>
      <c r="B27" s="47">
        <v>-72000</v>
      </c>
      <c r="C27" s="47">
        <v>-40000</v>
      </c>
      <c r="E27" s="44">
        <f>B27-C27</f>
        <v>-32000</v>
      </c>
      <c r="F27" s="9"/>
    </row>
    <row r="28" spans="1:12" ht="13.8" x14ac:dyDescent="0.25">
      <c r="A28" s="36"/>
      <c r="B28" s="32">
        <f>SUM(B17:B27)</f>
        <v>2482145</v>
      </c>
      <c r="C28" s="32">
        <f>SUM(C17:C27)</f>
        <v>1897600</v>
      </c>
      <c r="E28" s="44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44"/>
      <c r="F29" s="9"/>
    </row>
    <row r="30" spans="1:12" ht="13.8" x14ac:dyDescent="0.25">
      <c r="A30" s="29" t="s">
        <v>112</v>
      </c>
      <c r="B30" s="42">
        <v>65800</v>
      </c>
      <c r="C30" s="42">
        <v>64160</v>
      </c>
      <c r="E30" s="44">
        <f>B30-C30</f>
        <v>1640</v>
      </c>
      <c r="F30" s="9"/>
    </row>
    <row r="31" spans="1:12" ht="13.8" x14ac:dyDescent="0.25">
      <c r="A31" s="29" t="s">
        <v>113</v>
      </c>
      <c r="B31" s="42">
        <v>3625</v>
      </c>
      <c r="C31" s="42">
        <v>2500</v>
      </c>
      <c r="E31" s="44">
        <f>B31-C31</f>
        <v>1125</v>
      </c>
      <c r="F31" s="9"/>
      <c r="G31" s="44">
        <f>B23+B25+B27</f>
        <v>-165200</v>
      </c>
      <c r="H31" s="44">
        <f>C23+C25+C27</f>
        <v>-90000</v>
      </c>
      <c r="I31" s="44">
        <f>G31-H31</f>
        <v>-75200</v>
      </c>
    </row>
    <row r="32" spans="1:12" ht="13.8" x14ac:dyDescent="0.25">
      <c r="A32" s="29" t="s">
        <v>114</v>
      </c>
      <c r="B32" s="42">
        <v>150000</v>
      </c>
      <c r="C32" s="42">
        <v>100000</v>
      </c>
      <c r="E32" s="44">
        <f>B32-C32</f>
        <v>50000</v>
      </c>
      <c r="F32" s="9"/>
    </row>
    <row r="33" spans="1:7" ht="13.8" x14ac:dyDescent="0.25">
      <c r="A33" s="29" t="s">
        <v>115</v>
      </c>
      <c r="B33" s="42">
        <v>350000</v>
      </c>
      <c r="C33" s="42">
        <v>400000</v>
      </c>
      <c r="E33" s="44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44"/>
      <c r="F34" s="9"/>
    </row>
    <row r="35" spans="1:7" ht="13.8" x14ac:dyDescent="0.25">
      <c r="A35" s="34" t="s">
        <v>116</v>
      </c>
      <c r="B35" s="32">
        <f>B28-B34</f>
        <v>1912720</v>
      </c>
      <c r="C35" s="32">
        <f>C28-C34</f>
        <v>1330940</v>
      </c>
      <c r="E35" s="44"/>
      <c r="F35" s="9"/>
    </row>
    <row r="36" spans="1:7" ht="13.8" x14ac:dyDescent="0.25">
      <c r="A36" s="34" t="s">
        <v>117</v>
      </c>
      <c r="B36" s="37"/>
      <c r="C36" s="37"/>
      <c r="E36" s="44"/>
      <c r="F36" s="9"/>
    </row>
    <row r="37" spans="1:7" ht="13.8" x14ac:dyDescent="0.25">
      <c r="A37" s="29" t="s">
        <v>57</v>
      </c>
      <c r="B37" s="42">
        <v>900000</v>
      </c>
      <c r="C37" s="42">
        <v>800000</v>
      </c>
      <c r="E37" s="44">
        <f>B37-C37</f>
        <v>100000</v>
      </c>
      <c r="F37" s="9"/>
    </row>
    <row r="38" spans="1:7" ht="13.8" x14ac:dyDescent="0.25">
      <c r="A38" s="29" t="s">
        <v>118</v>
      </c>
      <c r="B38" s="42">
        <v>75000</v>
      </c>
      <c r="C38" s="42">
        <v>0</v>
      </c>
      <c r="E38" s="44"/>
      <c r="F38" s="9"/>
    </row>
    <row r="39" spans="1:7" ht="13.8" x14ac:dyDescent="0.25">
      <c r="A39" s="29" t="s">
        <v>119</v>
      </c>
      <c r="B39" s="42">
        <f>B71</f>
        <v>170091</v>
      </c>
      <c r="C39" s="42">
        <f>C40-C37-C38</f>
        <v>530940</v>
      </c>
      <c r="E39" s="44">
        <f>B39-C39</f>
        <v>-360849</v>
      </c>
      <c r="F39" s="9"/>
    </row>
    <row r="40" spans="1:7" ht="13.8" x14ac:dyDescent="0.25">
      <c r="A40" s="34" t="s">
        <v>120</v>
      </c>
      <c r="B40" s="32">
        <f>SUM(B37:B39)</f>
        <v>1145091</v>
      </c>
      <c r="C40" s="32">
        <f>C35</f>
        <v>1330940</v>
      </c>
      <c r="E40" s="44"/>
    </row>
    <row r="42" spans="1:7" x14ac:dyDescent="0.25">
      <c r="B42" s="9">
        <f>B40-B35</f>
        <v>-767629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0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45" t="s">
        <v>129</v>
      </c>
      <c r="H49" s="45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80" t="s">
        <v>131</v>
      </c>
      <c r="H51" s="80"/>
    </row>
    <row r="54" spans="1:8" x14ac:dyDescent="0.25">
      <c r="A54" s="18" t="s">
        <v>202</v>
      </c>
    </row>
    <row r="55" spans="1:8" x14ac:dyDescent="0.25">
      <c r="A55" s="40" t="s">
        <v>201</v>
      </c>
    </row>
    <row r="56" spans="1:8" x14ac:dyDescent="0.25">
      <c r="A56" t="str">
        <f>A37</f>
        <v>Share Capital</v>
      </c>
      <c r="B56" s="44">
        <f>C37</f>
        <v>800000</v>
      </c>
    </row>
    <row r="57" spans="1:8" x14ac:dyDescent="0.25">
      <c r="A57" t="str">
        <f>A38</f>
        <v>Revaluation Reserve</v>
      </c>
      <c r="B57" s="44">
        <f t="shared" ref="B57:B58" si="0">C38</f>
        <v>0</v>
      </c>
    </row>
    <row r="58" spans="1:8" x14ac:dyDescent="0.25">
      <c r="A58" s="40" t="s">
        <v>203</v>
      </c>
      <c r="B58" s="44">
        <f t="shared" si="0"/>
        <v>530940</v>
      </c>
    </row>
    <row r="59" spans="1:8" x14ac:dyDescent="0.25">
      <c r="B59" s="44">
        <f>SUM(B56:B58)</f>
        <v>1330940</v>
      </c>
    </row>
    <row r="60" spans="1:8" x14ac:dyDescent="0.25">
      <c r="B60" s="44"/>
    </row>
    <row r="61" spans="1:8" x14ac:dyDescent="0.25">
      <c r="A61" s="40" t="s">
        <v>204</v>
      </c>
      <c r="B61" s="44">
        <f>B13</f>
        <v>-330849</v>
      </c>
    </row>
    <row r="62" spans="1:8" x14ac:dyDescent="0.25">
      <c r="A62" s="40" t="s">
        <v>205</v>
      </c>
      <c r="B62" s="44">
        <f>B38</f>
        <v>75000</v>
      </c>
    </row>
    <row r="63" spans="1:8" x14ac:dyDescent="0.25">
      <c r="A63" s="40" t="s">
        <v>206</v>
      </c>
      <c r="B63" s="44">
        <f>E37</f>
        <v>100000</v>
      </c>
    </row>
    <row r="64" spans="1:8" x14ac:dyDescent="0.25">
      <c r="A64" s="18" t="s">
        <v>207</v>
      </c>
      <c r="B64" s="44">
        <f>SUM(B59:B63)</f>
        <v>1175091</v>
      </c>
    </row>
    <row r="65" spans="1:2" x14ac:dyDescent="0.25">
      <c r="B65" s="44"/>
    </row>
    <row r="66" spans="1:2" x14ac:dyDescent="0.25">
      <c r="B66" s="44"/>
    </row>
    <row r="67" spans="1:2" x14ac:dyDescent="0.25">
      <c r="A67" s="40" t="s">
        <v>203</v>
      </c>
      <c r="B67" s="44"/>
    </row>
    <row r="68" spans="1:2" x14ac:dyDescent="0.25">
      <c r="A68" s="40" t="s">
        <v>208</v>
      </c>
      <c r="B68" s="44">
        <f>B58</f>
        <v>530940</v>
      </c>
    </row>
    <row r="69" spans="1:2" x14ac:dyDescent="0.25">
      <c r="A69" s="40" t="s">
        <v>204</v>
      </c>
      <c r="B69" s="44">
        <f>B61</f>
        <v>-330849</v>
      </c>
    </row>
    <row r="70" spans="1:2" x14ac:dyDescent="0.25">
      <c r="A70" s="40" t="s">
        <v>209</v>
      </c>
      <c r="B70" s="44">
        <v>-30000</v>
      </c>
    </row>
    <row r="71" spans="1:2" x14ac:dyDescent="0.25">
      <c r="A71" s="40" t="s">
        <v>196</v>
      </c>
      <c r="B71" s="44">
        <f>SUM(B68:B70)</f>
        <v>170091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2019-06-10T01:27:24Z</dcterms:modified>
</cp:coreProperties>
</file>