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DADD75EC-1DEB-43BC-AB2F-5A8093FCA7E2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B69" i="3"/>
  <c r="B64" i="3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P50" i="1"/>
  <c r="I22" i="3"/>
  <c r="I27" i="3"/>
  <c r="B5" i="6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<sst xmlns="http://schemas.openxmlformats.org/spreadsheetml/2006/main" count="395" uniqueCount="232">
  <si>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</si>
  <si>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</si>
  <si>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</si>
  <si>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</si>
  <si>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</si>
  <si>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</si>
  <si>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</si>
  <si>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</si>
  <si>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</si>
  <si>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</si>
  <si>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</si>
  <si>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</si>
  <si>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</si>
  <si>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</si>
  <si>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</si>
  <si>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</si>
  <si>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</si>
  <si>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</si>
  <si>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</si>
  <si>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</si>
  <si>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</si>
  <si>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</si>
  <si>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</si>
  <si>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</si>
  <si>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</si>
  <si>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</si>
  <si>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</si>
  <si>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</si>
  <si>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</si>
  <si>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</si>
  <si>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</si>
  <si>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</si>
  <si>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</si>
  <si>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</si>
  <si>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</si>
  <si>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</si>
  <si>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</si>
  <si>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</si>
  <si>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</si>
  <si>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</si>
  <si>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</si>
  <si>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</si>
  <si>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</si>
  <si>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</si>
  <si>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</si>
  <si>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</si>
  <si>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</si>
  <si>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</si>
  <si>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</si>
  <si>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</si>
  <si>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</si>
  <si>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</si>
  <si>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</si>
  <si>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</si>
  <si>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</si>
  <si>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</si>
  <si>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</si>
  <si>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</si>
  <si>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</si>
  <si>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</si>
  <si>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</si>
  <si>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</si>
  <si>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</si>
  <si>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</si>
  <si>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</si>
  <si>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</si>
  <si>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</si>
  <si>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</si>
  <si>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</si>
  <si>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</si>
  <si>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</si>
  <si>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</si>
  <si>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</si>
  <si>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</si>
  <si>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</si>
  <si>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</si>
  <si>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</si>
  <si>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</si>
  <si>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</si>
  <si>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</si>
  <si>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</si>
  <si>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</si>
  <si>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</si>
  <si>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</si>
  <si>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</si>
  <si>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</si>
  <si>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</si>
  <si>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</si>
  <si>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</si>
  <si>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</si>
  <si>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</si>
  <si>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</si>
  <si>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</si>
  <si>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</si>
  <si>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</si>
  <si>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</si>
  <si>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</si>
  <si>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</si>
  <si>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</si>
  <si>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</si>
  <si>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</si>
  <si>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</si>
  <si>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</si>
  <si>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</si>
  <si>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</si>
  <si>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</si>
  <si>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</si>
  <si>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</si>
  <si>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</si>
  <si>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</si>
  <si>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</si>
  <si>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</si>
  <si>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</si>
  <si>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</si>
  <si>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</si>
  <si>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</si>
  <si>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</si>
  <si>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</si>
  <si>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</si>
  <si>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</si>
  <si>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</si>
  <si>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</si>
  <si>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</si>
  <si>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</si>
  <si>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</si>
  <si>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</si>
  <si>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</si>
  <si>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</si>
  <si>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</si>
  <si>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</si>
  <si>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</si>
  <si>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</si>
  <si>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</si>
  <si>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</si>
  <si>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</si>
  <si>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</si>
  <si>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</si>
  <si>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</si>
  <si>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</si>
  <si>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</si>
  <si>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</si>
  <si>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</si>
  <si>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</si>
  <si>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</si>
  <si>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</si>
  <si>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</si>
  <si>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</si>
  <si>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</si>
  <si>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</si>
  <si>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</si>
  <si>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</si>
  <si>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</si>
  <si>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</si>
  <si>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</si>
  <si>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</si>
  <si>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</si>
  <si>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</si>
  <si>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</si>
  <si>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</si>
  <si>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</si>
  <si>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</si>
  <si>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</si>
  <si>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</si>
  <si>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</si>
  <si>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</si>
  <si>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</si>
  <si>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</si>
  <si>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</si>
  <si>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</si>
  <si>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</si>
  <si>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</si>
  <si>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</si>
  <si>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</si>
  <si>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</si>
  <si>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</si>
  <si>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</si>
  <si>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</si>
  <si>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</si>
  <si>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</si>
  <si>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</si>
  <si>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</si>
  <si>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</si>
  <si>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</si>
  <si>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</si>
  <si>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</si>
  <si>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</si>
  <si>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</si>
  <si>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</si>
  <si>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</si>
  <si>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</si>
  <si>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</si>
  <si>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</si>
  <si>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</si>
  <si>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</si>
  <si>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</si>
  <si>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</si>
  <si>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</si>
  <si>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</si>
  <si>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</si>
  <si>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</si>
  <si>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</si>
  <si>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</si>
  <si>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</si>
  <si>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</si>
  <si>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</si>
  <si>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</si>
  <si>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</si>
  <si>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</si>
  <si>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</si>
  <si>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</si>
  <si>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</si>
  <si>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</si>
  <si>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</si>
  <si>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</si>
  <si>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</si>
  <si>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</si>
  <si>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</si>
  <si>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</si>
  <si>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</si>
  <si>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</si>
  <si>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</si>
  <si>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</si>
  <si>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</si>
  <si>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</si>
  <si>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</si>
  <si>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Shelly</t>
  </si>
  <si>
    <t>Tairoa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</si>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</sst>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1570-003A-4466-8693-E8AED03F12F0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9133554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6A54117B-6474-44AB-A99D-E85CA386301F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8" workbookViewId="0">
      <selection activeCell="B26" sqref="B26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6628141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1234</v>
      </c>
      <c r="C14" s="8"/>
      <c r="D14" s="8"/>
      <c r="E14" s="8"/>
      <c r="F14" s="10">
        <v>34543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2345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2345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2345</v>
      </c>
      <c r="C22" s="8"/>
      <c r="D22" s="8"/>
      <c r="E22" s="8"/>
      <c r="F22" s="10">
        <v>345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2345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v>2345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5967779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25424594</v>
      </c>
      <c r="C44" s="8"/>
      <c r="D44" s="21">
        <f>SUM(D4:D43)</f>
        <v>23968755</v>
      </c>
      <c r="E44" s="10"/>
      <c r="F44" s="21">
        <f>SUM(F4:F43)</f>
        <v>3805047</v>
      </c>
      <c r="G44" s="8"/>
      <c r="H44" s="21">
        <f>SUM(H4:H43)</f>
        <v>5817719</v>
      </c>
    </row>
    <row r="46" spans="1:9" x14ac:dyDescent="0.25">
      <c r="D46" s="20">
        <f>D44-B44</f>
        <v>-1455839</v>
      </c>
      <c r="H46" s="20">
        <f>H44-F44</f>
        <v>2012672</v>
      </c>
    </row>
    <row r="48" spans="1:9" x14ac:dyDescent="0.25">
      <c r="H48" s="9">
        <f>'IS-BS'!I27</f>
        <v>2065841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2597040</v>
      </c>
      <c r="I51" s="40" t="s">
        <v>192</v>
      </c>
    </row>
    <row r="53" spans="8:9" x14ac:dyDescent="0.25">
      <c r="H53" s="9">
        <f>H51-D37</f>
        <v>-3370739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99159.614999999991</v>
      </c>
      <c r="F42" s="9"/>
    </row>
    <row r="43" spans="1:7" x14ac:dyDescent="0.25">
      <c r="A43" s="19"/>
      <c r="D43" t="s">
        <v>160</v>
      </c>
      <c r="E43" s="9"/>
      <c r="F43" s="9">
        <f>E42</f>
        <v>99159.614999999991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409442.565</v>
      </c>
      <c r="F70" s="9">
        <f>SUM(F3:F69)</f>
        <v>409442.565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6628141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6610641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99159.614999999991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116659.61499999999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6628141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6610641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116659.61499999999</v>
      </c>
      <c r="G16" s="10"/>
      <c r="H16" s="10"/>
      <c r="I16" s="10"/>
      <c r="J16" s="10">
        <f t="shared" si="0"/>
        <v>116659.61499999999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1234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1234</v>
      </c>
      <c r="K17" s="10"/>
      <c r="L17" s="10">
        <f t="shared" si="1"/>
        <v>0</v>
      </c>
      <c r="M17" s="8"/>
      <c r="N17" s="41">
        <f>IF('Base Data'!F14="",0,'Base Data'!F14)</f>
        <v>34543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2345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2345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2345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2345</v>
      </c>
      <c r="K25" s="10"/>
      <c r="L25" s="10">
        <f t="shared" si="1"/>
        <v>0</v>
      </c>
      <c r="M25" s="8"/>
      <c r="N25" s="41">
        <f>IF('Base Data'!F22="",0,'Base Data'!F22)</f>
        <v>345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2345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2345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2345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99159.614999999991</v>
      </c>
      <c r="I38" s="10"/>
      <c r="J38" s="10"/>
      <c r="K38" s="10"/>
      <c r="L38" s="10">
        <f t="shared" si="1"/>
        <v>99159.614999999991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5967779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5967779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25424594</v>
      </c>
      <c r="C48" s="8"/>
      <c r="D48" s="21">
        <f>SUM(D6:D47)</f>
        <v>23968755</v>
      </c>
      <c r="E48" s="10"/>
      <c r="F48" s="21">
        <f>SUM(F6:F47)</f>
        <v>553442.56499999994</v>
      </c>
      <c r="G48" s="8"/>
      <c r="H48" s="21">
        <f>SUM(H6:H47)</f>
        <v>553442.56499999994</v>
      </c>
      <c r="I48" s="10"/>
      <c r="J48" s="21">
        <f>SUM(J6:J47)</f>
        <v>25627236.565000001</v>
      </c>
      <c r="K48" s="10"/>
      <c r="L48" s="21">
        <f>SUM(L6:L47)</f>
        <v>24171397.564999998</v>
      </c>
      <c r="M48" s="8"/>
      <c r="N48" s="21">
        <f>SUM(N6:N47)</f>
        <v>3805047</v>
      </c>
      <c r="O48" s="8"/>
      <c r="P48" s="21">
        <f>SUM(P6:P47)</f>
        <v>5817719</v>
      </c>
    </row>
    <row r="50" spans="2:16" x14ac:dyDescent="0.25">
      <c r="D50" s="20">
        <f>B48-D48</f>
        <v>1455839</v>
      </c>
      <c r="H50" s="20">
        <f>F48-H48</f>
        <v>0</v>
      </c>
      <c r="L50" s="20">
        <f>J48-L48</f>
        <v>1455839.0000000037</v>
      </c>
      <c r="P50" s="20">
        <f>N48-P48</f>
        <v>-2012672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2345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116659.61499999999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116659.61499999999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2345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2345</v>
      </c>
      <c r="D9" s="9"/>
      <c r="E9" s="9">
        <f>'Trial Balance'!L25</f>
        <v>0</v>
      </c>
      <c r="F9" s="9"/>
      <c r="G9" s="52">
        <f>'Trial Balance'!N25</f>
        <v>345</v>
      </c>
      <c r="H9" s="9"/>
      <c r="I9" s="9">
        <f>'Trial Balance'!P25</f>
        <v>0</v>
      </c>
      <c r="J9" s="9"/>
      <c r="K9" s="9"/>
      <c r="L9" s="9">
        <f>C9*0.2</f>
        <v>469</v>
      </c>
      <c r="M9" s="9">
        <f>C9-L9</f>
        <v>1876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2345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2345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3249320.5649999999</v>
      </c>
      <c r="D20" s="9"/>
      <c r="E20" s="9"/>
      <c r="F20" s="9"/>
      <c r="G20" s="9">
        <f>SUM(G5:G18)</f>
        <v>654940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4559070.5649999995</v>
      </c>
      <c r="D21" s="9"/>
      <c r="E21" s="9">
        <f>SUM(E2:E19)</f>
        <v>14717989</v>
      </c>
      <c r="F21" s="9"/>
      <c r="G21" s="9">
        <f>SUM(G2:G19)</f>
        <v>682285</v>
      </c>
      <c r="H21" s="9"/>
      <c r="I21" s="9">
        <f>SUM(I2:I19)</f>
        <v>2804000</v>
      </c>
      <c r="J21" s="9"/>
      <c r="K21" s="9"/>
      <c r="L21" s="9">
        <f>SUM(L2:L18)</f>
        <v>2825118.84</v>
      </c>
      <c r="M21" s="9">
        <f>SUM(M2:M18)</f>
        <v>159517.10999999999</v>
      </c>
      <c r="N21" s="9">
        <f>SUM(N2:N18)</f>
        <v>119004.61499999999</v>
      </c>
      <c r="O21" s="9">
        <f>SUM(O2:O18)</f>
        <v>1309750</v>
      </c>
      <c r="P21" s="9">
        <f>SUM(P2:P18)</f>
        <v>0</v>
      </c>
      <c r="Q21" s="9">
        <f t="shared" si="1"/>
        <v>145679.99999999977</v>
      </c>
    </row>
    <row r="22" spans="1:17" x14ac:dyDescent="0.25">
      <c r="B22" s="18" t="s">
        <v>69</v>
      </c>
      <c r="E22" s="20">
        <f>E21-C21</f>
        <v>10158918.435000001</v>
      </c>
      <c r="F22" s="9"/>
      <c r="I22" s="20">
        <f>I21-G21</f>
        <v>2121715</v>
      </c>
      <c r="J22" s="9"/>
      <c r="K22" s="9"/>
      <c r="L22" s="9"/>
      <c r="M22" s="9"/>
      <c r="N22" s="9">
        <f>SUM(L21:N21)</f>
        <v>3103640.5649999995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10158918.435000001</v>
      </c>
      <c r="F27" s="9"/>
      <c r="G27" s="9"/>
      <c r="H27" s="9"/>
      <c r="I27" s="20">
        <f>I22-I26</f>
        <v>2065841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1234</v>
      </c>
      <c r="D30" s="9"/>
      <c r="E30" s="9">
        <f>'Trial Balance'!L17</f>
        <v>0</v>
      </c>
      <c r="F30" s="9"/>
      <c r="G30" s="9">
        <f>'Trial Balance'!N17</f>
        <v>34543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6610641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2345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99159.614999999991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16126697.435000001</v>
      </c>
      <c r="F50" s="9"/>
      <c r="G50" s="9">
        <f>'Trial Balance'!N40</f>
        <v>0</v>
      </c>
      <c r="H50" s="9"/>
      <c r="I50" s="9">
        <f>'Trial Balance'!P40+I27</f>
        <v>2917040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21031041</v>
      </c>
      <c r="D53" s="9"/>
      <c r="E53" s="9">
        <f>SUM(E30:E52)</f>
        <v>19612327</v>
      </c>
      <c r="F53" s="9">
        <f>E53-C53</f>
        <v>-1418714</v>
      </c>
      <c r="G53" s="9">
        <f>SUM(G30:G52)</f>
        <v>3066888</v>
      </c>
      <c r="H53" s="9"/>
      <c r="I53" s="9">
        <f>SUM(I30:I52)</f>
        <v>5079560</v>
      </c>
      <c r="J53" s="9"/>
      <c r="U53" s="9">
        <f>I53-G53</f>
        <v>2012672</v>
      </c>
    </row>
    <row r="55" spans="1:21" x14ac:dyDescent="0.25">
      <c r="C55" s="9">
        <f>C53+C21</f>
        <v>25590111.564999998</v>
      </c>
      <c r="D55" s="9"/>
      <c r="E55" s="9">
        <f>E53+E21</f>
        <v>34330316</v>
      </c>
      <c r="F55" s="9"/>
      <c r="G55" s="9">
        <f>G53+G21</f>
        <v>3749173</v>
      </c>
      <c r="H55" s="9"/>
      <c r="I55" s="9">
        <f>I53+I21</f>
        <v>7883560</v>
      </c>
      <c r="J55" s="9"/>
    </row>
    <row r="56" spans="1:21" x14ac:dyDescent="0.25">
      <c r="C56" s="9">
        <f>'Trial Balance'!J48</f>
        <v>25627236.565000001</v>
      </c>
      <c r="D56" s="9"/>
      <c r="E56" s="9">
        <f>'Trial Balance'!L48</f>
        <v>24171397.564999998</v>
      </c>
      <c r="F56" s="9"/>
      <c r="G56" s="9">
        <f>'Trial Balance'!N48</f>
        <v>3805047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37125.000000003725</v>
      </c>
      <c r="D59" s="9"/>
      <c r="E59" s="9">
        <f>E55-C55</f>
        <v>8740204.4350000024</v>
      </c>
      <c r="F59" s="9"/>
      <c r="G59" s="9">
        <f>G56-G55</f>
        <v>55874</v>
      </c>
      <c r="H59" s="9"/>
      <c r="I59" s="9">
        <f>I55-G55</f>
        <v>4134387</v>
      </c>
      <c r="J59" s="9"/>
    </row>
    <row r="60" spans="1:21" x14ac:dyDescent="0.25">
      <c r="C60" s="9"/>
      <c r="D60" s="9"/>
      <c r="E60" s="20">
        <f>E59-C59</f>
        <v>8703079.4349999987</v>
      </c>
      <c r="F60" s="9"/>
      <c r="G60" s="9"/>
      <c r="H60" s="9"/>
      <c r="I60" s="20">
        <f>I59-G59</f>
        <v>4078513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4609712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8703079.4349999987</v>
      </c>
      <c r="D66" s="9"/>
      <c r="E66" s="20"/>
      <c r="F66" s="20"/>
      <c r="G66" s="20"/>
      <c r="H66" s="20"/>
      <c r="I66" s="46">
        <f>I60</f>
        <v>4078513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13017791.434999999</v>
      </c>
      <c r="D68" s="9"/>
      <c r="E68" s="9"/>
      <c r="F68" s="9"/>
      <c r="G68" s="9"/>
      <c r="H68" s="9"/>
      <c r="I68" s="20">
        <f>I65+I66+I67</f>
        <v>4609712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15202689.434999999</v>
      </c>
      <c r="D70" s="9"/>
      <c r="E70" s="9"/>
      <c r="F70" s="9"/>
      <c r="G70" s="9"/>
      <c r="H70" s="9"/>
      <c r="I70" s="20">
        <f>I64+I68+I69</f>
        <v>5589712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2065841</v>
      </c>
      <c r="D5" s="9"/>
      <c r="E5" s="9">
        <f>SUM(B5:D5)</f>
        <v>2065841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2597040</v>
      </c>
      <c r="D10" s="20">
        <f>'Trial Balance'!P14</f>
        <v>200000</v>
      </c>
      <c r="E10" s="20">
        <f>SUM(E4:E9)</f>
        <v>3577040</v>
      </c>
      <c r="F10" s="9">
        <f>'IS-BS'!I70-E10</f>
        <v>2012672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2597040</v>
      </c>
      <c r="D14" s="9">
        <f>'Trial Balance'!P14</f>
        <v>200000</v>
      </c>
      <c r="E14" s="9">
        <f>SUM(B14:D14)</f>
        <v>3577040</v>
      </c>
      <c r="F14" s="9"/>
      <c r="G14" s="9"/>
    </row>
    <row r="15" spans="1:7" x14ac:dyDescent="0.25">
      <c r="A15" t="s">
        <v>83</v>
      </c>
      <c r="B15" s="9"/>
      <c r="C15" s="9">
        <f>'IS-BS'!E27</f>
        <v>10158918.435000001</v>
      </c>
      <c r="D15" s="9"/>
      <c r="E15" s="9">
        <f>SUM(B15:D15)</f>
        <v>10158918.435000001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12460958.435000001</v>
      </c>
      <c r="D20" s="20">
        <f>SUM(D14:D19)</f>
        <v>270000</v>
      </c>
      <c r="E20" s="20">
        <f>SUM(E14:E19)</f>
        <v>13610958.435000001</v>
      </c>
      <c r="F20" s="9">
        <f>E20-'IS-BS'!C70</f>
        <v>-1591730.9999999981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26" zoomScaleNormal="100" workbookViewId="0">
      <selection activeCell="B32" sqref="B32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3.8" x14ac:dyDescent="0.25">
      <c r="A5" s="29" t="s">
        <v>94</v>
      </c>
      <c r="B5" s="30">
        <v>252345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2345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-260772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-18644</v>
      </c>
    </row>
    <row r="10" spans="1:12" ht="13.8" x14ac:dyDescent="0.25">
      <c r="A10" s="29" t="s">
        <v>179</v>
      </c>
      <c r="B10" s="32">
        <f>SUM(B6:B9)</f>
        <v>129202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123143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-37974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2345</v>
      </c>
      <c r="C21" s="42">
        <v>500000</v>
      </c>
      <c r="E21" s="44"/>
      <c r="F21" s="9"/>
      <c r="G21" s="58"/>
      <c r="H21" s="61" t="s">
        <v>134</v>
      </c>
      <c r="I21" s="64">
        <f>I9+I14+I20</f>
        <v>-83644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2345</v>
      </c>
      <c r="E23" s="44">
        <f>B23-C23</f>
        <v>-34345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33356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1905856</v>
      </c>
      <c r="C28" s="32">
        <f>SUM(C17:C27)</f>
        <v>1915945</v>
      </c>
      <c r="E28" s="44"/>
      <c r="F28" s="9"/>
      <c r="H28" s="9">
        <f>B17-I24</f>
        <v>149655</v>
      </c>
      <c r="I28">
        <f>H28/2</f>
        <v>74827.5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-71655</v>
      </c>
      <c r="I31" s="44">
        <f>G31-H31</f>
        <v>-93545</v>
      </c>
    </row>
    <row r="32" spans="1:12" ht="13.8" x14ac:dyDescent="0.25">
      <c r="A32" s="29" t="s">
        <v>114</v>
      </c>
      <c r="B32" s="42">
        <v>345</v>
      </c>
      <c r="C32" s="42">
        <v>100000</v>
      </c>
      <c r="E32" s="44">
        <f>B32-C32</f>
        <v>-99655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419770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1486086</v>
      </c>
      <c r="C35" s="32">
        <f>C28-C34</f>
        <v>1349285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481311</v>
      </c>
      <c r="C39" s="42">
        <f>C40-C37-C38</f>
        <v>549285</v>
      </c>
      <c r="E39" s="44">
        <f>B39-C39</f>
        <v>-67974</v>
      </c>
      <c r="F39" s="9"/>
    </row>
    <row r="40" spans="1:7" ht="13.8" x14ac:dyDescent="0.25">
      <c r="A40" s="34" t="s">
        <v>120</v>
      </c>
      <c r="B40" s="32">
        <f>SUM(B37:B39)</f>
        <v>1456311</v>
      </c>
      <c r="C40" s="32">
        <f>C35</f>
        <v>1349285</v>
      </c>
      <c r="E40" s="44"/>
    </row>
    <row r="42" spans="1:7" x14ac:dyDescent="0.25">
      <c r="B42" s="9">
        <f>B40-B35</f>
        <v>-29775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549285</v>
      </c>
    </row>
    <row r="59" spans="1:8" x14ac:dyDescent="0.25">
      <c r="B59" s="44">
        <f>SUM(B56:B58)</f>
        <v>1349285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-37974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1486311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549285</v>
      </c>
    </row>
    <row r="69" spans="1:2" x14ac:dyDescent="0.25">
      <c r="A69" s="40" t="s">
        <v>204</v>
      </c>
      <c r="B69" s="44">
        <f>B61</f>
        <v>-37974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481311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2019-06-10T01:26:47Z</dcterms:modified>
</cp:coreProperties>
</file>