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FAABFAB-4EC3-43FE-9D65-7361F9DDF246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6" l="1"/>
  <c r="D8" i="6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C40" i="3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10" i="4"/>
  <c r="I52" i="3"/>
  <c r="I69" i="3"/>
  <c r="I49" i="3"/>
  <c r="D47" i="5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<sst xmlns="http://schemas.openxmlformats.org/spreadsheetml/2006/main" count="395" uniqueCount="232">
  <si>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</si>
  <si>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</si>
  <si>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</si>
  <si>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</si>
  <si>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</si>
  <si>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</si>
  <si>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</si>
  <si>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</si>
  <si>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</si>
  <si>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</si>
  <si>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</si>
  <si>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</si>
  <si>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</si>
  <si>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</si>
  <si>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</si>
  <si>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</si>
  <si>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</si>
  <si>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</si>
  <si>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</si>
  <si>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</si>
  <si>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</si>
  <si>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</si>
  <si>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</si>
  <si>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</si>
  <si>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</si>
  <si>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</si>
  <si>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</si>
  <si>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</si>
  <si>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</si>
  <si>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</si>
  <si>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</si>
  <si>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</si>
  <si>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</si>
  <si>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</si>
  <si>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</si>
  <si>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</si>
  <si>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</si>
  <si>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</si>
  <si>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</si>
  <si>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</si>
  <si>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</si>
  <si>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</si>
  <si>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</si>
  <si>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</si>
  <si>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</si>
  <si>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</si>
  <si>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</si>
  <si>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</si>
  <si>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</si>
  <si>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</si>
  <si>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</si>
  <si>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</si>
  <si>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</si>
  <si>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</si>
  <si>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</si>
  <si>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</si>
  <si>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</si>
  <si>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</si>
  <si>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</si>
  <si>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</si>
  <si>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</si>
  <si>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</si>
  <si>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</si>
  <si>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</si>
  <si>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</si>
  <si>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</si>
  <si>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</si>
  <si>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</si>
  <si>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</si>
  <si>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</si>
  <si>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</si>
  <si>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</si>
  <si>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</si>
  <si>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</si>
  <si>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</si>
  <si>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</si>
  <si>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</si>
  <si>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</si>
  <si>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</si>
  <si>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</si>
  <si>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</si>
  <si>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</si>
  <si>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</si>
  <si>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</si>
  <si>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</si>
  <si>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</si>
  <si>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</si>
  <si>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</si>
  <si>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</si>
  <si>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</si>
  <si>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</si>
  <si>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</si>
  <si>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</si>
  <si>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</si>
  <si>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</si>
  <si>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</si>
  <si>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</si>
  <si>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</si>
  <si>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</si>
  <si>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</si>
  <si>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</si>
  <si>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</si>
  <si>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</si>
  <si>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</si>
  <si>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</si>
  <si>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</si>
  <si>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</si>
  <si>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</si>
  <si>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</si>
  <si>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</si>
  <si>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</si>
  <si>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</si>
  <si>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</si>
  <si>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</si>
  <si>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</si>
  <si>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</si>
  <si>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</si>
  <si>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</si>
  <si>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</si>
  <si>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</si>
  <si>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</si>
  <si>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</si>
  <si>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</si>
  <si>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</si>
  <si>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</si>
  <si>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</si>
  <si>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</si>
  <si>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</si>
  <si>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</si>
  <si>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</si>
  <si>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</si>
  <si>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</si>
  <si>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</si>
  <si>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</si>
  <si>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</si>
  <si>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</si>
  <si>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</si>
  <si>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</si>
  <si>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</si>
  <si>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</si>
  <si>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</si>
  <si>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</si>
  <si>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</si>
  <si>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</si>
  <si>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</si>
  <si>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</si>
  <si>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</si>
  <si>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</si>
  <si>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</si>
  <si>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</si>
  <si>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</si>
  <si>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</si>
  <si>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</si>
  <si>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</si>
  <si>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</si>
  <si>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</si>
  <si>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</si>
  <si>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</si>
  <si>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</si>
  <si>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</si>
  <si>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</si>
  <si>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</si>
  <si>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</si>
  <si>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</si>
  <si>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</si>
  <si>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</si>
  <si>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</si>
  <si>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</si>
  <si>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</si>
  <si>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</si>
  <si>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</si>
  <si>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</si>
  <si>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</si>
  <si>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</si>
  <si>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</si>
  <si>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</si>
  <si>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</si>
  <si>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</si>
  <si>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</si>
  <si>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</si>
  <si>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</si>
  <si>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</si>
  <si>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</si>
  <si>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</si>
  <si>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</si>
  <si>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</si>
  <si>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</si>
  <si>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</si>
  <si>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</si>
  <si>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</si>
  <si>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</si>
  <si>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</si>
  <si>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</si>
  <si>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</si>
  <si>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</si>
  <si>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</si>
  <si>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</si>
  <si>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</si>
  <si>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</si>
  <si>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</si>
  <si>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</si>
  <si>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</si>
  <si>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</si>
  <si>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</si>
  <si>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</si>
  <si>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</si>
  <si>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</si>
  <si>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</si>
  <si>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</si>
  <si>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</si>
  <si>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</si>
  <si>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</si>
  <si>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</si>
  <si>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</si>
  <si>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</si>
  <si>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</si>
  <si>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</si>
  <si>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</si>
  <si>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</si>
  <si>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</si>
  <si>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</si>
  <si>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</si>
  <si>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</si>
  <si>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</si>
  <si>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</si>
  <si>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Farrel</t>
  </si>
  <si>
    <t>Barrel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</si>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</sst>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CFD6-EF6D-4AFF-A510-2B4DE094681F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3400012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A1D29F18-EFB1-494C-A38C-CA448AC80079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D6" sqref="D6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4919976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123489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3235425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75230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12898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1239898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2551449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12348989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27030603</v>
      </c>
      <c r="C44" s="8"/>
      <c r="D44" s="21">
        <f>SUM(D4:D43)</f>
        <v>20552425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-6478178</v>
      </c>
      <c r="H46" s="20">
        <f>H44-F44</f>
        <v>0</v>
      </c>
    </row>
    <row r="48" spans="1:9" x14ac:dyDescent="0.25">
      <c r="H48" s="9">
        <f>'IS-BS'!I27</f>
        <v>357676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888875</v>
      </c>
      <c r="I51" s="40" t="s">
        <v>192</v>
      </c>
    </row>
    <row r="53" spans="8:9" x14ac:dyDescent="0.25">
      <c r="H53" s="9">
        <f>H51-D37</f>
        <v>-1662574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3009.2000000000003</v>
      </c>
      <c r="F12" s="9"/>
    </row>
    <row r="13" spans="1:7" x14ac:dyDescent="0.25">
      <c r="A13" s="19"/>
      <c r="D13" s="40" t="s">
        <v>148</v>
      </c>
      <c r="F13" s="9">
        <f>E12</f>
        <v>3009.2000000000003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73537.14</v>
      </c>
      <c r="F42" s="9"/>
    </row>
    <row r="43" spans="1:7" x14ac:dyDescent="0.25">
      <c r="A43" s="19"/>
      <c r="D43" t="s">
        <v>160</v>
      </c>
      <c r="E43" s="9"/>
      <c r="F43" s="9">
        <f>E42</f>
        <v>73537.14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383820.09</v>
      </c>
      <c r="F70" s="9">
        <f>SUM(F3:F69)</f>
        <v>383820.09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75230</v>
      </c>
      <c r="D78" s="10"/>
      <c r="E78" s="10"/>
      <c r="F78" s="10" t="s">
        <v>46</v>
      </c>
      <c r="G78" s="22">
        <v>0.04</v>
      </c>
      <c r="H78" s="21">
        <f>C78*G78</f>
        <v>3009.2000000000003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31802.95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4919976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4902476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73537.14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91037.14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3009.1999999999971</v>
      </c>
      <c r="D122" s="10"/>
      <c r="E122" s="10">
        <f>C122*E120</f>
        <v>2407.3599999999979</v>
      </c>
      <c r="F122" s="10">
        <f>C122*F120</f>
        <v>601.83999999999946</v>
      </c>
      <c r="G122" s="10"/>
      <c r="H122" s="10">
        <f>'Trial Balance'!B18*0.04</f>
        <v>3009.2000000000003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4919976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4902476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123489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123489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3009.2000000000003</v>
      </c>
      <c r="I9" s="10"/>
      <c r="J9" s="10"/>
      <c r="K9" s="10"/>
      <c r="L9" s="10">
        <f t="shared" si="1"/>
        <v>96609.2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23000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91037.14</v>
      </c>
      <c r="G16" s="10"/>
      <c r="H16" s="10"/>
      <c r="I16" s="10"/>
      <c r="J16" s="10">
        <f t="shared" si="0"/>
        <v>91037.14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3235425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3235425</v>
      </c>
      <c r="K17" s="10"/>
      <c r="L17" s="10">
        <f t="shared" si="1"/>
        <v>0</v>
      </c>
      <c r="M17" s="8"/>
      <c r="N17" s="41">
        <f>IF('Base Data'!F14="",0,'Base Data'!F14)</f>
        <v>131395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75230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75230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33482.949999999997</v>
      </c>
      <c r="G20" s="10"/>
      <c r="H20" s="10"/>
      <c r="I20" s="10"/>
      <c r="J20" s="10">
        <f t="shared" si="0"/>
        <v>33482.949999999997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12898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12898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1239898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1309898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40000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76000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73537.14</v>
      </c>
      <c r="I38" s="10"/>
      <c r="J38" s="10"/>
      <c r="K38" s="10"/>
      <c r="L38" s="10">
        <f t="shared" si="1"/>
        <v>73537.14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2551449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2551449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12348989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12336489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27030603</v>
      </c>
      <c r="C48" s="8"/>
      <c r="D48" s="21">
        <f>SUM(D6:D47)</f>
        <v>20552425</v>
      </c>
      <c r="E48" s="10"/>
      <c r="F48" s="21">
        <f>SUM(F6:F47)</f>
        <v>527820.09</v>
      </c>
      <c r="G48" s="8"/>
      <c r="H48" s="21">
        <f>SUM(H6:H47)</f>
        <v>527820.09000000008</v>
      </c>
      <c r="I48" s="10"/>
      <c r="J48" s="21">
        <f>SUM(J6:J47)</f>
        <v>27207623.09</v>
      </c>
      <c r="K48" s="10"/>
      <c r="L48" s="21">
        <f>SUM(L6:L47)</f>
        <v>20729445.09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6478178</v>
      </c>
      <c r="H50" s="20">
        <f>F48-H48</f>
        <v>0</v>
      </c>
      <c r="L50" s="20">
        <f>J48-L48</f>
        <v>6478178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B53" sqref="B48:B53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91037.14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91037.14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33482.949999999997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3761.8399999999992</v>
      </c>
      <c r="M8" s="9">
        <f>Journals!E128+Journals!E125+Journals!E122</f>
        <v>28041.109999999997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12898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2579.6000000000004</v>
      </c>
      <c r="M9" s="9">
        <f>C9-L9</f>
        <v>10318.4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76000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23000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3303681.09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4613431.09</v>
      </c>
      <c r="D21" s="9"/>
      <c r="E21" s="9">
        <f>SUM(E2:E19)</f>
        <v>14717989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2827229.44</v>
      </c>
      <c r="M21" s="9">
        <f>SUM(M2:M18)</f>
        <v>167959.50999999998</v>
      </c>
      <c r="N21" s="9">
        <f>SUM(N2:N18)</f>
        <v>162812.14000000001</v>
      </c>
      <c r="O21" s="9">
        <f>SUM(O2:O18)</f>
        <v>1309750</v>
      </c>
      <c r="P21" s="9">
        <f>SUM(P2:P18)</f>
        <v>0</v>
      </c>
      <c r="Q21" s="9">
        <f t="shared" si="1"/>
        <v>145680</v>
      </c>
    </row>
    <row r="22" spans="1:17" x14ac:dyDescent="0.25">
      <c r="B22" s="18" t="s">
        <v>69</v>
      </c>
      <c r="E22" s="20">
        <f>E21-C21</f>
        <v>10104557.91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3158001.09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10104557.91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3235425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4902476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75230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96609.2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1309898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12336489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123489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73537.14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12656006.91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22557067</v>
      </c>
      <c r="D53" s="9"/>
      <c r="E53" s="9">
        <f>SUM(E30:E52)</f>
        <v>16116014</v>
      </c>
      <c r="F53" s="9">
        <f>E53-C53</f>
        <v>-6441053</v>
      </c>
      <c r="G53" s="9">
        <f>SUM(G30:G52)</f>
        <v>3371395</v>
      </c>
      <c r="H53" s="9"/>
      <c r="I53" s="9">
        <f>SUM(I30:I52)</f>
        <v>3371395</v>
      </c>
      <c r="J53" s="9"/>
      <c r="U53" s="9">
        <f>I53-G53</f>
        <v>0</v>
      </c>
    </row>
    <row r="55" spans="1:21" x14ac:dyDescent="0.25">
      <c r="C55" s="9">
        <f>C53+C21</f>
        <v>27170498.09</v>
      </c>
      <c r="D55" s="9"/>
      <c r="E55" s="9">
        <f>E53+E21</f>
        <v>30834003</v>
      </c>
      <c r="F55" s="9"/>
      <c r="G55" s="9">
        <f>G53+G21</f>
        <v>5761845</v>
      </c>
      <c r="H55" s="9"/>
      <c r="I55" s="9">
        <f>I53+I21</f>
        <v>6175395</v>
      </c>
      <c r="J55" s="9"/>
    </row>
    <row r="56" spans="1:21" x14ac:dyDescent="0.25">
      <c r="C56" s="9">
        <f>'Trial Balance'!J48</f>
        <v>27207623.09</v>
      </c>
      <c r="D56" s="9"/>
      <c r="E56" s="9">
        <f>'Trial Balance'!L48</f>
        <v>20729445.09</v>
      </c>
      <c r="F56" s="9"/>
      <c r="G56" s="9">
        <f>'Trial Balance'!N48</f>
        <v>5817719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</v>
      </c>
      <c r="D59" s="9"/>
      <c r="E59" s="9">
        <f>E55-C55</f>
        <v>3663504.91</v>
      </c>
      <c r="F59" s="9"/>
      <c r="G59" s="9">
        <f>G56-G55</f>
        <v>55874</v>
      </c>
      <c r="H59" s="9"/>
      <c r="I59" s="9">
        <f>I55-G55</f>
        <v>413550</v>
      </c>
      <c r="J59" s="9"/>
    </row>
    <row r="60" spans="1:21" x14ac:dyDescent="0.25">
      <c r="C60" s="9"/>
      <c r="D60" s="9"/>
      <c r="E60" s="20">
        <f>E59-C59</f>
        <v>3626379.91</v>
      </c>
      <c r="F60" s="9"/>
      <c r="G60" s="9"/>
      <c r="H60" s="9"/>
      <c r="I60" s="20">
        <f>I59-G59</f>
        <v>357676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888875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3626379.91</v>
      </c>
      <c r="D66" s="9"/>
      <c r="E66" s="20"/>
      <c r="F66" s="20"/>
      <c r="G66" s="20"/>
      <c r="H66" s="20"/>
      <c r="I66" s="46">
        <f>I60</f>
        <v>357676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4220254.91</v>
      </c>
      <c r="D68" s="9"/>
      <c r="E68" s="9"/>
      <c r="F68" s="9"/>
      <c r="G68" s="9"/>
      <c r="H68" s="9"/>
      <c r="I68" s="20">
        <f>I65+I66+I67</f>
        <v>888875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6405152.9100000001</v>
      </c>
      <c r="D70" s="9"/>
      <c r="E70" s="9"/>
      <c r="F70" s="9"/>
      <c r="G70" s="9"/>
      <c r="H70" s="9"/>
      <c r="I70" s="20">
        <f>I64+I68+I69</f>
        <v>1868875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10104557.91</v>
      </c>
      <c r="D15" s="9"/>
      <c r="E15" s="9">
        <f>SUM(B15:D15)</f>
        <v>10104557.91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10698432.91</v>
      </c>
      <c r="D20" s="20">
        <f>SUM(D14:D19)</f>
        <v>270000</v>
      </c>
      <c r="E20" s="20">
        <f>SUM(E14:E19)</f>
        <v>11848432.91</v>
      </c>
      <c r="F20" s="9">
        <f>E20-'IS-BS'!C70</f>
        <v>5443280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C6" sqref="C6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594263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-2400</v>
      </c>
      <c r="C19" s="42">
        <v>-1400</v>
      </c>
      <c r="E19" s="44">
        <f>B19-C19</f>
        <v>-1000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66011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183011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44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934086</v>
      </c>
      <c r="C39" s="42">
        <f>C40-C37-C38</f>
        <v>530940</v>
      </c>
      <c r="E39" s="44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44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530940</v>
      </c>
    </row>
    <row r="59" spans="1:8" x14ac:dyDescent="0.25">
      <c r="B59" s="44">
        <f>SUM(B56:B58)</f>
        <v>1330940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433146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1939086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530940</v>
      </c>
    </row>
    <row r="69" spans="1:2" x14ac:dyDescent="0.25">
      <c r="A69" s="40" t="s">
        <v>204</v>
      </c>
      <c r="B69" s="44">
        <f>B61</f>
        <v>433146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2019-06-10T01:27:53Z</dcterms:modified>
</cp:coreProperties>
</file>