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64A20981-82FE-45CE-BBEB-3A96C4BFAFF5}" xr6:coauthVersionLast="43" xr6:coauthVersionMax="43" xr10:uidLastSave="{00000000-0000-0000-0000-000000000000}"/>
  <bookViews>
    <workbookView xWindow="732" yWindow="732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6" l="1"/>
  <c r="E27" i="2"/>
  <c r="E34" i="2"/>
  <c r="B43" i="6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20" i="4"/>
  <c r="D10" i="4"/>
  <c r="I52" i="3"/>
  <c r="I69" i="3"/>
  <c r="I49" i="3"/>
  <c r="D47" i="5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<sst xmlns="http://schemas.openxmlformats.org/spreadsheetml/2006/main" count="395" uniqueCount="232">
  <si>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</si>
  <si>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</si>
  <si>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</si>
  <si>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</si>
  <si>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</si>
  <si>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</si>
  <si>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</si>
  <si>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</si>
  <si>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</si>
  <si>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</si>
  <si>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</si>
  <si>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</si>
  <si>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</si>
  <si>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</si>
  <si>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</si>
  <si>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</si>
  <si>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</si>
  <si>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</si>
  <si>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</si>
  <si>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</si>
  <si>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</si>
  <si>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</si>
  <si>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</si>
  <si>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</si>
  <si>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</si>
  <si>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</si>
  <si>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</si>
  <si>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</si>
  <si>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</si>
  <si>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</si>
  <si>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</si>
  <si>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</si>
  <si>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</si>
  <si>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</si>
  <si>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</si>
  <si>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</si>
  <si>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</si>
  <si>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</si>
  <si>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</si>
  <si>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</si>
  <si>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</si>
  <si>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</si>
  <si>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</si>
  <si>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</si>
  <si>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</si>
  <si>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</si>
  <si>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</si>
  <si>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</si>
  <si>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</si>
  <si>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</si>
  <si>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</si>
  <si>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</si>
  <si>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</si>
  <si>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</si>
  <si>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</si>
  <si>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</si>
  <si>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</si>
  <si>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</si>
  <si>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</si>
  <si>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</si>
  <si>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</si>
  <si>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</si>
  <si>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</si>
  <si>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</si>
  <si>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</si>
  <si>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</si>
  <si>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</si>
  <si>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</si>
  <si>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</si>
  <si>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</si>
  <si>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</si>
  <si>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</si>
  <si>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</si>
  <si>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</si>
  <si>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</si>
  <si>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</si>
  <si>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</si>
  <si>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</si>
  <si>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</si>
  <si>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</si>
  <si>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</si>
  <si>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</si>
  <si>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</si>
  <si>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</si>
  <si>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</si>
  <si>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</si>
  <si>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</si>
  <si>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</si>
  <si>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</si>
  <si>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</si>
  <si>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</si>
  <si>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</si>
  <si>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</si>
  <si>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</si>
  <si>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</si>
  <si>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</si>
  <si>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</si>
  <si>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</si>
  <si>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</si>
  <si>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</si>
  <si>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</si>
  <si>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</si>
  <si>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</si>
  <si>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</si>
  <si>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</si>
  <si>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</si>
  <si>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</si>
  <si>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</si>
  <si>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</si>
  <si>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</si>
  <si>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</si>
  <si>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</si>
  <si>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</si>
  <si>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</si>
  <si>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</si>
  <si>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</si>
  <si>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</si>
  <si>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</si>
  <si>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</si>
  <si>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</si>
  <si>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</si>
  <si>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</si>
  <si>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</si>
  <si>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</si>
  <si>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</si>
  <si>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</si>
  <si>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</si>
  <si>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</si>
  <si>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</si>
  <si>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</si>
  <si>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</si>
  <si>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</si>
  <si>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</si>
  <si>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</si>
  <si>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</si>
  <si>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</si>
  <si>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</si>
  <si>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</si>
  <si>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</si>
  <si>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</si>
  <si>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</si>
  <si>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</si>
  <si>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</si>
  <si>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</si>
  <si>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</si>
  <si>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</si>
  <si>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</si>
  <si>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</si>
  <si>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</si>
  <si>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</si>
  <si>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</si>
  <si>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</si>
  <si>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</si>
  <si>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</si>
  <si>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</si>
  <si>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</si>
  <si>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</si>
  <si>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</si>
  <si>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</si>
  <si>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</si>
  <si>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</si>
  <si>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</si>
  <si>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</si>
  <si>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</si>
  <si>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</si>
  <si>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</si>
  <si>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</si>
  <si>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</si>
  <si>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</si>
  <si>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</si>
  <si>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</si>
  <si>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</si>
  <si>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</si>
  <si>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</si>
  <si>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</si>
  <si>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</si>
  <si>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</si>
  <si>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</si>
  <si>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</si>
  <si>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</si>
  <si>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</si>
  <si>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</si>
  <si>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</si>
  <si>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</si>
  <si>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</si>
  <si>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</si>
  <si>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</si>
  <si>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</si>
  <si>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</si>
  <si>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</si>
  <si>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</si>
  <si>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</si>
  <si>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</si>
  <si>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</si>
  <si>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</si>
  <si>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</si>
  <si>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</si>
  <si>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</si>
  <si>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</si>
  <si>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</si>
  <si>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</si>
  <si>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</si>
  <si>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</si>
  <si>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</si>
  <si>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</si>
  <si>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</si>
  <si>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</si>
  <si>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</si>
  <si>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</si>
  <si>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</si>
  <si>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</si>
  <si>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</si>
  <si>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</si>
  <si>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</si>
  <si>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</si>
  <si>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</si>
  <si>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</si>
  <si>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</si>
  <si>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</si>
  <si>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</si>
  <si>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</si>
  <si>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</si>
  <si>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</si>
  <si>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</si>
  <si>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</si>
  <si>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Thomas</t>
  </si>
  <si>
    <t>Szyzenski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</si>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</sst>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AF42-BA19-4162-9991-442B904508D3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227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228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229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230</v>
      </c>
      <c r="F8" s="82"/>
      <c r="G8" s="81"/>
      <c r="J8" s="78" t="s">
        <v>231</v>
      </c>
      <c r="L8" s="82"/>
      <c r="M8" s="81"/>
    </row>
    <row r="10" spans="1:13" ht="30" customHeight="1" thickBot="1" x14ac:dyDescent="0.3">
      <c r="C10" s="68" t="s">
        <v>218</v>
      </c>
      <c r="D10" s="68"/>
      <c r="F10" s="68" t="s">
        <v>219</v>
      </c>
      <c r="G10" s="68"/>
      <c r="I10" s="68" t="s">
        <v>220</v>
      </c>
      <c r="J10" s="68"/>
      <c r="L10" s="64" t="s">
        <v>221</v>
      </c>
      <c r="M10" s="64"/>
    </row>
    <row r="11" spans="1:13" ht="30" customHeight="1" thickBot="1" x14ac:dyDescent="0.3">
      <c r="C11" s="66" t="s">
        <v>225</v>
      </c>
      <c r="D11" s="67"/>
      <c r="F11" s="66" t="s">
        <v>226</v>
      </c>
      <c r="G11" s="67"/>
      <c r="I11" s="69">
        <v>9567349</v>
      </c>
      <c r="J11" s="70"/>
      <c r="L11" s="66" t="s">
        <v>224</v>
      </c>
      <c r="M11" s="67"/>
    </row>
    <row r="12" spans="1:13" x14ac:dyDescent="0.25">
      <c r="A12" s="65" t="s">
        <v>222</v>
      </c>
    </row>
    <row r="13" spans="1:13" x14ac:dyDescent="0.25">
      <c r="A13" s="65" t="s">
        <v>223</v>
      </c>
    </row>
    <row r="14" spans="1:13" x14ac:dyDescent="0.25">
      <c r="A14" s="65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EFF99600-4CC9-45EB-A987-247320B0E80F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10" workbookViewId="0">
      <selection activeCell="K29" sqref="K29"/>
    </sheetView>
  </sheetViews>
  <sheetFormatPr defaultRowHeight="13.2" x14ac:dyDescent="0.25"/>
  <cols>
    <col min="1" max="1" width="42.5546875" customWidth="1"/>
    <col min="2" max="2" width="10.109375" bestFit="1" customWidth="1"/>
    <col min="3" max="3" width="2.66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233</v>
      </c>
      <c r="E7" s="10"/>
      <c r="F7" s="8"/>
      <c r="G7" s="8"/>
      <c r="H7" s="10">
        <v>233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257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178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320000.00099999999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53324+18451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456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2307174.9989999998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119000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79000</v>
      </c>
      <c r="G41" s="8"/>
      <c r="H41" s="8"/>
    </row>
    <row r="42" spans="1:9" ht="13.8" x14ac:dyDescent="0.25">
      <c r="A42" s="7" t="s">
        <v>39</v>
      </c>
      <c r="B42" s="10">
        <v>432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f>C11</f>
        <v>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5126288.0089999996</v>
      </c>
      <c r="C44" s="8"/>
      <c r="D44" s="21">
        <f>SUM(D4:D43)</f>
        <v>6749407.9989999998</v>
      </c>
      <c r="E44" s="10"/>
      <c r="F44" s="21">
        <f>SUM(F4:F43)</f>
        <v>4641585.0010000002</v>
      </c>
      <c r="G44" s="8"/>
      <c r="H44" s="21">
        <f>SUM(H4:H43)</f>
        <v>4535176</v>
      </c>
    </row>
    <row r="46" spans="1:9" x14ac:dyDescent="0.25">
      <c r="D46" s="20">
        <f>D44-B44</f>
        <v>1623119.9900000002</v>
      </c>
      <c r="H46" s="20">
        <f>H44-F44</f>
        <v>-106409.00100000016</v>
      </c>
    </row>
    <row r="48" spans="1:9" x14ac:dyDescent="0.25">
      <c r="H48" s="9">
        <f>'IS-BS'!I27</f>
        <v>752988</v>
      </c>
      <c r="I48" s="46" t="s">
        <v>191</v>
      </c>
    </row>
    <row r="49" spans="8:9" x14ac:dyDescent="0.25">
      <c r="H49" s="9">
        <f>'IS-BS'!G51</f>
        <v>320000.00099999999</v>
      </c>
      <c r="I49" s="46" t="s">
        <v>190</v>
      </c>
    </row>
    <row r="51" spans="8:9" x14ac:dyDescent="0.25">
      <c r="H51" s="9">
        <f>H37+H48-H49</f>
        <v>1284186.9990000001</v>
      </c>
      <c r="I51" s="46" t="s">
        <v>192</v>
      </c>
    </row>
    <row r="53" spans="8:9" x14ac:dyDescent="0.25">
      <c r="H53" s="9">
        <f>H51-D37</f>
        <v>-1022987.9999999998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7">
        <f>IF('Base Data'!F4="",0,'Base Data'!F4)</f>
        <v>0</v>
      </c>
      <c r="O6" s="47"/>
      <c r="P6" s="47">
        <f>IF('Base Data'!H4="",0,'Base Data'!H4)</f>
        <v>45500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7">
        <f>IF('Base Data'!F6="",0,'Base Data'!F6)</f>
        <v>0</v>
      </c>
      <c r="O8" s="47"/>
      <c r="P8" s="47">
        <f>IF('Base Data'!H6="",0,'Base Data'!H6)</f>
        <v>15000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233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29233</v>
      </c>
      <c r="M9" s="8"/>
      <c r="N9" s="47">
        <f>IF('Base Data'!F7="",0,'Base Data'!F7)</f>
        <v>0</v>
      </c>
      <c r="O9" s="47"/>
      <c r="P9" s="47">
        <f>IF('Base Data'!H7="",0,'Base Data'!H7)</f>
        <v>233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20000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257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257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55000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>
        <f>IF('Base Data'!F15="",0,'Base Data'!F15)</f>
        <v>178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320000.00099999999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210000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59920</v>
      </c>
    </row>
    <row r="29" spans="1:16" ht="13.8" x14ac:dyDescent="0.25">
      <c r="A29" s="7" t="s">
        <v>25</v>
      </c>
      <c r="B29" s="47">
        <f>IF('Base Data'!B26="",0,'Base Data'!B26)</f>
        <v>71775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350000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343250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850000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456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71000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2307174.9989999998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2307174.9989999998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2794000</v>
      </c>
    </row>
    <row r="44" spans="1:16" ht="13.8" x14ac:dyDescent="0.25">
      <c r="A44" s="7" t="s">
        <v>37</v>
      </c>
      <c r="B44" s="47">
        <f>IF('Base Data'!B40="",0,'Base Data'!B40)</f>
        <v>119000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119000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79000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432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432</v>
      </c>
      <c r="K46" s="10"/>
      <c r="L46" s="10">
        <f t="shared" si="1"/>
        <v>0</v>
      </c>
      <c r="M46" s="8"/>
      <c r="N46" s="47">
        <f>IF('Base Data'!F42="",0,'Base Data'!F42)</f>
        <v>11000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5126288.0089999996</v>
      </c>
      <c r="C48" s="8"/>
      <c r="D48" s="21">
        <f>SUM(D6:D47)</f>
        <v>6749407.9989999998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5255654.118999999</v>
      </c>
      <c r="K48" s="10"/>
      <c r="L48" s="21">
        <f>SUM(L6:L47)</f>
        <v>6878629.3589999992</v>
      </c>
      <c r="M48" s="8"/>
      <c r="N48" s="21">
        <f>SUM(N6:N47)</f>
        <v>4641585.0010000002</v>
      </c>
      <c r="O48" s="8"/>
      <c r="P48" s="21">
        <f>SUM(P6:P47)</f>
        <v>4535176</v>
      </c>
    </row>
    <row r="50" spans="2:16" x14ac:dyDescent="0.25">
      <c r="D50" s="20">
        <f>B48-D48</f>
        <v>-1623119.9900000002</v>
      </c>
      <c r="H50" s="20">
        <f>F48-H48</f>
        <v>144.75</v>
      </c>
      <c r="L50" s="20">
        <f>J48-L48</f>
        <v>-1622975.2400000002</v>
      </c>
      <c r="P50" s="20">
        <f>N48-P48</f>
        <v>106409.00100000016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456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432</v>
      </c>
      <c r="D15" s="9"/>
      <c r="E15" s="9">
        <f>'Trial Balance'!L46</f>
        <v>0</v>
      </c>
      <c r="F15" s="9"/>
      <c r="G15" s="9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432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257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257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836680.11899999995</v>
      </c>
      <c r="D20" s="9"/>
      <c r="E20" s="9"/>
      <c r="F20" s="9"/>
      <c r="G20" s="9">
        <f>SUM(G5:G18)</f>
        <v>360138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2146430.1189999999</v>
      </c>
      <c r="D21" s="9"/>
      <c r="E21" s="9">
        <f>SUM(E2:E19)</f>
        <v>2384000</v>
      </c>
      <c r="F21" s="9"/>
      <c r="G21" s="9">
        <f>SUM(G2:G19)</f>
        <v>1995138</v>
      </c>
      <c r="H21" s="9"/>
      <c r="I21" s="9">
        <f>SUM(I2:I19)</f>
        <v>2804000</v>
      </c>
      <c r="J21" s="9"/>
      <c r="K21" s="9"/>
      <c r="L21" s="9">
        <f>SUM(L2:L18)</f>
        <v>376149.00900000002</v>
      </c>
      <c r="M21" s="9">
        <f>SUM(M2:M18)</f>
        <v>224839</v>
      </c>
      <c r="N21" s="9">
        <f>SUM(N2:N18)</f>
        <v>89017.36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237569.88100000005</v>
      </c>
      <c r="F22" s="9"/>
      <c r="I22" s="20">
        <f>I21-G21</f>
        <v>808862</v>
      </c>
      <c r="J22" s="9"/>
      <c r="K22" s="9"/>
      <c r="L22" s="9"/>
      <c r="M22" s="9"/>
      <c r="N22" s="9">
        <f>SUM(L21:N21)</f>
        <v>690005.36900000006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237569.88100000005</v>
      </c>
      <c r="F27" s="9"/>
      <c r="G27" s="9"/>
      <c r="H27" s="9"/>
      <c r="I27" s="20">
        <f>I22-I26</f>
        <v>752988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343250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>
        <f>'Trial Balance'!N18</f>
        <v>178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29233</v>
      </c>
      <c r="F39" s="9"/>
      <c r="G39" s="9">
        <f>'Trial Balance'!N9</f>
        <v>0</v>
      </c>
      <c r="H39" s="9"/>
      <c r="I39" s="9">
        <f>'Trial Balance'!P9</f>
        <v>233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119000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27000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2544744.88</v>
      </c>
      <c r="F50" s="9"/>
      <c r="G50" s="9">
        <f>'Trial Balance'!N40</f>
        <v>0</v>
      </c>
      <c r="H50" s="9"/>
      <c r="I50" s="9">
        <f>'Trial Balance'!P40+I27</f>
        <v>1604187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320000.00099999999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270000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3072099</v>
      </c>
      <c r="D53" s="9"/>
      <c r="E53" s="9">
        <f>SUM(E30:E52)</f>
        <v>4732199.24</v>
      </c>
      <c r="F53" s="9">
        <f>E53-C53</f>
        <v>1660100.2400000002</v>
      </c>
      <c r="G53" s="9">
        <f>SUM(G30:G52)</f>
        <v>2590573.0010000002</v>
      </c>
      <c r="H53" s="9"/>
      <c r="I53" s="9">
        <f>SUM(I30:I52)</f>
        <v>2484164</v>
      </c>
      <c r="J53" s="9"/>
      <c r="U53" s="9">
        <f>I53-G53</f>
        <v>-106409.00100000016</v>
      </c>
    </row>
    <row r="55" spans="1:21" x14ac:dyDescent="0.25">
      <c r="C55" s="9">
        <f>C53+C21</f>
        <v>5218529.1189999999</v>
      </c>
      <c r="D55" s="9"/>
      <c r="E55" s="9">
        <f>E53+E21</f>
        <v>7116199.2400000002</v>
      </c>
      <c r="F55" s="9"/>
      <c r="G55" s="9">
        <f>G53+G21</f>
        <v>4585711.0010000002</v>
      </c>
      <c r="H55" s="9"/>
      <c r="I55" s="9">
        <f>I53+I21</f>
        <v>5288164</v>
      </c>
      <c r="J55" s="9"/>
    </row>
    <row r="56" spans="1:21" x14ac:dyDescent="0.25">
      <c r="C56" s="9">
        <f>'Trial Balance'!J48</f>
        <v>5255654.118999999</v>
      </c>
      <c r="D56" s="9"/>
      <c r="E56" s="9">
        <f>'Trial Balance'!L48</f>
        <v>6878629.3589999992</v>
      </c>
      <c r="F56" s="9"/>
      <c r="G56" s="9">
        <f>'Trial Balance'!N48</f>
        <v>4641585.0010000002</v>
      </c>
      <c r="H56" s="9"/>
      <c r="I56" s="9">
        <f>'Trial Balance'!P48</f>
        <v>4535176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37124.999999999069</v>
      </c>
      <c r="D59" s="9"/>
      <c r="E59" s="9">
        <f>E55-C55</f>
        <v>1897670.1210000003</v>
      </c>
      <c r="F59" s="9"/>
      <c r="G59" s="9">
        <f>G56-G55</f>
        <v>55874</v>
      </c>
      <c r="H59" s="9"/>
      <c r="I59" s="9">
        <f>I55-G55</f>
        <v>702452.99899999984</v>
      </c>
      <c r="J59" s="9"/>
    </row>
    <row r="60" spans="1:21" x14ac:dyDescent="0.25">
      <c r="C60" s="9"/>
      <c r="D60" s="9"/>
      <c r="E60" s="20">
        <f>E59-C59</f>
        <v>1860545.1210000012</v>
      </c>
      <c r="F60" s="9"/>
      <c r="G60" s="9"/>
      <c r="H60" s="9"/>
      <c r="I60" s="20">
        <f>I59-G59</f>
        <v>646578.99899999984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1177777.9979999999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1860545.1210000012</v>
      </c>
      <c r="D66" s="9"/>
      <c r="E66" s="20"/>
      <c r="F66" s="20"/>
      <c r="G66" s="20"/>
      <c r="H66" s="20"/>
      <c r="I66" s="54">
        <f>I60</f>
        <v>646578.99899999984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-320000.00099999999</v>
      </c>
      <c r="J67" s="9"/>
    </row>
    <row r="68" spans="2:10" x14ac:dyDescent="0.25">
      <c r="B68" s="46" t="s">
        <v>197</v>
      </c>
      <c r="C68" s="20">
        <f>C65+C66+C67</f>
        <v>2743323.1190000009</v>
      </c>
      <c r="D68" s="9"/>
      <c r="E68" s="9"/>
      <c r="F68" s="9"/>
      <c r="G68" s="9"/>
      <c r="H68" s="9"/>
      <c r="I68" s="20">
        <f>I65+I66+I67</f>
        <v>1177777.9979999999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270000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3893323.1190000009</v>
      </c>
      <c r="D70" s="9"/>
      <c r="E70" s="9"/>
      <c r="F70" s="9"/>
      <c r="G70" s="9"/>
      <c r="H70" s="9"/>
      <c r="I70" s="20">
        <f>I64+I68+I69</f>
        <v>1378101.9979999999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851199</v>
      </c>
      <c r="D4" s="9">
        <v>200000</v>
      </c>
      <c r="E4" s="9">
        <f>SUM(B4:D4)</f>
        <v>1051523</v>
      </c>
    </row>
    <row r="5" spans="1:7" x14ac:dyDescent="0.25">
      <c r="A5" t="s">
        <v>83</v>
      </c>
      <c r="B5" s="9"/>
      <c r="C5" s="9">
        <f>'IS-BS'!I27</f>
        <v>752988</v>
      </c>
      <c r="D5" s="9"/>
      <c r="E5" s="9">
        <f>SUM(B5:D5)</f>
        <v>752988</v>
      </c>
    </row>
    <row r="6" spans="1:7" x14ac:dyDescent="0.25">
      <c r="A6" t="s">
        <v>84</v>
      </c>
      <c r="B6" s="9"/>
      <c r="C6" s="9">
        <f>-'Trial Balance'!N22</f>
        <v>-320000.00099999999</v>
      </c>
      <c r="D6" s="9"/>
      <c r="E6" s="9">
        <f>SUM(B6:D6)</f>
        <v>-320000.00099999999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1284186.9990000001</v>
      </c>
      <c r="D10" s="20">
        <f>'Trial Balance'!P14</f>
        <v>200000</v>
      </c>
      <c r="E10" s="20">
        <f>SUM(E4:E9)</f>
        <v>1484510.9990000001</v>
      </c>
      <c r="F10" s="9">
        <f>'IS-BS'!I70-E10</f>
        <v>-106409.00100000016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1284186.9990000001</v>
      </c>
      <c r="D14" s="9">
        <f>'Trial Balance'!P14</f>
        <v>200000</v>
      </c>
      <c r="E14" s="9">
        <f>SUM(B14:D14)</f>
        <v>1484510.9990000001</v>
      </c>
      <c r="F14" s="9"/>
      <c r="G14" s="9"/>
    </row>
    <row r="15" spans="1:7" x14ac:dyDescent="0.25">
      <c r="A15" t="s">
        <v>83</v>
      </c>
      <c r="B15" s="9"/>
      <c r="C15" s="9">
        <f>'IS-BS'!E27</f>
        <v>237569.88100000005</v>
      </c>
      <c r="D15" s="9"/>
      <c r="E15" s="9">
        <f>SUM(B15:D15)</f>
        <v>237569.88100000005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1226756.8800000001</v>
      </c>
      <c r="D20" s="20">
        <f>SUM(D14:D19)</f>
        <v>270000</v>
      </c>
      <c r="E20" s="20">
        <f>SUM(E14:E19)</f>
        <v>1597080.8800000001</v>
      </c>
      <c r="F20" s="9">
        <f>E20-'IS-BS'!C70</f>
        <v>-2296242.239000001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2019-06-10T01:34:00Z</dcterms:modified>
</cp:coreProperties>
</file>