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EC494E9C-2C50-4163-8F9B-27DA1054EF2E}" xr6:coauthVersionLast="43" xr6:coauthVersionMax="43" xr10:uidLastSave="{00000000-0000-0000-0000-000000000000}"/>
  <bookViews>
    <workbookView xWindow="384" yWindow="3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2" l="1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<sst xmlns="http://schemas.openxmlformats.org/spreadsheetml/2006/main" count="397" uniqueCount="234">
  <si>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</si>
  <si>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</si>
  <si>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</si>
  <si>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</si>
  <si>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</si>
  <si>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</si>
  <si>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</si>
  <si>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</si>
  <si>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</si>
  <si>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</si>
  <si>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</si>
  <si>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</si>
  <si>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</si>
  <si>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</si>
  <si>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</si>
  <si>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</si>
  <si>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</si>
  <si>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</si>
  <si>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</si>
  <si>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</si>
  <si>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</si>
  <si>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</si>
  <si>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</si>
  <si>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</si>
  <si>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</si>
  <si>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</si>
  <si>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</si>
  <si>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</si>
  <si>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</si>
  <si>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</si>
  <si>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</si>
  <si>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</si>
  <si>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</si>
  <si>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</si>
  <si>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</si>
  <si>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</si>
  <si>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</si>
  <si>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</si>
  <si>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</si>
  <si>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</si>
  <si>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</si>
  <si>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</si>
  <si>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</si>
  <si>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</si>
  <si>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</si>
  <si>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</si>
  <si>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</si>
  <si>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</si>
  <si>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</si>
  <si>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</si>
  <si>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</si>
  <si>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</si>
  <si>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</si>
  <si>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</si>
  <si>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</si>
  <si>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</si>
  <si>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</si>
  <si>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</si>
  <si>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</si>
  <si>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</si>
  <si>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</si>
  <si>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</si>
  <si>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</si>
  <si>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</si>
  <si>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</si>
  <si>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</si>
  <si>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</si>
  <si>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</si>
  <si>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</si>
  <si>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</si>
  <si>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</si>
  <si>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</si>
  <si>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</si>
  <si>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</si>
  <si>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</si>
  <si>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</si>
  <si>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</si>
  <si>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</si>
  <si>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</si>
  <si>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</si>
  <si>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</si>
  <si>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</si>
  <si>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</si>
  <si>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</si>
  <si>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</si>
  <si>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</si>
  <si>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</si>
  <si>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</si>
  <si>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</si>
  <si>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</si>
  <si>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</si>
  <si>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</si>
  <si>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</si>
  <si>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</si>
  <si>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</si>
  <si>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</si>
  <si>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</si>
  <si>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</si>
  <si>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</si>
  <si>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</si>
  <si>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</si>
  <si>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</si>
  <si>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</si>
  <si>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</si>
  <si>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</si>
  <si>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</si>
  <si>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</si>
  <si>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</si>
  <si>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</si>
  <si>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</si>
  <si>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</si>
  <si>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</si>
  <si>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</si>
  <si>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</si>
  <si>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</si>
  <si>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</si>
  <si>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</si>
  <si>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</si>
  <si>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</si>
  <si>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</si>
  <si>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</si>
  <si>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</si>
  <si>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</si>
  <si>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</si>
  <si>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</si>
  <si>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</si>
  <si>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</si>
  <si>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</si>
  <si>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</si>
  <si>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</si>
  <si>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</si>
  <si>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</si>
  <si>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</si>
  <si>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</si>
  <si>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</si>
  <si>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</si>
  <si>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</si>
  <si>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</si>
  <si>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</si>
  <si>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</si>
  <si>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</si>
  <si>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</si>
  <si>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</si>
  <si>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</si>
  <si>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</si>
  <si>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</si>
  <si>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</si>
  <si>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</si>
  <si>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</si>
  <si>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</si>
  <si>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</si>
  <si>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</si>
  <si>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</si>
  <si>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</si>
  <si>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</si>
  <si>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</si>
  <si>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</si>
  <si>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</si>
  <si>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</si>
  <si>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</si>
  <si>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</si>
  <si>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</si>
  <si>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</si>
  <si>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</si>
  <si>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</si>
  <si>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</si>
  <si>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</si>
  <si>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</si>
  <si>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</si>
  <si>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</si>
  <si>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</si>
  <si>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</si>
  <si>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</si>
  <si>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</si>
  <si>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</si>
  <si>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</si>
  <si>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</si>
  <si>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</si>
  <si>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</si>
  <si>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</si>
  <si>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</si>
  <si>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</si>
  <si>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</si>
  <si>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</si>
  <si>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</si>
  <si>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</si>
  <si>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</si>
  <si>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</si>
  <si>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</si>
  <si>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</si>
  <si>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</si>
  <si>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</si>
  <si>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</si>
  <si>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</si>
  <si>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</si>
  <si>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</si>
  <si>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</si>
  <si>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</si>
  <si>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</si>
  <si>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</si>
  <si>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</si>
  <si>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</si>
  <si>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</si>
  <si>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</si>
  <si>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</si>
  <si>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</si>
  <si>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</si>
  <si>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</si>
  <si>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</si>
  <si>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</si>
  <si>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</si>
  <si>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</si>
  <si>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</si>
  <si>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</si>
  <si>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</si>
  <si>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</si>
  <si>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</si>
  <si>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</si>
  <si>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no idea</t>
  </si>
  <si>
    <t>wrong cell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</si>
  <si>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</si>
  <si>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</si>
  <si>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</si>
  <si>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</si>
  <si>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</si>
  <si>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</si>
  <si>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</si>
  <si>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Richard</t>
  </si>
  <si>
    <t>Park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</si>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</sst>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486B-F351-4DB9-B677-AFE782E19719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229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230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231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232</v>
      </c>
      <c r="F8" s="82"/>
      <c r="G8" s="81"/>
      <c r="J8" s="78" t="s">
        <v>233</v>
      </c>
      <c r="L8" s="82"/>
      <c r="M8" s="81"/>
    </row>
    <row r="10" spans="1:13" ht="30" customHeight="1" thickBot="1" x14ac:dyDescent="0.3">
      <c r="C10" s="68" t="s">
        <v>220</v>
      </c>
      <c r="D10" s="68"/>
      <c r="F10" s="68" t="s">
        <v>221</v>
      </c>
      <c r="G10" s="68"/>
      <c r="I10" s="68" t="s">
        <v>222</v>
      </c>
      <c r="J10" s="68"/>
      <c r="L10" s="64" t="s">
        <v>223</v>
      </c>
      <c r="M10" s="64"/>
    </row>
    <row r="11" spans="1:13" ht="30" customHeight="1" thickBot="1" x14ac:dyDescent="0.3">
      <c r="C11" s="66" t="s">
        <v>227</v>
      </c>
      <c r="D11" s="67"/>
      <c r="F11" s="66" t="s">
        <v>228</v>
      </c>
      <c r="G11" s="67"/>
      <c r="I11" s="69">
        <v>6241729</v>
      </c>
      <c r="J11" s="70"/>
      <c r="L11" s="66" t="s">
        <v>224</v>
      </c>
      <c r="M11" s="67"/>
    </row>
    <row r="12" spans="1:13" x14ac:dyDescent="0.25">
      <c r="A12" s="65" t="s">
        <v>224</v>
      </c>
    </row>
    <row r="13" spans="1:13" x14ac:dyDescent="0.25">
      <c r="A13" s="65" t="s">
        <v>225</v>
      </c>
    </row>
    <row r="14" spans="1:13" x14ac:dyDescent="0.25">
      <c r="A14" s="65" t="s">
        <v>226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FA1D494E-7388-428C-8D25-C70E7BCAA79C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K7" sqref="K7"/>
    </sheetView>
  </sheetViews>
  <sheetFormatPr defaultRowHeight="13.2" x14ac:dyDescent="0.25"/>
  <cols>
    <col min="1" max="1" width="42.5546875" customWidth="1"/>
    <col min="2" max="2" width="10.109375" bestFit="1" customWidth="1"/>
    <col min="3" max="3" width="2.66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 t="s">
        <v>219</v>
      </c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 t="s">
        <v>218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2228086.9989999998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435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5128292.0089999996</v>
      </c>
      <c r="C44" s="8"/>
      <c r="D44" s="21">
        <f>SUM(D4:D43)</f>
        <v>6670320.9989999998</v>
      </c>
      <c r="E44" s="10"/>
      <c r="F44" s="21">
        <f>SUM(F4:F43)</f>
        <v>4681051.0010000002</v>
      </c>
      <c r="G44" s="8"/>
      <c r="H44" s="21">
        <f>SUM(H4:H43)</f>
        <v>4944777</v>
      </c>
    </row>
    <row r="46" spans="1:9" x14ac:dyDescent="0.25">
      <c r="D46" s="20">
        <f>D44-B44</f>
        <v>1542028.9900000002</v>
      </c>
      <c r="H46" s="20">
        <f>H44-F44</f>
        <v>263725.99899999984</v>
      </c>
    </row>
    <row r="48" spans="1:9" x14ac:dyDescent="0.25">
      <c r="H48" s="9">
        <f>'IS-BS'!I27</f>
        <v>713444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1244642.9990000001</v>
      </c>
      <c r="I51" s="46" t="s">
        <v>192</v>
      </c>
    </row>
    <row r="53" spans="8:9" x14ac:dyDescent="0.25">
      <c r="H53" s="9">
        <f>H51-D37</f>
        <v>-983443.99999999977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 t="str">
        <f>IF('Base Data'!B7="",0,'Base Data'!B7)</f>
        <v>wrong cell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 t="str">
        <f>IF('Base Data'!F15="",0,'Base Data'!F15)</f>
        <v>no idea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2228086.9989999998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2228086.9989999998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435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435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5128292.0089999996</v>
      </c>
      <c r="C48" s="8"/>
      <c r="D48" s="21">
        <f>SUM(D6:D47)</f>
        <v>6670320.9989999998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5257658.118999999</v>
      </c>
      <c r="K48" s="10"/>
      <c r="L48" s="21">
        <f>SUM(L6:L47)</f>
        <v>6799542.3589999992</v>
      </c>
      <c r="M48" s="8"/>
      <c r="N48" s="21">
        <f>SUM(N6:N47)</f>
        <v>4681051.0010000002</v>
      </c>
      <c r="O48" s="8"/>
      <c r="P48" s="21">
        <f>SUM(P6:P47)</f>
        <v>4944777</v>
      </c>
    </row>
    <row r="50" spans="2:16" x14ac:dyDescent="0.25">
      <c r="D50" s="20">
        <f>B48-D48</f>
        <v>-1542028.9900000002</v>
      </c>
      <c r="H50" s="20">
        <f>F48-H48</f>
        <v>144.75</v>
      </c>
      <c r="L50" s="20">
        <f>J48-L48</f>
        <v>-1541884.2400000002</v>
      </c>
      <c r="P50" s="20">
        <f>N48-P48</f>
        <v>-263725.99899999984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435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435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836684.11899999995</v>
      </c>
      <c r="D20" s="9"/>
      <c r="E20" s="9"/>
      <c r="F20" s="9"/>
      <c r="G20" s="9">
        <f>SUM(G5:G18)</f>
        <v>399682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2146434.1189999999</v>
      </c>
      <c r="D21" s="9"/>
      <c r="E21" s="9">
        <f>SUM(E2:E19)</f>
        <v>2384000</v>
      </c>
      <c r="F21" s="9"/>
      <c r="G21" s="9">
        <f>SUM(G2:G19)</f>
        <v>2034682</v>
      </c>
      <c r="H21" s="9"/>
      <c r="I21" s="9">
        <f>SUM(I2:I19)</f>
        <v>2804000</v>
      </c>
      <c r="J21" s="9"/>
      <c r="K21" s="9"/>
      <c r="L21" s="9">
        <f>SUM(L2:L18)</f>
        <v>376153.00900000002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237565.88100000005</v>
      </c>
      <c r="F22" s="9"/>
      <c r="I22" s="20">
        <f>I21-G21</f>
        <v>769318</v>
      </c>
      <c r="J22" s="9"/>
      <c r="K22" s="9"/>
      <c r="L22" s="9"/>
      <c r="M22" s="9"/>
      <c r="N22" s="9">
        <f>SUM(L21:N21)</f>
        <v>690009.36900000006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237565.88100000005</v>
      </c>
      <c r="F27" s="9"/>
      <c r="G27" s="9"/>
      <c r="H27" s="9"/>
      <c r="I27" s="20">
        <f>I22-I26</f>
        <v>713444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 t="str">
        <f>'Trial Balance'!N18</f>
        <v>no idea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2465652.88</v>
      </c>
      <c r="F50" s="9"/>
      <c r="G50" s="9">
        <f>'Trial Balance'!N40</f>
        <v>0</v>
      </c>
      <c r="H50" s="9"/>
      <c r="I50" s="9">
        <f>'Trial Balance'!P40+I27</f>
        <v>1564643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3074099</v>
      </c>
      <c r="D53" s="9"/>
      <c r="E53" s="9">
        <f>SUM(E30:E52)</f>
        <v>4653108.24</v>
      </c>
      <c r="F53" s="9">
        <f>E53-C53</f>
        <v>1579009.2400000002</v>
      </c>
      <c r="G53" s="9">
        <f>SUM(G30:G52)</f>
        <v>2590495.0010000002</v>
      </c>
      <c r="H53" s="9"/>
      <c r="I53" s="9">
        <f>SUM(I30:I52)</f>
        <v>2854221</v>
      </c>
      <c r="J53" s="9"/>
      <c r="U53" s="9">
        <f>I53-G53</f>
        <v>263725.99899999984</v>
      </c>
    </row>
    <row r="55" spans="1:21" x14ac:dyDescent="0.25">
      <c r="C55" s="9">
        <f>C53+C21</f>
        <v>5220533.1189999999</v>
      </c>
      <c r="D55" s="9"/>
      <c r="E55" s="9">
        <f>E53+E21</f>
        <v>7037108.2400000002</v>
      </c>
      <c r="F55" s="9"/>
      <c r="G55" s="9">
        <f>G53+G21</f>
        <v>4625177.0010000002</v>
      </c>
      <c r="H55" s="9"/>
      <c r="I55" s="9">
        <f>I53+I21</f>
        <v>5658221</v>
      </c>
      <c r="J55" s="9"/>
    </row>
    <row r="56" spans="1:21" x14ac:dyDescent="0.25">
      <c r="C56" s="9">
        <f>'Trial Balance'!J48</f>
        <v>5257658.118999999</v>
      </c>
      <c r="D56" s="9"/>
      <c r="E56" s="9">
        <f>'Trial Balance'!L48</f>
        <v>6799542.3589999992</v>
      </c>
      <c r="F56" s="9"/>
      <c r="G56" s="9">
        <f>'Trial Balance'!N48</f>
        <v>4681051.0010000002</v>
      </c>
      <c r="H56" s="9"/>
      <c r="I56" s="9">
        <f>'Trial Balance'!P48</f>
        <v>4944777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1816575.1210000003</v>
      </c>
      <c r="F59" s="9"/>
      <c r="G59" s="9">
        <f>G56-G55</f>
        <v>55874</v>
      </c>
      <c r="H59" s="9"/>
      <c r="I59" s="9">
        <f>I55-G55</f>
        <v>1033043.9989999998</v>
      </c>
      <c r="J59" s="9"/>
    </row>
    <row r="60" spans="1:21" x14ac:dyDescent="0.25">
      <c r="C60" s="9"/>
      <c r="D60" s="9"/>
      <c r="E60" s="20">
        <f>E59-C59</f>
        <v>1779450.1210000012</v>
      </c>
      <c r="F60" s="9"/>
      <c r="G60" s="9"/>
      <c r="H60" s="9"/>
      <c r="I60" s="20">
        <f>I59-G59</f>
        <v>977169.99899999984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1508368.9979999999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1779450.1210000012</v>
      </c>
      <c r="D66" s="9"/>
      <c r="E66" s="20"/>
      <c r="F66" s="20"/>
      <c r="G66" s="20"/>
      <c r="H66" s="20"/>
      <c r="I66" s="54">
        <f>I60</f>
        <v>977169.99899999984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2992819.1190000009</v>
      </c>
      <c r="D68" s="9"/>
      <c r="E68" s="9"/>
      <c r="F68" s="9"/>
      <c r="G68" s="9"/>
      <c r="H68" s="9"/>
      <c r="I68" s="20">
        <f>I65+I66+I67</f>
        <v>1508368.9979999999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4142819.1190000009</v>
      </c>
      <c r="D70" s="9"/>
      <c r="E70" s="9"/>
      <c r="F70" s="9"/>
      <c r="G70" s="9"/>
      <c r="H70" s="9"/>
      <c r="I70" s="20">
        <f>I64+I68+I69</f>
        <v>1708692.9979999999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713444</v>
      </c>
      <c r="D5" s="9"/>
      <c r="E5" s="9">
        <f>SUM(B5:D5)</f>
        <v>713444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1244642.9990000001</v>
      </c>
      <c r="D10" s="20">
        <f>'Trial Balance'!P14</f>
        <v>200000</v>
      </c>
      <c r="E10" s="20">
        <f>SUM(E4:E9)</f>
        <v>1444966.9990000001</v>
      </c>
      <c r="F10" s="9">
        <f>'IS-BS'!I70-E10</f>
        <v>263725.99899999984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1244642.9990000001</v>
      </c>
      <c r="D14" s="9">
        <f>'Trial Balance'!P14</f>
        <v>200000</v>
      </c>
      <c r="E14" s="9">
        <f>SUM(B14:D14)</f>
        <v>1444966.9990000001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237565.88100000005</v>
      </c>
      <c r="D15" s="9"/>
      <c r="E15" s="9">
        <f>SUM(B15:D15)</f>
        <v>237565.88100000005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1187208.8800000001</v>
      </c>
      <c r="D20" s="20">
        <f>SUM(D14:D19)</f>
        <v>270000</v>
      </c>
      <c r="E20" s="20">
        <f>SUM(E14:E19)</f>
        <v>1557532.8800000001</v>
      </c>
      <c r="F20" s="9">
        <f>E20-'IS-BS'!C70</f>
        <v>-2585286.239000001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2019-06-10T01:33:26Z</dcterms:modified>
</cp:coreProperties>
</file>