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58F179A7-E1DD-43F9-B853-1BFFC354C94E}" xr6:coauthVersionLast="43" xr6:coauthVersionMax="43" xr10:uidLastSave="{00000000-0000-0000-0000-000000000000}"/>
  <bookViews>
    <workbookView xWindow="2304" yWindow="18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6" l="1"/>
  <c r="E27" i="2"/>
  <c r="E34" i="2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20" i="4"/>
  <c r="D10" i="4"/>
  <c r="I52" i="3"/>
  <c r="I69" i="3"/>
  <c r="I49" i="3"/>
  <c r="D47" i="5"/>
  <c r="I22" i="3"/>
  <c r="I27" i="3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<sst xmlns="http://schemas.openxmlformats.org/spreadsheetml/2006/main" count="396" uniqueCount="233">
  <si>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</si>
  <si>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</si>
  <si>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</si>
  <si>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</si>
  <si>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</si>
  <si>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</si>
  <si>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</si>
  <si>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</si>
  <si>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</si>
  <si>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</si>
  <si>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</si>
  <si>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</si>
  <si>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</si>
  <si>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</si>
  <si>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</si>
  <si>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</si>
  <si>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</si>
  <si>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</si>
  <si>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</si>
  <si>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</si>
  <si>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</si>
  <si>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</si>
  <si>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</si>
  <si>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</si>
  <si>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</si>
  <si>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</si>
  <si>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</si>
  <si>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</si>
  <si>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</si>
  <si>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</si>
  <si>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</si>
  <si>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</si>
  <si>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</si>
  <si>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</si>
  <si>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</si>
  <si>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</si>
  <si>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</si>
  <si>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</si>
  <si>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</si>
  <si>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</si>
  <si>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</si>
  <si>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</si>
  <si>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</si>
  <si>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</si>
  <si>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</si>
  <si>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</si>
  <si>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</si>
  <si>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</si>
  <si>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</si>
  <si>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</si>
  <si>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</si>
  <si>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</si>
  <si>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</si>
  <si>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</si>
  <si>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</si>
  <si>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</si>
  <si>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</si>
  <si>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</si>
  <si>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</si>
  <si>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</si>
  <si>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</si>
  <si>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</si>
  <si>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</si>
  <si>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</si>
  <si>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</si>
  <si>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</si>
  <si>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</si>
  <si>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</si>
  <si>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</si>
  <si>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</si>
  <si>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</si>
  <si>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</si>
  <si>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</si>
  <si>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</si>
  <si>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</si>
  <si>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</si>
  <si>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</si>
  <si>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</si>
  <si>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</si>
  <si>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</si>
  <si>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</si>
  <si>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</si>
  <si>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</si>
  <si>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</si>
  <si>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</si>
  <si>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</si>
  <si>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</si>
  <si>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</si>
  <si>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</si>
  <si>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</si>
  <si>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</si>
  <si>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</si>
  <si>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</si>
  <si>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</si>
  <si>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</si>
  <si>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</si>
  <si>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</si>
  <si>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</si>
  <si>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</si>
  <si>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</si>
  <si>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</si>
  <si>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</si>
  <si>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</si>
  <si>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</si>
  <si>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</si>
  <si>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</si>
  <si>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</si>
  <si>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</si>
  <si>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</si>
  <si>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</si>
  <si>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</si>
  <si>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</si>
  <si>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</si>
  <si>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</si>
  <si>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</si>
  <si>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</si>
  <si>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</si>
  <si>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</si>
  <si>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</si>
  <si>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</si>
  <si>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</si>
  <si>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</si>
  <si>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</si>
  <si>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</si>
  <si>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</si>
  <si>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</si>
  <si>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</si>
  <si>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</si>
  <si>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</si>
  <si>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</si>
  <si>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</si>
  <si>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</si>
  <si>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</si>
  <si>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</si>
  <si>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</si>
  <si>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</si>
  <si>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</si>
  <si>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</si>
  <si>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</si>
  <si>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</si>
  <si>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</si>
  <si>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</si>
  <si>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</si>
  <si>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</si>
  <si>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</si>
  <si>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</si>
  <si>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</si>
  <si>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</si>
  <si>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</si>
  <si>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</si>
  <si>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</si>
  <si>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</si>
  <si>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</si>
  <si>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</si>
  <si>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</si>
  <si>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</si>
  <si>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</si>
  <si>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</si>
  <si>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</si>
  <si>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</si>
  <si>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</si>
  <si>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</si>
  <si>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</si>
  <si>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</si>
  <si>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</si>
  <si>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</si>
  <si>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</si>
  <si>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</si>
  <si>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</si>
  <si>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</si>
  <si>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</si>
  <si>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</si>
  <si>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</si>
  <si>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</si>
  <si>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</si>
  <si>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</si>
  <si>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</si>
  <si>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</si>
  <si>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</si>
  <si>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</si>
  <si>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</si>
  <si>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</si>
  <si>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</si>
  <si>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</si>
  <si>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</si>
  <si>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</si>
  <si>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</si>
  <si>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</si>
  <si>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</si>
  <si>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</si>
  <si>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</si>
  <si>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</si>
  <si>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</si>
  <si>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</si>
  <si>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</si>
  <si>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</si>
  <si>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</si>
  <si>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</si>
  <si>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</si>
  <si>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</si>
  <si>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</si>
  <si>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</si>
  <si>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</si>
  <si>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</si>
  <si>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</si>
  <si>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</si>
  <si>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</si>
  <si>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</si>
  <si>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</si>
  <si>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</si>
  <si>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</si>
  <si>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</si>
  <si>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</si>
  <si>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</si>
  <si>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</si>
  <si>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</si>
  <si>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</si>
  <si>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</si>
  <si>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cats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</si>
  <si>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</si>
  <si>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</si>
  <si>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</si>
  <si>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</si>
  <si>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</si>
  <si>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</si>
  <si>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</si>
  <si>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Sally</t>
  </si>
  <si>
    <t>Powell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</si>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</sst>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36EA-B1B3-4108-A03D-3BF145F75435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228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229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230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231</v>
      </c>
      <c r="F8" s="82"/>
      <c r="G8" s="81"/>
      <c r="J8" s="78" t="s">
        <v>232</v>
      </c>
      <c r="L8" s="82"/>
      <c r="M8" s="81"/>
    </row>
    <row r="10" spans="1:13" ht="30" customHeight="1" thickBot="1" x14ac:dyDescent="0.3">
      <c r="C10" s="68" t="s">
        <v>219</v>
      </c>
      <c r="D10" s="68"/>
      <c r="F10" s="68" t="s">
        <v>220</v>
      </c>
      <c r="G10" s="68"/>
      <c r="I10" s="68" t="s">
        <v>221</v>
      </c>
      <c r="J10" s="68"/>
      <c r="L10" s="64" t="s">
        <v>222</v>
      </c>
      <c r="M10" s="64"/>
    </row>
    <row r="11" spans="1:13" ht="30" customHeight="1" thickBot="1" x14ac:dyDescent="0.3">
      <c r="C11" s="66" t="s">
        <v>226</v>
      </c>
      <c r="D11" s="67"/>
      <c r="F11" s="66" t="s">
        <v>227</v>
      </c>
      <c r="G11" s="67"/>
      <c r="I11" s="69">
        <v>1299967</v>
      </c>
      <c r="J11" s="70"/>
      <c r="L11" s="66" t="s">
        <v>223</v>
      </c>
      <c r="M11" s="67"/>
    </row>
    <row r="12" spans="1:13" x14ac:dyDescent="0.25">
      <c r="A12" s="65" t="s">
        <v>223</v>
      </c>
    </row>
    <row r="13" spans="1:13" x14ac:dyDescent="0.25">
      <c r="A13" s="65" t="s">
        <v>224</v>
      </c>
    </row>
    <row r="14" spans="1:13" x14ac:dyDescent="0.25">
      <c r="A14" s="65" t="s">
        <v>225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3C5B03CA-CA83-451D-A715-7FE2964C83DE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16" workbookViewId="0">
      <selection activeCell="I22" sqref="I22"/>
    </sheetView>
  </sheetViews>
  <sheetFormatPr defaultRowHeight="13.2" x14ac:dyDescent="0.25"/>
  <cols>
    <col min="1" max="1" width="42.5546875" customWidth="1"/>
    <col min="2" max="2" width="10.109375" bestFit="1" customWidth="1"/>
    <col min="3" max="3" width="4.441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256001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27500</v>
      </c>
      <c r="E6" s="10"/>
      <c r="F6" s="8"/>
      <c r="G6" s="8"/>
      <c r="H6" s="10">
        <v>15100</v>
      </c>
    </row>
    <row r="7" spans="1:10" ht="13.8" x14ac:dyDescent="0.25">
      <c r="A7" s="7" t="s">
        <v>7</v>
      </c>
      <c r="B7" s="8"/>
      <c r="C7" s="8"/>
      <c r="D7" s="10">
        <f>H7</f>
        <v>234</v>
      </c>
      <c r="E7" s="10"/>
      <c r="F7" s="8"/>
      <c r="G7" s="8"/>
      <c r="H7" s="10">
        <v>234</v>
      </c>
      <c r="J7" s="9"/>
    </row>
    <row r="8" spans="1:10" ht="13.8" x14ac:dyDescent="0.25">
      <c r="A8" s="7" t="s">
        <v>8</v>
      </c>
      <c r="B8" s="8"/>
      <c r="C8" s="8"/>
      <c r="D8" s="10">
        <f>H8</f>
        <v>44000</v>
      </c>
      <c r="E8" s="10"/>
      <c r="F8" s="8"/>
      <c r="G8" s="8"/>
      <c r="H8" s="10">
        <v>44000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20001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210000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258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54000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/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 t="s">
        <v>218</v>
      </c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320000.00099999999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220000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87</v>
      </c>
      <c r="I25" s="9"/>
    </row>
    <row r="26" spans="1:9" ht="13.8" x14ac:dyDescent="0.25">
      <c r="A26" s="7" t="s">
        <v>25</v>
      </c>
      <c r="B26" s="10">
        <f>53325+18457</f>
        <v>71782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351000</v>
      </c>
      <c r="C27" s="8"/>
      <c r="D27" s="8"/>
      <c r="E27" s="8"/>
      <c r="F27" s="10">
        <v>210000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850500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72000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32050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2230207.9989999998</v>
      </c>
      <c r="E37" s="10"/>
      <c r="F37" s="8"/>
      <c r="G37" s="8"/>
      <c r="H37" s="10">
        <v>851200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4325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2794005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79100</v>
      </c>
      <c r="G41" s="8"/>
      <c r="H41" s="8"/>
    </row>
    <row r="42" spans="1:9" ht="13.8" x14ac:dyDescent="0.25">
      <c r="A42" s="7" t="s">
        <v>39</v>
      </c>
      <c r="B42" s="10">
        <v>434</v>
      </c>
      <c r="C42" s="8"/>
      <c r="D42" s="8"/>
      <c r="E42" s="8"/>
      <c r="F42" s="10">
        <v>11001</v>
      </c>
      <c r="G42" s="8"/>
      <c r="H42" s="12"/>
    </row>
    <row r="43" spans="1:9" ht="13.8" x14ac:dyDescent="0.25">
      <c r="A43" s="7" t="s">
        <v>40</v>
      </c>
      <c r="B43" s="13">
        <v>8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5128306.0089999996</v>
      </c>
      <c r="C44" s="8"/>
      <c r="D44" s="21">
        <f>SUM(D4:D43)</f>
        <v>6681942.9989999998</v>
      </c>
      <c r="E44" s="10"/>
      <c r="F44" s="21">
        <f>SUM(F4:F43)</f>
        <v>4705496.0010000002</v>
      </c>
      <c r="G44" s="8"/>
      <c r="H44" s="21">
        <f>SUM(H4:H43)</f>
        <v>4883950</v>
      </c>
    </row>
    <row r="46" spans="1:9" x14ac:dyDescent="0.25">
      <c r="D46" s="20">
        <f>D44-B44</f>
        <v>1553636.9900000002</v>
      </c>
      <c r="H46" s="20">
        <f>H44-F44</f>
        <v>178453.99899999984</v>
      </c>
    </row>
    <row r="48" spans="1:9" x14ac:dyDescent="0.25">
      <c r="H48" s="9">
        <f>'IS-BS'!I27</f>
        <v>709504</v>
      </c>
      <c r="I48" s="46" t="s">
        <v>191</v>
      </c>
    </row>
    <row r="49" spans="8:9" x14ac:dyDescent="0.25">
      <c r="H49" s="9">
        <f>'IS-BS'!G51</f>
        <v>320000.00099999999</v>
      </c>
      <c r="I49" s="46" t="s">
        <v>190</v>
      </c>
    </row>
    <row r="51" spans="8:9" x14ac:dyDescent="0.25">
      <c r="H51" s="9">
        <f>H37+H48-H49</f>
        <v>1240703.9990000001</v>
      </c>
      <c r="I51" s="46" t="s">
        <v>192</v>
      </c>
    </row>
    <row r="53" spans="8:9" x14ac:dyDescent="0.25">
      <c r="H53" s="9">
        <f>H51-D37</f>
        <v>-989503.99999999977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256001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256001</v>
      </c>
      <c r="M6" s="8"/>
      <c r="N6" s="47">
        <f>IF('Base Data'!F4="",0,'Base Data'!F4)</f>
        <v>0</v>
      </c>
      <c r="O6" s="47"/>
      <c r="P6" s="47">
        <f>IF('Base Data'!H4="",0,'Base Data'!H4)</f>
        <v>455000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27500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27500</v>
      </c>
      <c r="M8" s="8"/>
      <c r="N8" s="47">
        <f>IF('Base Data'!F6="",0,'Base Data'!F6)</f>
        <v>0</v>
      </c>
      <c r="O8" s="47"/>
      <c r="P8" s="47">
        <f>IF('Base Data'!H6="",0,'Base Data'!H6)</f>
        <v>15100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234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29234</v>
      </c>
      <c r="M9" s="8"/>
      <c r="N9" s="47">
        <f>IF('Base Data'!F7="",0,'Base Data'!F7)</f>
        <v>0</v>
      </c>
      <c r="O9" s="47"/>
      <c r="P9" s="47">
        <f>IF('Base Data'!H7="",0,'Base Data'!H7)</f>
        <v>234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44000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59800</v>
      </c>
      <c r="M11" s="8"/>
      <c r="N11" s="47">
        <f>IF('Base Data'!F8="",0,'Base Data'!F8)</f>
        <v>0</v>
      </c>
      <c r="O11" s="47"/>
      <c r="P11" s="47">
        <f>IF('Base Data'!H8="",0,'Base Data'!H8)</f>
        <v>44000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20001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210000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280000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258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258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54000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>
        <f>IF('Base Data'!F15="",0,'Base Data'!F15)</f>
        <v>0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 t="str">
        <f>IF('Base Data'!H16="",0,'Base Data'!H16)</f>
        <v>cats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320000.00099999999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220000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87</v>
      </c>
    </row>
    <row r="29" spans="1:16" ht="13.8" x14ac:dyDescent="0.25">
      <c r="A29" s="7" t="s">
        <v>25</v>
      </c>
      <c r="B29" s="47">
        <f>IF('Base Data'!B26="",0,'Base Data'!B26)</f>
        <v>71782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71782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351000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344250</v>
      </c>
      <c r="K30" s="10"/>
      <c r="L30" s="10"/>
      <c r="M30" s="8"/>
      <c r="N30" s="47">
        <f>IF('Base Data'!F27="",0,'Base Data'!F27)</f>
        <v>210000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850500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40000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72000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32050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2230207.9989999998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2230207.9989999998</v>
      </c>
      <c r="M40" s="8"/>
      <c r="N40" s="47">
        <f>IF('Base Data'!F37="",0,'Base Data'!F37)</f>
        <v>0</v>
      </c>
      <c r="O40" s="47"/>
      <c r="P40" s="47">
        <f>IF('Base Data'!H37="",0,'Base Data'!H37)</f>
        <v>851200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4325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2794005</v>
      </c>
    </row>
    <row r="44" spans="1:16" ht="13.8" x14ac:dyDescent="0.25">
      <c r="A44" s="7" t="s">
        <v>37</v>
      </c>
      <c r="B44" s="47">
        <f>IF('Base Data'!B40="",0,'Base Data'!B40)</f>
        <v>120000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79100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434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434</v>
      </c>
      <c r="K46" s="10"/>
      <c r="L46" s="10">
        <f t="shared" si="1"/>
        <v>0</v>
      </c>
      <c r="M46" s="8"/>
      <c r="N46" s="47">
        <f>IF('Base Data'!F42="",0,'Base Data'!F42)</f>
        <v>11001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8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8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5128306.0089999996</v>
      </c>
      <c r="C48" s="8"/>
      <c r="D48" s="21">
        <f>SUM(D6:D47)</f>
        <v>6681942.9989999998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5257672.118999999</v>
      </c>
      <c r="K48" s="10"/>
      <c r="L48" s="21">
        <f>SUM(L6:L47)</f>
        <v>6811164.3589999992</v>
      </c>
      <c r="M48" s="8"/>
      <c r="N48" s="21">
        <f>SUM(N6:N47)</f>
        <v>4705496.0010000002</v>
      </c>
      <c r="O48" s="8"/>
      <c r="P48" s="21">
        <f>SUM(P6:P47)</f>
        <v>4883950</v>
      </c>
    </row>
    <row r="50" spans="2:16" x14ac:dyDescent="0.25">
      <c r="D50" s="20">
        <f>B48-D48</f>
        <v>-1553636.9900000002</v>
      </c>
      <c r="H50" s="20">
        <f>F48-H48</f>
        <v>144.75</v>
      </c>
      <c r="L50" s="20">
        <f>J48-L48</f>
        <v>-1553492.2400000002</v>
      </c>
      <c r="P50" s="20">
        <f>N48-P48</f>
        <v>-178453.99899999984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2794005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 t="str">
        <f>'Trial Balance'!P19</f>
        <v>cats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20001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54000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4325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72000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32050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434</v>
      </c>
      <c r="D15" s="9"/>
      <c r="E15" s="9">
        <f>'Trial Balance'!L46</f>
        <v>0</v>
      </c>
      <c r="F15" s="9"/>
      <c r="G15" s="9">
        <f>'Trial Balance'!N46</f>
        <v>11001</v>
      </c>
      <c r="H15" s="9"/>
      <c r="I15" s="9">
        <f>'Trial Balance'!P46</f>
        <v>0</v>
      </c>
      <c r="J15" s="9"/>
      <c r="K15" s="9"/>
      <c r="L15" s="9">
        <f>C15</f>
        <v>434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71782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71782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258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258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836690.11899999995</v>
      </c>
      <c r="D20" s="9"/>
      <c r="E20" s="9"/>
      <c r="F20" s="9"/>
      <c r="G20" s="9">
        <f>SUM(G5:G18)</f>
        <v>403627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2146440.1189999999</v>
      </c>
      <c r="D21" s="9"/>
      <c r="E21" s="9">
        <f>SUM(E2:E19)</f>
        <v>2384000</v>
      </c>
      <c r="F21" s="9"/>
      <c r="G21" s="9">
        <f>SUM(G2:G19)</f>
        <v>2038627</v>
      </c>
      <c r="H21" s="9"/>
      <c r="I21" s="9">
        <f>SUM(I2:I19)</f>
        <v>2804005</v>
      </c>
      <c r="J21" s="9"/>
      <c r="K21" s="9"/>
      <c r="L21" s="9">
        <f>SUM(L2:L18)</f>
        <v>376152.00900000002</v>
      </c>
      <c r="M21" s="9">
        <f>SUM(M2:M18)</f>
        <v>224839</v>
      </c>
      <c r="N21" s="9">
        <f>SUM(N2:N18)</f>
        <v>89024.36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237559.88100000005</v>
      </c>
      <c r="F22" s="9"/>
      <c r="I22" s="20">
        <f>I21-G21</f>
        <v>765378</v>
      </c>
      <c r="J22" s="9"/>
      <c r="K22" s="9"/>
      <c r="L22" s="9"/>
      <c r="M22" s="9"/>
      <c r="N22" s="9">
        <f>SUM(L21:N21)</f>
        <v>690015.36900000006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237559.88100000005</v>
      </c>
      <c r="F27" s="9"/>
      <c r="G27" s="9"/>
      <c r="H27" s="9"/>
      <c r="I27" s="20">
        <f>I22-I26</f>
        <v>709504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344250</v>
      </c>
      <c r="D32" s="9"/>
      <c r="E32" s="9">
        <f>'Trial Balance'!L30</f>
        <v>0</v>
      </c>
      <c r="F32" s="9"/>
      <c r="G32" s="9">
        <f>'Trial Balance'!N30</f>
        <v>210000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220000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59800</v>
      </c>
      <c r="F35" s="9"/>
      <c r="G35" s="9">
        <f>'Trial Balance'!N11</f>
        <v>0</v>
      </c>
      <c r="H35" s="9"/>
      <c r="I35" s="9">
        <f>'Trial Balance'!P11</f>
        <v>44000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8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>
        <f>'Trial Balance'!N18</f>
        <v>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29234</v>
      </c>
      <c r="F39" s="9"/>
      <c r="G39" s="9">
        <f>'Trial Balance'!N9</f>
        <v>0</v>
      </c>
      <c r="H39" s="9"/>
      <c r="I39" s="9">
        <f>'Trial Balance'!P9</f>
        <v>234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850500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79100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256001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27500</v>
      </c>
      <c r="F44" s="9"/>
      <c r="G44" s="9">
        <f>'Trial Balance'!N8</f>
        <v>0</v>
      </c>
      <c r="H44" s="9"/>
      <c r="I44" s="9">
        <f>'Trial Balance'!P8</f>
        <v>15100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87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2467767.88</v>
      </c>
      <c r="F50" s="9"/>
      <c r="G50" s="9">
        <f>'Trial Balance'!N40</f>
        <v>0</v>
      </c>
      <c r="H50" s="9"/>
      <c r="I50" s="9">
        <f>'Trial Balance'!P40+I27</f>
        <v>1560704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320000.00099999999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280000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3074107</v>
      </c>
      <c r="D53" s="9"/>
      <c r="E53" s="9">
        <f>SUM(E30:E52)</f>
        <v>4664724.24</v>
      </c>
      <c r="F53" s="9">
        <f>E53-C53</f>
        <v>1590617.2400000002</v>
      </c>
      <c r="G53" s="9">
        <f>SUM(G30:G52)</f>
        <v>2610995.0010000002</v>
      </c>
      <c r="H53" s="9"/>
      <c r="I53" s="9">
        <f>SUM(I30:I52)</f>
        <v>2789449</v>
      </c>
      <c r="J53" s="9"/>
      <c r="U53" s="9">
        <f>I53-G53</f>
        <v>178453.99899999984</v>
      </c>
    </row>
    <row r="55" spans="1:21" x14ac:dyDescent="0.25">
      <c r="C55" s="9">
        <f>C53+C21</f>
        <v>5220547.1189999999</v>
      </c>
      <c r="D55" s="9"/>
      <c r="E55" s="9">
        <f>E53+E21</f>
        <v>7048724.2400000002</v>
      </c>
      <c r="F55" s="9"/>
      <c r="G55" s="9">
        <f>G53+G21</f>
        <v>4649622.0010000002</v>
      </c>
      <c r="H55" s="9"/>
      <c r="I55" s="9">
        <f>I53+I21</f>
        <v>5593454</v>
      </c>
      <c r="J55" s="9"/>
    </row>
    <row r="56" spans="1:21" x14ac:dyDescent="0.25">
      <c r="C56" s="9">
        <f>'Trial Balance'!J48</f>
        <v>5257672.118999999</v>
      </c>
      <c r="D56" s="9"/>
      <c r="E56" s="9">
        <f>'Trial Balance'!L48</f>
        <v>6811164.3589999992</v>
      </c>
      <c r="F56" s="9"/>
      <c r="G56" s="9">
        <f>'Trial Balance'!N48</f>
        <v>4705496.0010000002</v>
      </c>
      <c r="H56" s="9"/>
      <c r="I56" s="9">
        <f>'Trial Balance'!P48</f>
        <v>4883950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37124.999999999069</v>
      </c>
      <c r="D59" s="9"/>
      <c r="E59" s="9">
        <f>E55-C55</f>
        <v>1828177.1210000003</v>
      </c>
      <c r="F59" s="9"/>
      <c r="G59" s="9">
        <f>G56-G55</f>
        <v>55874</v>
      </c>
      <c r="H59" s="9"/>
      <c r="I59" s="9">
        <f>I55-G55</f>
        <v>943831.99899999984</v>
      </c>
      <c r="J59" s="9"/>
    </row>
    <row r="60" spans="1:21" x14ac:dyDescent="0.25">
      <c r="C60" s="9"/>
      <c r="D60" s="9"/>
      <c r="E60" s="20">
        <f>E59-C59</f>
        <v>1791052.1210000012</v>
      </c>
      <c r="F60" s="9"/>
      <c r="G60" s="9"/>
      <c r="H60" s="9"/>
      <c r="I60" s="20">
        <f>I59-G59</f>
        <v>887957.99899999984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1419157.9979999999</v>
      </c>
      <c r="D65" s="9"/>
      <c r="E65" s="9"/>
      <c r="F65" s="9"/>
      <c r="G65" s="9"/>
      <c r="H65" s="9"/>
      <c r="I65" s="54">
        <f>'Base Data'!H37</f>
        <v>851200</v>
      </c>
      <c r="J65" s="9"/>
    </row>
    <row r="66" spans="2:10" x14ac:dyDescent="0.25">
      <c r="B66" s="46" t="s">
        <v>194</v>
      </c>
      <c r="C66" s="9">
        <f>E60</f>
        <v>1791052.1210000012</v>
      </c>
      <c r="D66" s="9"/>
      <c r="E66" s="20"/>
      <c r="F66" s="20"/>
      <c r="G66" s="20"/>
      <c r="H66" s="20"/>
      <c r="I66" s="54">
        <f>I60</f>
        <v>887957.99899999984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-320000.00099999999</v>
      </c>
      <c r="J67" s="9"/>
    </row>
    <row r="68" spans="2:10" x14ac:dyDescent="0.25">
      <c r="B68" s="46" t="s">
        <v>197</v>
      </c>
      <c r="C68" s="20">
        <f>C65+C66+C67</f>
        <v>2915210.1190000009</v>
      </c>
      <c r="D68" s="9"/>
      <c r="E68" s="9"/>
      <c r="F68" s="9"/>
      <c r="G68" s="9"/>
      <c r="H68" s="9"/>
      <c r="I68" s="20">
        <f>I65+I66+I67</f>
        <v>1419157.9979999999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280000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4075210.1190000009</v>
      </c>
      <c r="D70" s="9"/>
      <c r="E70" s="9"/>
      <c r="F70" s="9"/>
      <c r="G70" s="9"/>
      <c r="H70" s="9"/>
      <c r="I70" s="20">
        <f>I64+I68+I69</f>
        <v>1619481.9979999999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851200</v>
      </c>
      <c r="D4" s="9">
        <v>200000</v>
      </c>
      <c r="E4" s="9">
        <f>SUM(B4:D4)</f>
        <v>1051524</v>
      </c>
    </row>
    <row r="5" spans="1:7" x14ac:dyDescent="0.25">
      <c r="A5" t="s">
        <v>83</v>
      </c>
      <c r="B5" s="9"/>
      <c r="C5" s="9">
        <f>'IS-BS'!I27</f>
        <v>709504</v>
      </c>
      <c r="D5" s="9"/>
      <c r="E5" s="9">
        <f>SUM(B5:D5)</f>
        <v>709504</v>
      </c>
    </row>
    <row r="6" spans="1:7" x14ac:dyDescent="0.25">
      <c r="A6" t="s">
        <v>84</v>
      </c>
      <c r="B6" s="9"/>
      <c r="C6" s="9">
        <f>-'Trial Balance'!N22</f>
        <v>-320000.00099999999</v>
      </c>
      <c r="D6" s="9"/>
      <c r="E6" s="9">
        <f>SUM(B6:D6)</f>
        <v>-320000.00099999999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1240703.9990000001</v>
      </c>
      <c r="D10" s="20">
        <f>'Trial Balance'!P14</f>
        <v>200000</v>
      </c>
      <c r="E10" s="20">
        <f>SUM(E4:E9)</f>
        <v>1441027.9990000001</v>
      </c>
      <c r="F10" s="9">
        <f>'IS-BS'!I70-E10</f>
        <v>178453.99899999984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1240703.9990000001</v>
      </c>
      <c r="D14" s="9">
        <f>'Trial Balance'!P14</f>
        <v>200000</v>
      </c>
      <c r="E14" s="9">
        <f>SUM(B14:D14)</f>
        <v>1441027.9990000001</v>
      </c>
      <c r="F14" s="9"/>
      <c r="G14" s="9"/>
    </row>
    <row r="15" spans="1:7" x14ac:dyDescent="0.25">
      <c r="A15" t="s">
        <v>83</v>
      </c>
      <c r="B15" s="9"/>
      <c r="C15" s="9">
        <f>'IS-BS'!E27</f>
        <v>237559.88100000005</v>
      </c>
      <c r="D15" s="9"/>
      <c r="E15" s="9">
        <f>SUM(B15:D15)</f>
        <v>237559.88100000005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1183263.8800000001</v>
      </c>
      <c r="D20" s="20">
        <f>SUM(D14:D19)</f>
        <v>270000</v>
      </c>
      <c r="E20" s="20">
        <f>SUM(E14:E19)</f>
        <v>1553587.8800000001</v>
      </c>
      <c r="F20" s="9">
        <f>E20-'IS-BS'!C70</f>
        <v>-2521622.239000001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2019-06-10T01:34:50Z</dcterms:modified>
</cp:coreProperties>
</file>