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편성표" sheetId="1" r:id="rId4"/>
  </sheets>
  <definedNames/>
  <calcPr/>
  <extLst>
    <ext uri="GoogleSheetsCustomDataVersion1">
      <go:sheetsCustomData xmlns:go="http://customooxmlschemas.google.com/" r:id="rId5" roundtripDataSignature="AMtx7mgTz0sZrfl8H87KGSp1YDL6B/cQ1Q=="/>
    </ext>
  </extLst>
</workbook>
</file>

<file path=xl/sharedStrings.xml><?xml version="1.0" encoding="utf-8"?>
<sst xmlns="http://schemas.openxmlformats.org/spreadsheetml/2006/main" count="297" uniqueCount="137">
  <si>
    <t>2020년 2월 2주 우주활동부 운영계획</t>
  </si>
  <si>
    <t>2020. 2. 10. ~ 2. 16.</t>
  </si>
  <si>
    <t>분류</t>
  </si>
  <si>
    <t>사업 및 단체명</t>
  </si>
  <si>
    <t>인원</t>
  </si>
  <si>
    <t>일시</t>
  </si>
  <si>
    <t>일수</t>
  </si>
  <si>
    <t>사회배려</t>
  </si>
  <si>
    <t>둥근세상만들기캠프 5차</t>
  </si>
  <si>
    <t>2.12.~14.</t>
  </si>
  <si>
    <t>총인원</t>
  </si>
  <si>
    <t>순인원</t>
  </si>
  <si>
    <t>연인원</t>
  </si>
  <si>
    <t>2019.2.10.</t>
  </si>
  <si>
    <t>09:15~09:50</t>
  </si>
  <si>
    <t>지도자
 안전교육
참석자</t>
  </si>
  <si>
    <t>강원석/안성진/정종섭/박형민/정상은/이효동/오최근/이상록/정신우/박미소/김소희/</t>
  </si>
  <si>
    <t>김다운/신용철/하지성/최윤호/유지현/김정은/김태우/정 훈/김범수/최누리/오승환/이한솔/하원혁/</t>
  </si>
  <si>
    <t>지도자       안전교육  내용</t>
  </si>
  <si>
    <t>응급후송체계 숙지</t>
  </si>
  <si>
    <t>당직근무 철저</t>
  </si>
  <si>
    <t>프로그램 전후 인솔 철저</t>
  </si>
  <si>
    <t>참가자      안전교육     내용</t>
  </si>
  <si>
    <t>화재, 방호, 천재지변 등 비상시 대처 요령 교육 및 비상대피로 안내</t>
  </si>
  <si>
    <t>성희롱, 성폭력 방지 예방 교육 및 수호천사제도 안내</t>
  </si>
  <si>
    <t>각 프로그램별 사전 안전교육 실시</t>
  </si>
  <si>
    <t>중점업무     사항</t>
  </si>
  <si>
    <t>교육/세미나</t>
  </si>
  <si>
    <t>강의/출장</t>
  </si>
  <si>
    <t>노동조합 간담회(2.11.~14. 태우, 천안)</t>
  </si>
  <si>
    <t>기타</t>
  </si>
  <si>
    <t>활동공간(체험관, 천체투영관, 천문대 등) 소독(2.10. 태우 외 2명 )</t>
  </si>
  <si>
    <t>부서워크숍회의(2.10.)</t>
  </si>
  <si>
    <t>일자</t>
  </si>
  <si>
    <t>2.12.(수)</t>
  </si>
  <si>
    <t>//태우/훈</t>
  </si>
  <si>
    <t>REV:</t>
  </si>
  <si>
    <t>사업/단체</t>
  </si>
  <si>
    <t>담당자: 최누리</t>
  </si>
  <si>
    <t>학년/인원</t>
  </si>
  <si>
    <t>초4~중3/32명,6명</t>
  </si>
  <si>
    <t>안전교육</t>
  </si>
  <si>
    <t>윤호/세미나실</t>
  </si>
  <si>
    <t>입퇴소보조</t>
  </si>
  <si>
    <t>#미소 근용</t>
  </si>
  <si>
    <t xml:space="preserve">체온측정:지.성 상.은 </t>
  </si>
  <si>
    <t>특이사항</t>
  </si>
  <si>
    <t>익산즐거운지역아동센터(8)</t>
  </si>
  <si>
    <t>상주다솜지역아동센터(24)</t>
  </si>
  <si>
    <t>구분</t>
  </si>
  <si>
    <t>방송: 형.민</t>
  </si>
  <si>
    <t>15:30~17:40</t>
  </si>
  <si>
    <t>회전하는 물체 그리고 공전</t>
  </si>
  <si>
    <t>담당</t>
  </si>
  <si>
    <t>다운</t>
  </si>
  <si>
    <t>보조</t>
  </si>
  <si>
    <t>원혁 #미소</t>
  </si>
  <si>
    <t>비고/장소</t>
  </si>
  <si>
    <t>세미나실</t>
  </si>
  <si>
    <t>방송, 식사지도: 소.희</t>
  </si>
  <si>
    <t>19:00~20:30</t>
  </si>
  <si>
    <t>대기비행의 원리와 종이비행기 실험</t>
  </si>
  <si>
    <t>효동</t>
  </si>
  <si>
    <t>소희</t>
  </si>
  <si>
    <t>안전/포토</t>
  </si>
  <si>
    <t>세미나실/로비</t>
  </si>
  <si>
    <t>구분/과정</t>
  </si>
  <si>
    <t>당직</t>
  </si>
  <si>
    <t>종섭</t>
  </si>
  <si>
    <t>2.13.(목)</t>
  </si>
  <si>
    <t>/종섭/누리 태우/훈</t>
  </si>
  <si>
    <t>09:30~11:40</t>
  </si>
  <si>
    <t>우주착륙선 설계</t>
  </si>
  <si>
    <t>방송, 식사지도: 상.은</t>
  </si>
  <si>
    <t>신우</t>
  </si>
  <si>
    <t>체온측정: 승.환 상.록 지.현</t>
  </si>
  <si>
    <t>윤호</t>
  </si>
  <si>
    <t>전</t>
  </si>
  <si>
    <t>월요일-금요일 통합</t>
  </si>
  <si>
    <t>7일 통합</t>
  </si>
  <si>
    <t>근무</t>
  </si>
  <si>
    <t>야근</t>
  </si>
  <si>
    <t>장비</t>
  </si>
  <si>
    <t>월</t>
  </si>
  <si>
    <t>화</t>
  </si>
  <si>
    <t>수</t>
  </si>
  <si>
    <t>목</t>
  </si>
  <si>
    <t>금</t>
  </si>
  <si>
    <t>토</t>
  </si>
  <si>
    <t>일</t>
  </si>
  <si>
    <t>횟수</t>
  </si>
  <si>
    <t>13:10~15:20</t>
  </si>
  <si>
    <t>GPS 오리엔티어링</t>
  </si>
  <si>
    <t>대체: 항공생리훈련</t>
  </si>
  <si>
    <t>원석</t>
  </si>
  <si>
    <t>상록</t>
  </si>
  <si>
    <t>성진</t>
  </si>
  <si>
    <t>#형민 승환</t>
  </si>
  <si>
    <t>형민</t>
  </si>
  <si>
    <t>대기비행의 안정성과 폼로켓</t>
  </si>
  <si>
    <t>지성</t>
  </si>
  <si>
    <t xml:space="preserve"> </t>
  </si>
  <si>
    <t>상은</t>
  </si>
  <si>
    <t>용철</t>
  </si>
  <si>
    <t>준범</t>
  </si>
  <si>
    <t>aaa</t>
  </si>
  <si>
    <t>천체투영관에서 본 하늘</t>
  </si>
  <si>
    <t>방송, 식사지도: 정.은</t>
  </si>
  <si>
    <t>최근</t>
  </si>
  <si>
    <t>신우 원혁</t>
  </si>
  <si>
    <t>천체투영관/하늘전망대</t>
  </si>
  <si>
    <t>미소</t>
  </si>
  <si>
    <t>2.14.(금)</t>
  </si>
  <si>
    <t>/미소/누리 태우/훈</t>
  </si>
  <si>
    <t>09:15~11:25</t>
  </si>
  <si>
    <t>우주체험장비/SOS</t>
  </si>
  <si>
    <t>방송, 식사지도: 승.환</t>
  </si>
  <si>
    <t>정은</t>
  </si>
  <si>
    <t>용철 정은 형민/지현</t>
  </si>
  <si>
    <t>체온측정: 장비 소.희</t>
  </si>
  <si>
    <t>지현</t>
  </si>
  <si>
    <t>#성진</t>
  </si>
  <si>
    <t>태우</t>
  </si>
  <si>
    <t>(세) MW MMU 4D/SOS</t>
  </si>
  <si>
    <t>훈</t>
  </si>
  <si>
    <t>용.철</t>
  </si>
  <si>
    <t>누리</t>
  </si>
  <si>
    <t>범수</t>
  </si>
  <si>
    <t>원혁</t>
  </si>
  <si>
    <t>승환</t>
  </si>
  <si>
    <t>한솔</t>
  </si>
  <si>
    <t>근용</t>
  </si>
  <si>
    <t>후</t>
  </si>
  <si>
    <t>칸위치 변경하지 말 것</t>
  </si>
  <si>
    <t>장소</t>
  </si>
  <si>
    <t>휴일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</si>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</sst>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"/>
    <numFmt numFmtId="165" formatCode="yyyy&quot;년&quot; mm&quot;월&quot; dd&quot;일&quot;"/>
  </numFmts>
  <fonts count="27">
    <font>
      <sz val="11.0"/>
      <color rgb="FF000000"/>
      <name val="Malgun Gothic"/>
    </font>
    <font>
      <b/>
      <sz val="8.0"/>
      <color rgb="FF000000"/>
      <name val="Malgun Gothic"/>
    </font>
    <font>
      <b/>
      <sz val="24.0"/>
      <color rgb="FF000000"/>
      <name val="Malgun Gothic"/>
    </font>
    <font/>
    <font>
      <b/>
      <sz val="20.0"/>
      <color rgb="FF000000"/>
      <name val="Malgun Gothic"/>
    </font>
    <font>
      <b/>
      <sz val="10.0"/>
      <color rgb="FF000000"/>
      <name val="Malgun Gothic"/>
    </font>
    <font>
      <b/>
      <sz val="8.0"/>
      <color theme="1"/>
      <name val="Calibri"/>
    </font>
    <font>
      <sz val="8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b/>
      <sz val="8.0"/>
      <color theme="1"/>
      <name val="Malgun Gothic"/>
    </font>
    <font>
      <b/>
      <sz val="11.0"/>
      <color theme="1"/>
      <name val="Malgun Gothic"/>
    </font>
    <font>
      <sz val="8.0"/>
      <color rgb="FF000000"/>
      <name val="Malgun Gothic"/>
    </font>
    <font>
      <sz val="8.0"/>
      <color theme="0"/>
      <name val="Malgun Gothic"/>
    </font>
    <font>
      <sz val="8.0"/>
      <color theme="1"/>
      <name val="Malgun Gothic"/>
    </font>
    <font>
      <sz val="8.0"/>
      <color rgb="FF0033CC"/>
      <name val="Malgun Gothic"/>
    </font>
    <font>
      <sz val="8.0"/>
      <color rgb="FFFF0000"/>
      <name val="Malgun Gothic"/>
    </font>
    <font>
      <sz val="8.0"/>
      <color rgb="FFA5A5A5"/>
      <name val="Malgun Gothic"/>
    </font>
    <font>
      <sz val="6.0"/>
      <color rgb="FFA5A5A5"/>
      <name val="Malgun Gothic"/>
    </font>
    <font>
      <sz val="8.0"/>
      <name val="Malgun Gothic"/>
    </font>
    <font>
      <sz val="8.0"/>
      <color rgb="FF000000"/>
      <name val="Calibri"/>
    </font>
    <font>
      <sz val="8.0"/>
      <color rgb="FF244061"/>
      <name val="Malgun Gothic"/>
    </font>
    <font>
      <sz val="8.0"/>
      <color rgb="FFFFFFFF"/>
      <name val="Malgun Gothic"/>
    </font>
    <font>
      <b/>
      <sz val="8.0"/>
      <color theme="0"/>
      <name val="Malgun Gothic"/>
    </font>
    <font>
      <sz val="8.0"/>
      <color rgb="FF7F7F7F"/>
      <name val="Malgun Gothic"/>
    </font>
    <font>
      <b/>
      <sz val="8.0"/>
      <color rgb="FFFF0000"/>
      <name val="Malgun Gothic"/>
    </font>
    <font>
      <sz val="6.0"/>
      <color theme="1"/>
      <name val="Malgun Gothic"/>
    </font>
  </fonts>
  <fills count="11">
    <fill>
      <patternFill patternType="none"/>
    </fill>
    <fill>
      <patternFill patternType="lightGray"/>
    </fill>
    <fill>
      <patternFill patternType="solid">
        <fgColor rgb="FFB3A2C7"/>
        <bgColor rgb="FFB3A2C7"/>
      </patternFill>
    </fill>
    <fill>
      <patternFill patternType="solid">
        <fgColor rgb="FF92D050"/>
        <bgColor rgb="FF92D050"/>
      </patternFill>
    </fill>
    <fill>
      <patternFill patternType="solid">
        <fgColor rgb="FFFAC090"/>
        <bgColor rgb="FFFAC090"/>
      </patternFill>
    </fill>
    <fill>
      <patternFill patternType="solid">
        <fgColor rgb="FFE6E0ED"/>
        <bgColor rgb="FFE6E0ED"/>
      </patternFill>
    </fill>
    <fill>
      <patternFill patternType="solid">
        <fgColor rgb="FF548DD4"/>
        <bgColor rgb="FF548DD4"/>
      </patternFill>
    </fill>
    <fill>
      <patternFill patternType="solid">
        <fgColor rgb="FFFABF8F"/>
        <bgColor rgb="FFFABF8F"/>
      </patternFill>
    </fill>
    <fill>
      <patternFill patternType="solid">
        <fgColor rgb="FFDCE6F2"/>
        <bgColor rgb="FFDCE6F2"/>
      </patternFill>
    </fill>
    <fill>
      <patternFill patternType="solid">
        <fgColor theme="0"/>
        <bgColor theme="0"/>
      </patternFill>
    </fill>
    <fill>
      <patternFill patternType="solid">
        <fgColor rgb="FFE5DFEC"/>
        <bgColor rgb="FFE5DFEC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5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5" numFmtId="164" xfId="0" applyAlignment="1" applyBorder="1" applyFont="1" applyNumberFormat="1">
      <alignment horizontal="center" vertical="center"/>
    </xf>
    <xf borderId="14" fillId="0" fontId="5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18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7" numFmtId="165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0" fontId="7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6" fillId="0" fontId="7" numFmtId="0" xfId="0" applyAlignment="1" applyBorder="1" applyFont="1">
      <alignment horizontal="center" vertical="center"/>
    </xf>
    <xf borderId="25" fillId="0" fontId="3" numFmtId="0" xfId="0" applyAlignment="1" applyBorder="1" applyFont="1">
      <alignment vertical="center"/>
    </xf>
    <xf borderId="23" fillId="0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6" fillId="0" fontId="12" numFmtId="0" xfId="0" applyAlignment="1" applyBorder="1" applyFont="1">
      <alignment horizontal="center" vertical="center"/>
    </xf>
    <xf borderId="27" fillId="0" fontId="3" numFmtId="0" xfId="0" applyAlignment="1" applyBorder="1" applyFont="1">
      <alignment vertical="center"/>
    </xf>
    <xf borderId="22" fillId="0" fontId="12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4" fillId="2" fontId="1" numFmtId="0" xfId="0" applyAlignment="1" applyBorder="1" applyFill="1" applyFont="1">
      <alignment horizontal="center" vertical="center"/>
    </xf>
    <xf borderId="28" fillId="2" fontId="1" numFmtId="0" xfId="0" applyAlignment="1" applyBorder="1" applyFont="1">
      <alignment horizontal="center" vertical="center"/>
    </xf>
    <xf borderId="29" fillId="2" fontId="1" numFmtId="0" xfId="0" applyAlignment="1" applyBorder="1" applyFont="1">
      <alignment horizontal="left" vertical="center"/>
    </xf>
    <xf borderId="29" fillId="2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0" fillId="0" fontId="1" numFmtId="22" xfId="0" applyAlignment="1" applyFont="1" applyNumberFormat="1">
      <alignment horizontal="left" vertical="center"/>
    </xf>
    <xf borderId="0" fillId="0" fontId="13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3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33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21" fillId="0" fontId="1" numFmtId="0" xfId="0" applyAlignment="1" applyBorder="1" applyFon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4" fillId="6" fontId="1" numFmtId="0" xfId="0" applyAlignment="1" applyBorder="1" applyFill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4" fillId="8" fontId="1" numFmtId="0" xfId="0" applyAlignment="1" applyBorder="1" applyFill="1" applyFont="1">
      <alignment horizontal="center" vertical="center"/>
    </xf>
    <xf borderId="28" fillId="8" fontId="1" numFmtId="0" xfId="0" applyAlignment="1" applyBorder="1" applyFont="1">
      <alignment horizontal="center" vertical="center"/>
    </xf>
    <xf borderId="29" fillId="8" fontId="1" numFmtId="0" xfId="0" applyAlignment="1" applyBorder="1" applyFont="1">
      <alignment horizontal="center" vertical="center"/>
    </xf>
    <xf borderId="30" fillId="8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6" fillId="0" fontId="15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vertical="center"/>
    </xf>
    <xf borderId="6" fillId="0" fontId="16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18" fillId="0" fontId="12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20" fillId="0" fontId="17" numFmtId="0" xfId="0" applyAlignment="1" applyBorder="1" applyFont="1">
      <alignment horizontal="center" vertical="center"/>
    </xf>
    <xf borderId="19" fillId="0" fontId="17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18" fillId="0" fontId="19" numFmtId="0" xfId="0" applyAlignment="1" applyBorder="1" applyFont="1">
      <alignment horizontal="center" readingOrder="0" vertical="center"/>
    </xf>
    <xf borderId="18" fillId="0" fontId="14" numFmtId="0" xfId="0" applyAlignment="1" applyBorder="1" applyFont="1">
      <alignment horizontal="center" vertical="center"/>
    </xf>
    <xf borderId="25" fillId="0" fontId="12" numFmtId="0" xfId="0" applyAlignment="1" applyBorder="1" applyFont="1">
      <alignment horizontal="center" vertical="center"/>
    </xf>
    <xf borderId="26" fillId="0" fontId="15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center" vertical="center"/>
    </xf>
    <xf borderId="27" fillId="0" fontId="17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center" vertical="center"/>
    </xf>
    <xf borderId="25" fillId="0" fontId="12" numFmtId="0" xfId="0" applyAlignment="1" applyBorder="1" applyFont="1">
      <alignment horizontal="center" readingOrder="0" vertical="center"/>
    </xf>
    <xf borderId="25" fillId="0" fontId="14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shrinkToFit="0" vertical="center" wrapText="1"/>
    </xf>
    <xf borderId="27" fillId="0" fontId="20" numFmtId="0" xfId="0" applyAlignment="1" applyBorder="1" applyFont="1">
      <alignment horizontal="center" vertical="center"/>
    </xf>
    <xf borderId="25" fillId="0" fontId="10" numFmtId="0" xfId="0" applyAlignment="1" applyBorder="1" applyFont="1">
      <alignment horizontal="center" vertical="center"/>
    </xf>
    <xf borderId="26" fillId="0" fontId="14" numFmtId="0" xfId="0" applyAlignment="1" applyBorder="1" applyFont="1">
      <alignment horizontal="center" vertical="center"/>
    </xf>
    <xf borderId="27" fillId="0" fontId="14" numFmtId="0" xfId="0" applyAlignment="1" applyBorder="1" applyFont="1">
      <alignment horizontal="center" vertical="center"/>
    </xf>
    <xf borderId="26" fillId="0" fontId="21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6" fillId="0" fontId="13" numFmtId="0" xfId="0" applyAlignment="1" applyBorder="1" applyFont="1">
      <alignment horizontal="center" vertical="center"/>
    </xf>
    <xf borderId="27" fillId="0" fontId="13" numFmtId="0" xfId="0" applyAlignment="1" applyBorder="1" applyFont="1">
      <alignment horizontal="center" vertical="center"/>
    </xf>
    <xf borderId="25" fillId="0" fontId="22" numFmtId="0" xfId="0" applyAlignment="1" applyBorder="1" applyFont="1">
      <alignment horizontal="center" readingOrder="0" vertical="center"/>
    </xf>
    <xf borderId="25" fillId="0" fontId="23" numFmtId="0" xfId="0" applyAlignment="1" applyBorder="1" applyFont="1">
      <alignment horizontal="center" vertical="center"/>
    </xf>
    <xf borderId="25" fillId="0" fontId="13" numFmtId="0" xfId="0" applyAlignment="1" applyBorder="1" applyFont="1">
      <alignment horizontal="center" vertical="center"/>
    </xf>
    <xf borderId="27" fillId="0" fontId="24" numFmtId="0" xfId="0" applyAlignment="1" applyBorder="1" applyFont="1">
      <alignment horizontal="center" vertical="center"/>
    </xf>
    <xf borderId="26" fillId="0" fontId="24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25" fillId="0" fontId="19" numFmtId="0" xfId="0" applyAlignment="1" applyBorder="1" applyFont="1">
      <alignment horizontal="center" readingOrder="0" vertical="center"/>
    </xf>
    <xf borderId="24" fillId="0" fontId="12" numFmtId="0" xfId="0" applyAlignment="1" applyBorder="1" applyFont="1">
      <alignment horizontal="center" vertical="center"/>
    </xf>
    <xf borderId="23" fillId="0" fontId="12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4" fillId="0" fontId="24" numFmtId="0" xfId="0" applyAlignment="1" applyBorder="1" applyFont="1">
      <alignment horizontal="center" vertical="center"/>
    </xf>
    <xf borderId="23" fillId="0" fontId="24" numFmtId="0" xfId="0" applyAlignment="1" applyBorder="1" applyFont="1">
      <alignment horizontal="center" vertical="center"/>
    </xf>
    <xf borderId="22" fillId="0" fontId="19" numFmtId="0" xfId="0" applyAlignment="1" applyBorder="1" applyFont="1">
      <alignment horizontal="center" readingOrder="0" vertical="center"/>
    </xf>
    <xf borderId="22" fillId="0" fontId="14" numFmtId="0" xfId="0" applyAlignment="1" applyBorder="1" applyFont="1">
      <alignment horizontal="center" vertical="center"/>
    </xf>
    <xf borderId="21" fillId="0" fontId="12" numFmtId="0" xfId="0" applyAlignment="1" applyBorder="1" applyFon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  <xf borderId="31" fillId="9" fontId="1" numFmtId="0" xfId="0" applyAlignment="1" applyBorder="1" applyFill="1" applyFont="1">
      <alignment horizontal="center" vertical="center"/>
    </xf>
    <xf borderId="0" fillId="0" fontId="14" numFmtId="0" xfId="0" applyAlignment="1" applyFont="1">
      <alignment horizontal="left" vertical="center"/>
    </xf>
    <xf borderId="4" fillId="10" fontId="1" numFmtId="0" xfId="0" applyAlignment="1" applyBorder="1" applyFill="1" applyFont="1">
      <alignment horizontal="center" vertical="center"/>
    </xf>
    <xf borderId="31" fillId="9" fontId="12" numFmtId="0" xfId="0" applyAlignment="1" applyBorder="1" applyFont="1">
      <alignment horizontal="center" vertical="center"/>
    </xf>
    <xf borderId="4" fillId="9" fontId="12" numFmtId="0" xfId="0" applyAlignment="1" applyBorder="1" applyFont="1">
      <alignment horizontal="center" vertical="center"/>
    </xf>
    <xf borderId="33" fillId="9" fontId="1" numFmtId="0" xfId="0" applyAlignment="1" applyBorder="1" applyFont="1">
      <alignment horizontal="center" vertical="center"/>
    </xf>
    <xf borderId="19" fillId="0" fontId="12" numFmtId="0" xfId="0" applyAlignment="1" applyBorder="1" applyFont="1">
      <alignment horizontal="left" vertical="center"/>
    </xf>
    <xf borderId="20" fillId="0" fontId="16" numFmtId="0" xfId="0" applyAlignment="1" applyBorder="1" applyFont="1">
      <alignment horizontal="left" vertical="center"/>
    </xf>
    <xf borderId="0" fillId="0" fontId="26" numFmtId="0" xfId="0" applyAlignment="1" applyFont="1">
      <alignment vertical="center"/>
    </xf>
    <xf borderId="20" fillId="0" fontId="14" numFmtId="0" xfId="0" applyAlignment="1" applyBorder="1" applyFont="1">
      <alignment horizontal="center" vertical="center"/>
    </xf>
    <xf borderId="4" fillId="9" fontId="1" numFmtId="0" xfId="0" applyAlignment="1" applyBorder="1" applyFont="1">
      <alignment horizontal="center" vertical="center"/>
    </xf>
    <xf borderId="33" fillId="9" fontId="14" numFmtId="0" xfId="0" applyAlignment="1" applyBorder="1" applyFont="1">
      <alignment horizontal="center" vertical="center"/>
    </xf>
    <xf borderId="19" fillId="0" fontId="14" numFmtId="0" xfId="0" applyAlignment="1" applyBorder="1" applyFont="1">
      <alignment horizontal="center" vertical="center"/>
    </xf>
    <xf borderId="18" fillId="0" fontId="24" numFmtId="0" xfId="0" applyAlignment="1" applyBorder="1" applyFont="1">
      <alignment horizontal="center" vertical="center"/>
    </xf>
    <xf borderId="31" fillId="9" fontId="10" numFmtId="0" xfId="0" applyAlignment="1" applyBorder="1" applyFont="1">
      <alignment horizontal="center" vertical="center"/>
    </xf>
    <xf borderId="34" fillId="9" fontId="12" numFmtId="0" xfId="0" applyAlignment="1" applyBorder="1" applyFont="1">
      <alignment horizontal="center" vertical="center"/>
    </xf>
    <xf borderId="25" fillId="0" fontId="24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23" fillId="0" fontId="15" numFmtId="0" xfId="0" applyAlignment="1" applyBorder="1" applyFont="1">
      <alignment horizontal="center" vertical="center"/>
    </xf>
    <xf borderId="21" fillId="0" fontId="24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vertical="center"/>
    </xf>
    <xf borderId="8" fillId="0" fontId="16" numFmtId="0" xfId="0" applyAlignment="1" applyBorder="1" applyFont="1">
      <alignment horizontal="center" vertical="center"/>
    </xf>
    <xf borderId="7" fillId="0" fontId="16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25" fillId="0" fontId="17" numFmtId="0" xfId="0" applyAlignment="1" applyBorder="1" applyFont="1">
      <alignment horizontal="center" vertical="center"/>
    </xf>
    <xf borderId="18" fillId="0" fontId="17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 vertical="center"/>
    </xf>
    <xf borderId="23" fillId="0" fontId="14" numFmtId="0" xfId="0" applyAlignment="1" applyBorder="1" applyFont="1">
      <alignment horizontal="center" vertical="center"/>
    </xf>
    <xf borderId="21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15.png"/><Relationship Id="rId15" Type="http://schemas.openxmlformats.org/officeDocument/2006/relationships/image" Target="../media/image14.jpg"/><Relationship Id="rId14" Type="http://schemas.openxmlformats.org/officeDocument/2006/relationships/image" Target="../media/image13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85725</xdr:colOff>
      <xdr:row>55</xdr:row>
      <xdr:rowOff>66675</xdr:rowOff>
    </xdr:from>
    <xdr:ext cx="238125" cy="2286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55</xdr:row>
      <xdr:rowOff>38100</xdr:rowOff>
    </xdr:from>
    <xdr:ext cx="257175" cy="2857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114300</xdr:colOff>
      <xdr:row>55</xdr:row>
      <xdr:rowOff>38100</xdr:rowOff>
    </xdr:from>
    <xdr:ext cx="266700" cy="2952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47</xdr:row>
      <xdr:rowOff>76200</xdr:rowOff>
    </xdr:from>
    <xdr:ext cx="1743075" cy="6096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28575</xdr:rowOff>
    </xdr:from>
    <xdr:ext cx="2219325" cy="5429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123825</xdr:colOff>
      <xdr:row>56</xdr:row>
      <xdr:rowOff>95250</xdr:rowOff>
    </xdr:from>
    <xdr:ext cx="238125" cy="285750"/>
    <xdr:pic>
      <xdr:nvPicPr>
        <xdr:cNvPr descr="ë§ì"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133350</xdr:colOff>
      <xdr:row>56</xdr:row>
      <xdr:rowOff>95250</xdr:rowOff>
    </xdr:from>
    <xdr:ext cx="257175" cy="30480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57150</xdr:colOff>
      <xdr:row>55</xdr:row>
      <xdr:rowOff>0</xdr:rowOff>
    </xdr:from>
    <xdr:ext cx="333375" cy="352425"/>
    <xdr:pic>
      <xdr:nvPicPr>
        <xdr:cNvPr descr="íë¦¬ê³  ë¹"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55</xdr:row>
      <xdr:rowOff>0</xdr:rowOff>
    </xdr:from>
    <xdr:ext cx="352425" cy="352425"/>
    <xdr:pic>
      <xdr:nvPicPr>
        <xdr:cNvPr descr="êµ¬ë¦ë§ì"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85725</xdr:colOff>
      <xdr:row>53</xdr:row>
      <xdr:rowOff>114300</xdr:rowOff>
    </xdr:from>
    <xdr:ext cx="342900" cy="352425"/>
    <xdr:pic>
      <xdr:nvPicPr>
        <xdr:cNvPr descr="ë§ì"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114300</xdr:colOff>
      <xdr:row>53</xdr:row>
      <xdr:rowOff>114300</xdr:rowOff>
    </xdr:from>
    <xdr:ext cx="333375" cy="361950"/>
    <xdr:pic>
      <xdr:nvPicPr>
        <xdr:cNvPr descr="구름많고 비/눈"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28575</xdr:colOff>
      <xdr:row>53</xdr:row>
      <xdr:rowOff>104775</xdr:rowOff>
    </xdr:from>
    <xdr:ext cx="323850" cy="361950"/>
    <xdr:pic>
      <xdr:nvPicPr>
        <xdr:cNvPr descr="눈"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76200</xdr:colOff>
      <xdr:row>54</xdr:row>
      <xdr:rowOff>9525</xdr:rowOff>
    </xdr:from>
    <xdr:ext cx="323850" cy="352425"/>
    <xdr:pic>
      <xdr:nvPicPr>
        <xdr:cNvPr descr="가끔 비, 한때 비"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866775</xdr:colOff>
      <xdr:row>52</xdr:row>
      <xdr:rowOff>114300</xdr:rowOff>
    </xdr:from>
    <xdr:ext cx="285750" cy="2857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857250</xdr:colOff>
      <xdr:row>78</xdr:row>
      <xdr:rowOff>104775</xdr:rowOff>
    </xdr:from>
    <xdr:ext cx="285750" cy="2857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933450</xdr:colOff>
      <xdr:row>103</xdr:row>
      <xdr:rowOff>9525</xdr:rowOff>
    </xdr:from>
    <xdr:ext cx="123825" cy="2286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55</xdr:row>
      <xdr:rowOff>0</xdr:rowOff>
    </xdr:from>
    <xdr:ext cx="228600" cy="22860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55</xdr:row>
      <xdr:rowOff>0</xdr:rowOff>
    </xdr:from>
    <xdr:ext cx="200025" cy="200025"/>
    <xdr:pic>
      <xdr:nvPicPr>
        <xdr:cNvPr id="0" name="image1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38"/>
    <col customWidth="1" min="2" max="2" width="7.13"/>
    <col customWidth="1" min="3" max="3" width="0.38"/>
    <col customWidth="1" min="4" max="4" width="13.75"/>
    <col customWidth="1" min="5" max="6" width="0.38"/>
    <col customWidth="1" min="7" max="7" width="13.75"/>
    <col customWidth="1" min="8" max="9" width="0.38"/>
    <col customWidth="1" min="10" max="10" width="13.75"/>
    <col customWidth="1" min="11" max="12" width="0.38"/>
    <col customWidth="1" min="13" max="13" width="13.75"/>
    <col customWidth="1" min="14" max="15" width="0.38"/>
    <col customWidth="1" min="16" max="16" width="13.75"/>
    <col customWidth="1" min="17" max="17" width="0.38"/>
    <col customWidth="1" min="18" max="18" width="3.88"/>
    <col customWidth="1" min="19" max="22" width="2.63"/>
    <col customWidth="1" min="23" max="23" width="1.0"/>
    <col customWidth="1" min="24" max="27" width="2.63"/>
    <col customWidth="1" min="28" max="28" width="2.5"/>
    <col customWidth="1" min="29" max="29" width="1.88"/>
    <col customWidth="1" min="30" max="31" width="0.38"/>
    <col customWidth="1" min="32" max="32" width="2.13"/>
    <col customWidth="1" min="33" max="34" width="0.38"/>
    <col customWidth="1" min="35" max="35" width="2.13"/>
    <col customWidth="1" min="36" max="37" width="0.38"/>
    <col customWidth="1" min="38" max="38" width="3.75"/>
    <col customWidth="1" min="39" max="40" width="0.38"/>
    <col customWidth="1" min="41" max="48" width="3.88"/>
    <col customWidth="1" min="49" max="49" width="4.5"/>
    <col customWidth="1" min="50" max="51" width="17.0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ht="42.0" customHeight="1">
      <c r="A5" s="1"/>
      <c r="B5" s="2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1"/>
      <c r="R5" s="1"/>
      <c r="S5" s="1"/>
      <c r="T5" s="1"/>
      <c r="U5" s="1"/>
      <c r="V5" s="1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ht="27.75" customHeight="1">
      <c r="A7" s="1"/>
      <c r="B7" s="5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ht="20.25" customHeight="1">
      <c r="A9" s="1"/>
      <c r="B9" s="6" t="s">
        <v>2</v>
      </c>
      <c r="C9" s="7"/>
      <c r="D9" s="8" t="s">
        <v>3</v>
      </c>
      <c r="E9" s="9"/>
      <c r="F9" s="9"/>
      <c r="G9" s="9"/>
      <c r="H9" s="9"/>
      <c r="I9" s="10"/>
      <c r="J9" s="6" t="s">
        <v>4</v>
      </c>
      <c r="K9" s="8" t="s">
        <v>5</v>
      </c>
      <c r="L9" s="9"/>
      <c r="M9" s="10"/>
      <c r="N9" s="8" t="s">
        <v>6</v>
      </c>
      <c r="O9" s="9"/>
      <c r="P9" s="10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ht="16.5" customHeight="1">
      <c r="A10" s="1"/>
      <c r="B10" s="6" t="s">
        <v>7</v>
      </c>
      <c r="C10" s="11"/>
      <c r="D10" s="8" t="s">
        <v>8</v>
      </c>
      <c r="E10" s="9"/>
      <c r="F10" s="9"/>
      <c r="G10" s="9"/>
      <c r="H10" s="9"/>
      <c r="I10" s="10"/>
      <c r="J10" s="6">
        <v>32.0</v>
      </c>
      <c r="K10" s="8" t="s">
        <v>9</v>
      </c>
      <c r="L10" s="9"/>
      <c r="M10" s="10"/>
      <c r="N10" s="8">
        <v>3.0</v>
      </c>
      <c r="O10" s="9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ht="16.5" customHeight="1">
      <c r="A11" s="1"/>
      <c r="B11" s="6"/>
      <c r="C11" s="11"/>
      <c r="D11" s="8"/>
      <c r="E11" s="9"/>
      <c r="F11" s="9"/>
      <c r="G11" s="9"/>
      <c r="H11" s="9"/>
      <c r="I11" s="10"/>
      <c r="J11" s="6"/>
      <c r="K11" s="8"/>
      <c r="L11" s="9"/>
      <c r="M11" s="10"/>
      <c r="N11" s="8"/>
      <c r="O11" s="9"/>
      <c r="P11" s="1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ht="16.5" customHeight="1">
      <c r="A12" s="1"/>
      <c r="B12" s="6"/>
      <c r="C12" s="11"/>
      <c r="D12" s="8"/>
      <c r="E12" s="9"/>
      <c r="F12" s="9"/>
      <c r="G12" s="9"/>
      <c r="H12" s="9"/>
      <c r="I12" s="10"/>
      <c r="J12" s="6"/>
      <c r="K12" s="8"/>
      <c r="L12" s="9"/>
      <c r="M12" s="10"/>
      <c r="N12" s="8"/>
      <c r="O12" s="9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ht="16.5" customHeight="1">
      <c r="A13" s="1"/>
      <c r="B13" s="6"/>
      <c r="C13" s="11"/>
      <c r="D13" s="8"/>
      <c r="E13" s="9"/>
      <c r="F13" s="9"/>
      <c r="G13" s="9"/>
      <c r="H13" s="9"/>
      <c r="I13" s="10"/>
      <c r="J13" s="6"/>
      <c r="K13" s="8"/>
      <c r="L13" s="9"/>
      <c r="M13" s="10"/>
      <c r="N13" s="8"/>
      <c r="O13" s="9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ht="16.5" customHeight="1">
      <c r="A14" s="1"/>
      <c r="B14" s="6"/>
      <c r="C14" s="11"/>
      <c r="D14" s="8"/>
      <c r="E14" s="9"/>
      <c r="F14" s="9"/>
      <c r="G14" s="9"/>
      <c r="H14" s="9"/>
      <c r="I14" s="10"/>
      <c r="J14" s="6"/>
      <c r="K14" s="8"/>
      <c r="L14" s="9"/>
      <c r="M14" s="10"/>
      <c r="N14" s="8"/>
      <c r="O14" s="9"/>
      <c r="P14" s="10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ht="16.5" customHeight="1">
      <c r="A15" s="1"/>
      <c r="B15" s="6"/>
      <c r="C15" s="11"/>
      <c r="D15" s="8"/>
      <c r="E15" s="9"/>
      <c r="F15" s="9"/>
      <c r="G15" s="9"/>
      <c r="H15" s="9"/>
      <c r="I15" s="10"/>
      <c r="J15" s="6"/>
      <c r="K15" s="8"/>
      <c r="L15" s="9"/>
      <c r="M15" s="10"/>
      <c r="N15" s="8"/>
      <c r="O15" s="9"/>
      <c r="P15" s="1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ht="16.5" customHeight="1">
      <c r="A16" s="1"/>
      <c r="B16" s="6"/>
      <c r="C16" s="11"/>
      <c r="D16" s="8"/>
      <c r="E16" s="9"/>
      <c r="F16" s="9"/>
      <c r="G16" s="9"/>
      <c r="H16" s="9"/>
      <c r="I16" s="10"/>
      <c r="J16" s="6"/>
      <c r="K16" s="8"/>
      <c r="L16" s="9"/>
      <c r="M16" s="10"/>
      <c r="N16" s="8"/>
      <c r="O16" s="9"/>
      <c r="P16" s="1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ht="16.5" customHeight="1">
      <c r="A17" s="1"/>
      <c r="B17" s="6"/>
      <c r="C17" s="11"/>
      <c r="D17" s="8"/>
      <c r="E17" s="9"/>
      <c r="F17" s="9"/>
      <c r="G17" s="9"/>
      <c r="H17" s="9"/>
      <c r="I17" s="10"/>
      <c r="J17" s="6"/>
      <c r="K17" s="8"/>
      <c r="L17" s="9"/>
      <c r="M17" s="10"/>
      <c r="N17" s="8"/>
      <c r="O17" s="9"/>
      <c r="P17" s="1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ht="16.5" customHeight="1">
      <c r="A18" s="1"/>
      <c r="B18" s="12"/>
      <c r="C18" s="13"/>
      <c r="D18" s="14"/>
      <c r="E18" s="15"/>
      <c r="F18" s="15"/>
      <c r="G18" s="15"/>
      <c r="H18" s="15"/>
      <c r="I18" s="16"/>
      <c r="J18" s="12"/>
      <c r="K18" s="14"/>
      <c r="L18" s="15"/>
      <c r="M18" s="16"/>
      <c r="N18" s="14"/>
      <c r="O18" s="15"/>
      <c r="P18" s="1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ht="16.5" customHeight="1">
      <c r="A19" s="1"/>
      <c r="B19" s="17" t="s">
        <v>10</v>
      </c>
      <c r="C19" s="18"/>
      <c r="D19" s="18"/>
      <c r="E19" s="19"/>
      <c r="F19" s="17" t="s">
        <v>11</v>
      </c>
      <c r="G19" s="18"/>
      <c r="H19" s="18"/>
      <c r="I19" s="19"/>
      <c r="J19" s="20">
        <f>SUM(J10:J18)</f>
        <v>32</v>
      </c>
      <c r="K19" s="17" t="s">
        <v>12</v>
      </c>
      <c r="L19" s="18"/>
      <c r="M19" s="19"/>
      <c r="N19" s="21">
        <f>(J10*N10+J11*N11+J12*N12+J13*N13+J14*N14+J15*N15+J16*N16+J17*N17+J18*N18)</f>
        <v>96</v>
      </c>
      <c r="O19" s="18"/>
      <c r="P19" s="1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ht="10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ht="17.25" customHeight="1">
      <c r="A21" s="22"/>
      <c r="B21" s="23" t="s">
        <v>5</v>
      </c>
      <c r="C21" s="24"/>
      <c r="D21" s="25" t="s">
        <v>13</v>
      </c>
      <c r="E21" s="9"/>
      <c r="F21" s="9"/>
      <c r="G21" s="9"/>
      <c r="H21" s="9"/>
      <c r="I21" s="9"/>
      <c r="J21" s="10"/>
      <c r="K21" s="26" t="s">
        <v>14</v>
      </c>
      <c r="L21" s="9"/>
      <c r="M21" s="9"/>
      <c r="N21" s="9"/>
      <c r="O21" s="9"/>
      <c r="P21" s="10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</row>
    <row r="22" ht="17.25" customHeight="1">
      <c r="A22" s="22"/>
      <c r="B22" s="23" t="s">
        <v>15</v>
      </c>
      <c r="C22" s="27"/>
      <c r="D22" s="28" t="s">
        <v>16</v>
      </c>
      <c r="E22" s="29"/>
      <c r="F22" s="29"/>
      <c r="G22" s="29"/>
      <c r="H22" s="29"/>
      <c r="I22" s="29"/>
      <c r="J22" s="29"/>
      <c r="K22" s="29"/>
      <c r="L22" s="29"/>
      <c r="M22" s="30"/>
      <c r="N22" s="28" t="str">
        <f>(LEN(D22)/4)+(LEN(D23)/4)&amp;"명"</f>
        <v>24명</v>
      </c>
      <c r="O22" s="29"/>
      <c r="P22" s="30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</row>
    <row r="23" ht="17.25" customHeight="1">
      <c r="A23" s="22"/>
      <c r="B23" s="31"/>
      <c r="C23" s="27"/>
      <c r="D23" s="32" t="s">
        <v>17</v>
      </c>
      <c r="E23" s="33"/>
      <c r="F23" s="33"/>
      <c r="G23" s="33"/>
      <c r="H23" s="33"/>
      <c r="I23" s="33"/>
      <c r="J23" s="33"/>
      <c r="K23" s="33"/>
      <c r="L23" s="33"/>
      <c r="M23" s="34"/>
      <c r="N23" s="35"/>
      <c r="O23" s="33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</row>
    <row r="24" ht="17.25" customHeight="1">
      <c r="A24" s="22"/>
      <c r="B24" s="23" t="s">
        <v>18</v>
      </c>
      <c r="C24" s="36"/>
      <c r="D24" s="37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ht="17.25" customHeight="1">
      <c r="A25" s="22"/>
      <c r="B25" s="38"/>
      <c r="C25" s="36"/>
      <c r="D25" s="37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</row>
    <row r="26" ht="17.25" customHeight="1">
      <c r="A26" s="22"/>
      <c r="B26" s="31"/>
      <c r="C26" s="39"/>
      <c r="D26" s="37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 ht="4.5" customHeight="1">
      <c r="A27" s="22"/>
      <c r="B27" s="27"/>
      <c r="C27" s="2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</row>
    <row r="28" ht="17.25" customHeight="1">
      <c r="A28" s="22"/>
      <c r="B28" s="23" t="s">
        <v>22</v>
      </c>
      <c r="C28" s="41"/>
      <c r="D28" s="42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ht="17.25" customHeight="1">
      <c r="A29" s="22"/>
      <c r="B29" s="38"/>
      <c r="C29" s="27"/>
      <c r="D29" s="42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</row>
    <row r="30" ht="17.25" customHeight="1">
      <c r="A30" s="22"/>
      <c r="B30" s="31"/>
      <c r="C30" s="43"/>
      <c r="D30" s="42" t="s">
        <v>25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</row>
    <row r="31" ht="5.25" customHeight="1">
      <c r="A31" s="22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</row>
    <row r="32" ht="11.25" customHeight="1">
      <c r="A32" s="1"/>
      <c r="B32" s="44" t="s">
        <v>26</v>
      </c>
      <c r="C32" s="45"/>
      <c r="D32" s="46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ht="11.25" customHeight="1">
      <c r="A33" s="1"/>
      <c r="B33" s="38"/>
      <c r="C33" s="47"/>
      <c r="D33" s="35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ht="11.25" customHeight="1">
      <c r="A34" s="1"/>
      <c r="B34" s="38"/>
      <c r="C34" s="47"/>
      <c r="D34" s="46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ht="11.25" customHeight="1">
      <c r="A35" s="1"/>
      <c r="B35" s="38"/>
      <c r="C35" s="47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ht="11.25" customHeight="1">
      <c r="A36" s="1"/>
      <c r="B36" s="38"/>
      <c r="C36" s="47"/>
      <c r="D36" s="46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ht="11.25" customHeight="1">
      <c r="A37" s="1"/>
      <c r="B37" s="31"/>
      <c r="C37" s="48"/>
      <c r="D37" s="3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ht="4.5" customHeight="1">
      <c r="A38" s="1"/>
      <c r="B38" s="1"/>
      <c r="C38" s="1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ht="9.75" customHeight="1">
      <c r="A39" s="1"/>
      <c r="B39" s="50" t="s">
        <v>27</v>
      </c>
      <c r="C39" s="51"/>
      <c r="D39" s="46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ht="9.75" customHeight="1">
      <c r="A40" s="1"/>
      <c r="B40" s="38"/>
      <c r="C40" s="1"/>
      <c r="D40" s="52"/>
      <c r="P40" s="5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ht="9.75" customHeight="1">
      <c r="A41" s="1"/>
      <c r="B41" s="31"/>
      <c r="C41" s="1"/>
      <c r="D41" s="5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ht="9.75" customHeight="1">
      <c r="A42" s="1"/>
      <c r="B42" s="50" t="s">
        <v>28</v>
      </c>
      <c r="C42" s="1"/>
      <c r="D42" s="46" t="s">
        <v>29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ht="9.75" customHeight="1">
      <c r="A43" s="1"/>
      <c r="B43" s="38"/>
      <c r="C43" s="1"/>
      <c r="D43" s="52"/>
      <c r="P43" s="5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ht="9.75" customHeight="1">
      <c r="A44" s="1"/>
      <c r="B44" s="31"/>
      <c r="C44" s="1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ht="9.75" customHeight="1">
      <c r="A45" s="1"/>
      <c r="B45" s="50" t="s">
        <v>30</v>
      </c>
      <c r="C45" s="1"/>
      <c r="D45" s="46" t="s">
        <v>31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ht="9.75" customHeight="1">
      <c r="A46" s="1"/>
      <c r="B46" s="38"/>
      <c r="C46" s="1"/>
      <c r="D46" s="52" t="s">
        <v>32</v>
      </c>
      <c r="P46" s="5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ht="9.75" customHeight="1">
      <c r="A47" s="1"/>
      <c r="B47" s="31"/>
      <c r="C47" s="55"/>
      <c r="D47" s="5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ht="9.75" customHeight="1">
      <c r="A54" s="49"/>
      <c r="B54" s="56" t="s">
        <v>33</v>
      </c>
      <c r="C54" s="1"/>
      <c r="D54" s="57" t="s">
        <v>34</v>
      </c>
      <c r="E54" s="58"/>
      <c r="F54" s="58"/>
      <c r="G54" s="58" t="s">
        <v>35</v>
      </c>
      <c r="H54" s="59"/>
      <c r="I54" s="59"/>
      <c r="J54" s="59"/>
      <c r="K54" s="59"/>
      <c r="L54" s="59"/>
      <c r="M54" s="59"/>
      <c r="N54" s="59"/>
      <c r="O54" s="59"/>
      <c r="P54" s="60"/>
      <c r="Q54" s="49"/>
      <c r="R54" s="1" t="s">
        <v>36</v>
      </c>
      <c r="S54" s="61">
        <f>NOW()</f>
        <v>43884.85609</v>
      </c>
      <c r="Y54" s="49"/>
      <c r="Z54" s="49"/>
      <c r="AA54" s="49"/>
      <c r="AB54" s="49"/>
      <c r="AC54" s="62" t="str">
        <f>IFERROR(HLOOKUP("*장비체험*",D68:D71,2,0),"")</f>
        <v/>
      </c>
      <c r="AD54" s="62"/>
      <c r="AE54" s="62"/>
      <c r="AF54" s="62" t="str">
        <f>IFERROR(HLOOKUP("*장비체험*",G68:G71,2,0),"")</f>
        <v/>
      </c>
      <c r="AG54" s="62"/>
      <c r="AH54" s="62"/>
      <c r="AI54" s="62" t="str">
        <f>IFERROR(HLOOKUP("*장비체험*",J68:J71,2,0),"")</f>
        <v/>
      </c>
      <c r="AJ54" s="62"/>
      <c r="AK54" s="62"/>
      <c r="AL54" s="62" t="str">
        <f>IFERROR(HLOOKUP("*장비체험*",M68:M71,2,0),"")</f>
        <v/>
      </c>
      <c r="AM54" s="62"/>
      <c r="AN54" s="62"/>
      <c r="AO54" s="62" t="str">
        <f>IFERROR(HLOOKUP("*장비체험*",P68:P71,2,0),"")</f>
        <v/>
      </c>
      <c r="AP54" s="62"/>
      <c r="AQ54" s="62"/>
      <c r="AR54" s="62"/>
      <c r="AS54" s="62"/>
      <c r="AT54" s="49"/>
      <c r="AU54" s="49"/>
      <c r="AV54" s="49"/>
      <c r="AW54" s="49"/>
      <c r="AX54" s="49"/>
      <c r="AY54" s="49"/>
    </row>
    <row r="55" ht="1.5" customHeight="1">
      <c r="A55" s="49"/>
      <c r="B55" s="1"/>
      <c r="C55" s="1"/>
      <c r="D55" s="1"/>
      <c r="E55" s="1"/>
      <c r="F55" s="1"/>
      <c r="G55" s="1"/>
      <c r="H55" s="1"/>
      <c r="I55" s="49"/>
      <c r="J55" s="1"/>
      <c r="K55" s="1"/>
      <c r="L55" s="49"/>
      <c r="M55" s="1"/>
      <c r="N55" s="1"/>
      <c r="O55" s="49"/>
      <c r="P55" s="1"/>
      <c r="Q55" s="1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49"/>
      <c r="AU55" s="49"/>
      <c r="AV55" s="49"/>
      <c r="AW55" s="49"/>
      <c r="AX55" s="49"/>
      <c r="AY55" s="49"/>
    </row>
    <row r="56" ht="18.0" customHeight="1">
      <c r="A56" s="49"/>
      <c r="B56" s="63" t="s">
        <v>37</v>
      </c>
      <c r="C56" s="64"/>
      <c r="D56" s="65" t="s">
        <v>8</v>
      </c>
      <c r="E56" s="1"/>
      <c r="F56" s="1"/>
      <c r="G56" s="1" t="s">
        <v>38</v>
      </c>
      <c r="H56" s="1"/>
      <c r="I56" s="1"/>
      <c r="J56" s="1"/>
      <c r="K56" s="1"/>
      <c r="L56" s="49"/>
      <c r="M56" s="1"/>
      <c r="N56" s="1"/>
      <c r="O56" s="49"/>
      <c r="P56" s="1"/>
      <c r="Q56" s="66"/>
      <c r="R56" s="49"/>
      <c r="S56" s="49"/>
      <c r="T56" s="49"/>
      <c r="U56" s="49"/>
      <c r="V56" s="49"/>
      <c r="W56" s="49"/>
      <c r="X56" s="49"/>
      <c r="Y56" s="49"/>
      <c r="Z56" s="49"/>
      <c r="AB56" s="49"/>
      <c r="AC56" s="62" t="str">
        <f>IFERROR(HLOOKUP("*장비체험*",D73:D76,2,0),"")</f>
        <v/>
      </c>
      <c r="AD56" s="62"/>
      <c r="AE56" s="62"/>
      <c r="AG56" s="62"/>
      <c r="AH56" s="62"/>
      <c r="AI56" s="62" t="str">
        <f>IFERROR(HLOOKUP("*장비체험*",J73:J76,2,0),"")</f>
        <v/>
      </c>
      <c r="AJ56" s="62"/>
      <c r="AK56" s="62"/>
      <c r="AL56" s="62" t="str">
        <f>IFERROR(HLOOKUP("*장비체험*",M73:M76,2,0),"")</f>
        <v/>
      </c>
      <c r="AM56" s="62"/>
      <c r="AO56" s="62" t="str">
        <f>IFERROR(HLOOKUP("*장비체험*",P73:P76,2,0),"")</f>
        <v/>
      </c>
      <c r="AP56" s="62"/>
      <c r="AQ56" s="62"/>
      <c r="AR56" s="62"/>
      <c r="AS56" s="62"/>
      <c r="AT56" s="49"/>
      <c r="AU56" s="49"/>
      <c r="AV56" s="49"/>
      <c r="AW56" s="49"/>
      <c r="AX56" s="49"/>
      <c r="AY56" s="49"/>
    </row>
    <row r="57" ht="12.0" customHeight="1">
      <c r="A57" s="49"/>
      <c r="B57" s="67" t="s">
        <v>39</v>
      </c>
      <c r="C57" s="1"/>
      <c r="D57" s="67" t="s">
        <v>40</v>
      </c>
      <c r="E57" s="1"/>
      <c r="F57" s="1"/>
      <c r="G57" s="1"/>
      <c r="H57" s="1"/>
      <c r="I57" s="1"/>
      <c r="J57" s="1"/>
      <c r="K57" s="1"/>
      <c r="L57" s="49"/>
      <c r="M57" s="1"/>
      <c r="N57" s="1"/>
      <c r="O57" s="49"/>
      <c r="P57" s="1"/>
      <c r="Q57" s="66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62" t="str">
        <f>IFERROR(HLOOKUP("*장비체험*",D82:D85,2,0),"")</f>
        <v/>
      </c>
      <c r="AD57" s="62"/>
      <c r="AE57" s="62"/>
      <c r="AF57" s="62" t="str">
        <f>IFERROR(HLOOKUP("*장비체험*",G82:G85,2,0),"")</f>
        <v/>
      </c>
      <c r="AG57" s="62"/>
      <c r="AH57" s="62"/>
      <c r="AI57" s="62" t="str">
        <f>IFERROR(HLOOKUP("*장비체험*",J82:J85,2,0),"")</f>
        <v/>
      </c>
      <c r="AJ57" s="62"/>
      <c r="AK57" s="62"/>
      <c r="AL57" s="62" t="str">
        <f>IFERROR(HLOOKUP("*장비체험*",M82:M85,2,0),"")</f>
        <v/>
      </c>
      <c r="AM57" s="62"/>
      <c r="AN57" s="62"/>
      <c r="AO57" s="62" t="str">
        <f>IFERROR(HLOOKUP("*장비체험*",P82:P85,2,0),"")</f>
        <v/>
      </c>
      <c r="AP57" s="62"/>
      <c r="AQ57" s="62"/>
      <c r="AR57" s="62"/>
      <c r="AS57" s="62"/>
      <c r="AT57" s="49"/>
      <c r="AU57" s="49"/>
      <c r="AV57" s="49"/>
      <c r="AW57" s="49"/>
      <c r="AX57" s="49"/>
      <c r="AY57" s="49"/>
    </row>
    <row r="58" ht="12.0" customHeight="1">
      <c r="A58" s="49"/>
      <c r="B58" s="67" t="s">
        <v>41</v>
      </c>
      <c r="C58" s="1"/>
      <c r="D58" s="67" t="s">
        <v>42</v>
      </c>
      <c r="E58" s="1"/>
      <c r="F58" s="1"/>
      <c r="G58" s="1"/>
      <c r="H58" s="1"/>
      <c r="I58" s="1"/>
      <c r="J58" s="1"/>
      <c r="K58" s="1"/>
      <c r="L58" s="49"/>
      <c r="M58" s="1"/>
      <c r="N58" s="1"/>
      <c r="O58" s="49"/>
      <c r="P58" s="1"/>
      <c r="Q58" s="66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62" t="str">
        <f>IFERROR(HLOOKUP("*장비체험*",D87:D90,2,0),"")</f>
        <v/>
      </c>
      <c r="AD58" s="62"/>
      <c r="AE58" s="62"/>
      <c r="AF58" s="62" t="str">
        <f>IFERROR(HLOOKUP("*장비체험*",G87:G90,2,0),"")</f>
        <v/>
      </c>
      <c r="AG58" s="62"/>
      <c r="AH58" s="62"/>
      <c r="AI58" s="62" t="str">
        <f>IFERROR(HLOOKUP("*장비체험*",J87:J90,2,0),"")</f>
        <v/>
      </c>
      <c r="AJ58" s="62"/>
      <c r="AK58" s="62"/>
      <c r="AL58" s="62" t="str">
        <f>IFERROR(HLOOKUP("*장비체험*",M87:M90,2,0),"")</f>
        <v/>
      </c>
      <c r="AM58" s="62"/>
      <c r="AN58" s="62"/>
      <c r="AO58" s="62" t="str">
        <f>IFERROR(HLOOKUP("*장비체험*",P87:P90,2,0),"")</f>
        <v/>
      </c>
      <c r="AP58" s="62"/>
      <c r="AQ58" s="62"/>
      <c r="AR58" s="62"/>
      <c r="AS58" s="62"/>
      <c r="AT58" s="49"/>
      <c r="AU58" s="49"/>
      <c r="AV58" s="49"/>
      <c r="AW58" s="49"/>
      <c r="AX58" s="49"/>
      <c r="AY58" s="49"/>
    </row>
    <row r="59" ht="12.0" customHeight="1">
      <c r="A59" s="49"/>
      <c r="B59" s="67" t="s">
        <v>43</v>
      </c>
      <c r="C59" s="1"/>
      <c r="D59" s="67" t="s">
        <v>44</v>
      </c>
      <c r="E59" s="1"/>
      <c r="F59" s="1"/>
      <c r="G59" s="1"/>
      <c r="H59" s="1"/>
      <c r="I59" s="1"/>
      <c r="J59" s="1"/>
      <c r="K59" s="1"/>
      <c r="L59" s="49"/>
      <c r="M59" s="1"/>
      <c r="N59" s="1"/>
      <c r="O59" s="49"/>
      <c r="P59" s="1"/>
      <c r="Q59" s="66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62" t="str">
        <f>IFERROR(HLOOKUP("*장비체험*",D92:D95,2,0),"")</f>
        <v/>
      </c>
      <c r="AD59" s="62"/>
      <c r="AE59" s="62"/>
      <c r="AF59" s="62" t="str">
        <f>IFERROR(HLOOKUP("*장비체험*",G92:G95,2,0),"")</f>
        <v/>
      </c>
      <c r="AG59" s="62"/>
      <c r="AH59" s="62"/>
      <c r="AI59" s="62" t="str">
        <f>IFERROR(HLOOKUP("*장비체험*",J92:J95,2,0),"")</f>
        <v/>
      </c>
      <c r="AJ59" s="62"/>
      <c r="AK59" s="62"/>
      <c r="AL59" s="62" t="str">
        <f>IFERROR(HLOOKUP("*장비체험*",M92:M95,2,0),"")</f>
        <v/>
      </c>
      <c r="AM59" s="62"/>
      <c r="AN59" s="62"/>
      <c r="AO59" s="62" t="str">
        <f>IFERROR(HLOOKUP("*장비체험*",P92:P95,2,0),"")</f>
        <v/>
      </c>
      <c r="AP59" s="62"/>
      <c r="AQ59" s="62"/>
      <c r="AR59" s="62"/>
      <c r="AS59" s="62"/>
      <c r="AT59" s="49"/>
      <c r="AU59" s="49"/>
      <c r="AV59" s="49"/>
      <c r="AW59" s="49"/>
      <c r="AX59" s="49"/>
      <c r="AY59" s="49"/>
    </row>
    <row r="60" ht="12.0" customHeight="1">
      <c r="A60" s="49"/>
      <c r="B60" s="67"/>
      <c r="C60" s="1"/>
      <c r="D60" s="67" t="s">
        <v>45</v>
      </c>
      <c r="E60" s="1"/>
      <c r="F60" s="1"/>
      <c r="G60" s="1"/>
      <c r="H60" s="1"/>
      <c r="I60" s="1"/>
      <c r="J60" s="1"/>
      <c r="K60" s="1"/>
      <c r="L60" s="49"/>
      <c r="M60" s="1"/>
      <c r="N60" s="1"/>
      <c r="O60" s="49"/>
      <c r="P60" s="1"/>
      <c r="Q60" s="66"/>
      <c r="R60" s="49"/>
      <c r="S60" s="49"/>
      <c r="T60" s="49"/>
      <c r="U60" s="49"/>
      <c r="V60" s="49"/>
      <c r="W60" s="49"/>
      <c r="X60" s="49"/>
      <c r="Y60" s="49"/>
      <c r="Z60" s="49"/>
      <c r="AB60" s="49"/>
      <c r="AC60" s="62" t="str">
        <f>IFERROR(HLOOKUP("*장비체험*",D97:D100,2,0),"")</f>
        <v/>
      </c>
      <c r="AD60" s="62"/>
      <c r="AE60" s="62"/>
      <c r="AF60" s="62" t="str">
        <f>IFERROR(HLOOKUP("*장비체험*",G97:G100,2,0),"")</f>
        <v/>
      </c>
      <c r="AG60" s="62"/>
      <c r="AH60" s="62"/>
      <c r="AI60" s="62" t="str">
        <f>IFERROR(HLOOKUP("*장비체험*",J97:J100,2,0),"")</f>
        <v/>
      </c>
      <c r="AJ60" s="62"/>
      <c r="AK60" s="62"/>
      <c r="AL60" s="62" t="str">
        <f>IFERROR(HLOOKUP("*장비체험*",M97:M100,2,0),"")</f>
        <v/>
      </c>
      <c r="AM60" s="62"/>
      <c r="AN60" s="62"/>
      <c r="AO60" s="62" t="str">
        <f>IFERROR(HLOOKUP("*장비체험*",P97:P100,2,0),"")</f>
        <v/>
      </c>
      <c r="AP60" s="62"/>
      <c r="AQ60" s="62"/>
      <c r="AR60" s="62"/>
      <c r="AS60" s="62"/>
      <c r="AT60" s="49"/>
      <c r="AU60" s="49"/>
      <c r="AV60" s="49"/>
      <c r="AW60" s="49"/>
      <c r="AX60" s="49"/>
      <c r="AY60" s="49"/>
    </row>
    <row r="61" ht="12.0" customHeight="1">
      <c r="A61" s="49"/>
      <c r="B61" s="50" t="s">
        <v>46</v>
      </c>
      <c r="C61" s="1"/>
      <c r="D61" s="67" t="s">
        <v>47</v>
      </c>
      <c r="E61" s="1"/>
      <c r="F61" s="1"/>
      <c r="G61" s="1"/>
      <c r="H61" s="1"/>
      <c r="I61" s="1"/>
      <c r="J61" s="1"/>
      <c r="K61" s="1"/>
      <c r="L61" s="49"/>
      <c r="M61" s="1"/>
      <c r="N61" s="1"/>
      <c r="O61" s="49"/>
      <c r="P61" s="1"/>
      <c r="Q61" s="66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62" t="str">
        <f>IFERROR(HLOOKUP("*장비체험*",D106:D109,2,0),"")</f>
        <v/>
      </c>
      <c r="AD61" s="62"/>
      <c r="AE61" s="62"/>
      <c r="AF61" s="62" t="str">
        <f>IFERROR(HLOOKUP("*장비체험*",G106:G109,2,0),"")</f>
        <v/>
      </c>
      <c r="AG61" s="62"/>
      <c r="AH61" s="62"/>
      <c r="AI61" s="62" t="str">
        <f>IFERROR(HLOOKUP("*장비체험*",J106:J109,2,0),"")</f>
        <v/>
      </c>
      <c r="AJ61" s="62"/>
      <c r="AK61" s="62"/>
      <c r="AL61" s="62" t="str">
        <f>IFERROR(HLOOKUP("*장비체험*",M106:M109,2,0),"")</f>
        <v/>
      </c>
      <c r="AM61" s="62"/>
      <c r="AN61" s="62"/>
      <c r="AO61" s="62" t="str">
        <f>IFERROR(HLOOKUP("*장비체험*",P106:P109,2,0),"")</f>
        <v/>
      </c>
      <c r="AP61" s="62"/>
      <c r="AQ61" s="62"/>
      <c r="AR61" s="62"/>
      <c r="AS61" s="62"/>
      <c r="AT61" s="49"/>
      <c r="AU61" s="49"/>
      <c r="AV61" s="49"/>
      <c r="AW61" s="49"/>
      <c r="AX61" s="49"/>
      <c r="AY61" s="49"/>
    </row>
    <row r="62" ht="12.0" customHeight="1">
      <c r="A62" s="49"/>
      <c r="B62" s="31"/>
      <c r="C62" s="1"/>
      <c r="D62" s="67" t="s">
        <v>48</v>
      </c>
      <c r="E62" s="1"/>
      <c r="F62" s="1"/>
      <c r="G62" s="1"/>
      <c r="H62" s="1"/>
      <c r="I62" s="1"/>
      <c r="J62" s="1"/>
      <c r="K62" s="1"/>
      <c r="L62" s="49"/>
      <c r="M62" s="1"/>
      <c r="N62" s="1"/>
      <c r="O62" s="49"/>
      <c r="P62" s="1"/>
      <c r="Q62" s="66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62" t="str">
        <f>IFERROR(HLOOKUP("*장비체험*",D111:D114,2,0),"")</f>
        <v/>
      </c>
      <c r="AD62" s="62"/>
      <c r="AE62" s="62"/>
      <c r="AF62" s="62" t="str">
        <f>IFERROR(HLOOKUP("*장비체험*",G111:G114,2,0),"")</f>
        <v/>
      </c>
      <c r="AG62" s="62"/>
      <c r="AH62" s="62"/>
      <c r="AI62" s="62" t="str">
        <f>IFERROR(HLOOKUP("*장비체험*",J111:J114,2,0),"")</f>
        <v/>
      </c>
      <c r="AJ62" s="62"/>
      <c r="AK62" s="62"/>
      <c r="AL62" s="62" t="str">
        <f>IFERROR(HLOOKUP("*장비체험*",M111:M114,2,0),"")</f>
        <v/>
      </c>
      <c r="AM62" s="62"/>
      <c r="AN62" s="62"/>
      <c r="AO62" s="62" t="str">
        <f>IFERROR(HLOOKUP("*장비체험*",P111:P114,2,0),"")</f>
        <v/>
      </c>
      <c r="AP62" s="62"/>
      <c r="AQ62" s="62"/>
      <c r="AR62" s="62"/>
      <c r="AS62" s="62"/>
      <c r="AT62" s="49"/>
      <c r="AU62" s="49"/>
      <c r="AV62" s="49"/>
      <c r="AW62" s="49"/>
      <c r="AX62" s="49"/>
      <c r="AY62" s="49"/>
    </row>
    <row r="63" ht="1.5" customHeight="1">
      <c r="A63" s="49"/>
      <c r="B63" s="1"/>
      <c r="C63" s="1"/>
      <c r="D63" s="1"/>
      <c r="E63" s="1"/>
      <c r="F63" s="1"/>
      <c r="G63" s="1"/>
      <c r="H63" s="1"/>
      <c r="I63" s="49"/>
      <c r="J63" s="1"/>
      <c r="K63" s="1"/>
      <c r="L63" s="49"/>
      <c r="M63" s="1"/>
      <c r="N63" s="1"/>
      <c r="O63" s="49"/>
      <c r="P63" s="1"/>
      <c r="Q63" s="1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49"/>
      <c r="AU63" s="49"/>
      <c r="AV63" s="49"/>
      <c r="AW63" s="49"/>
      <c r="AX63" s="49"/>
      <c r="AY63" s="49"/>
    </row>
    <row r="64" ht="9.75" customHeight="1">
      <c r="A64" s="49"/>
      <c r="B64" s="68" t="s">
        <v>49</v>
      </c>
      <c r="C64" s="1"/>
      <c r="D64" s="68"/>
      <c r="E64" s="1"/>
      <c r="F64" s="1"/>
      <c r="G64" s="69" t="s">
        <v>50</v>
      </c>
      <c r="H64" s="49"/>
      <c r="I64" s="49"/>
      <c r="J64" s="1"/>
      <c r="K64" s="49"/>
      <c r="L64" s="49"/>
      <c r="M64" s="1"/>
      <c r="N64" s="49"/>
      <c r="O64" s="49"/>
      <c r="P64" s="1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62" t="str">
        <f>IFERROR(HLOOKUP("*장비체험*",D116:D119,2,0),"")</f>
        <v/>
      </c>
      <c r="AD64" s="62"/>
      <c r="AE64" s="62"/>
      <c r="AF64" s="62" t="str">
        <f>IFERROR(HLOOKUP("*장비체험*",G116:G119,2,0),"")</f>
        <v/>
      </c>
      <c r="AG64" s="62"/>
      <c r="AH64" s="62"/>
      <c r="AI64" s="62" t="str">
        <f>IFERROR(HLOOKUP("*장비체험*",J116:J119,2,0),"")</f>
        <v/>
      </c>
      <c r="AJ64" s="62"/>
      <c r="AK64" s="62"/>
      <c r="AL64" s="62" t="str">
        <f>IFERROR(HLOOKUP("*장비체험*",M116:M119,2,0),"")</f>
        <v/>
      </c>
      <c r="AM64" s="62"/>
      <c r="AN64" s="62"/>
      <c r="AO64" s="62" t="str">
        <f>IFERROR(HLOOKUP("*장비체험*",P116:P119,2,0),"")</f>
        <v/>
      </c>
      <c r="AP64" s="62"/>
      <c r="AQ64" s="62"/>
      <c r="AR64" s="62"/>
      <c r="AS64" s="62"/>
      <c r="AT64" s="49"/>
      <c r="AU64" s="49"/>
      <c r="AV64" s="49"/>
      <c r="AW64" s="49"/>
      <c r="AX64" s="49"/>
      <c r="AY64" s="49"/>
    </row>
    <row r="65" ht="9.75" customHeight="1">
      <c r="A65" s="49"/>
      <c r="B65" s="50"/>
      <c r="C65" s="1"/>
      <c r="D65" s="50"/>
      <c r="E65" s="1"/>
      <c r="F65" s="1"/>
      <c r="G65" s="1"/>
      <c r="H65" s="49"/>
      <c r="I65" s="49"/>
      <c r="J65" s="1"/>
      <c r="K65" s="49"/>
      <c r="L65" s="49"/>
      <c r="M65" s="1"/>
      <c r="N65" s="49"/>
      <c r="O65" s="49"/>
      <c r="P65" s="1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62" t="str">
        <f>IFERROR(HLOOKUP("*장비체험*",D121:D124,2,0),"")</f>
        <v/>
      </c>
      <c r="AD65" s="62"/>
      <c r="AE65" s="62"/>
      <c r="AF65" s="62" t="str">
        <f>IFERROR(HLOOKUP("*장비체험*",G121:G124,2,0),"")</f>
        <v/>
      </c>
      <c r="AG65" s="62"/>
      <c r="AH65" s="62"/>
      <c r="AI65" s="62" t="str">
        <f>IFERROR(HLOOKUP("*장비체험*",J121:J124,2,0),"")</f>
        <v/>
      </c>
      <c r="AJ65" s="62"/>
      <c r="AK65" s="62"/>
      <c r="AL65" s="62" t="str">
        <f>IFERROR(HLOOKUP("*장비체험*",M121:M124,2,0),"")</f>
        <v/>
      </c>
      <c r="AM65" s="62"/>
      <c r="AN65" s="62"/>
      <c r="AO65" s="62" t="str">
        <f>IFERROR(HLOOKUP("*장비체험*",P121:P124,2,0),"")</f>
        <v/>
      </c>
      <c r="AP65" s="62"/>
      <c r="AQ65" s="62"/>
      <c r="AR65" s="62"/>
      <c r="AS65" s="62"/>
      <c r="AT65" s="49"/>
      <c r="AU65" s="49"/>
      <c r="AV65" s="49"/>
      <c r="AW65" s="49"/>
      <c r="AX65" s="49"/>
      <c r="AY65" s="49"/>
    </row>
    <row r="66" ht="9.75" customHeight="1">
      <c r="A66" s="49"/>
      <c r="B66" s="70"/>
      <c r="C66" s="1"/>
      <c r="D66" s="70"/>
      <c r="E66" s="1"/>
      <c r="F66" s="1"/>
      <c r="G66" s="1"/>
      <c r="H66" s="49"/>
      <c r="I66" s="49"/>
      <c r="J66" s="1"/>
      <c r="K66" s="49"/>
      <c r="L66" s="49"/>
      <c r="M66" s="1"/>
      <c r="N66" s="49"/>
      <c r="O66" s="49"/>
      <c r="P66" s="1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62" t="str">
        <f>IFERROR(HLOOKUP("*장비체험*",D130:D133,2,0),"")</f>
        <v/>
      </c>
      <c r="AD66" s="62"/>
      <c r="AE66" s="62"/>
      <c r="AF66" s="62" t="str">
        <f>IFERROR(HLOOKUP("*장비체험*",G130:G133,2,0),"")</f>
        <v/>
      </c>
      <c r="AG66" s="62"/>
      <c r="AH66" s="62"/>
      <c r="AI66" s="62" t="str">
        <f>IFERROR(HLOOKUP("*장비체험*",J130:J133,2,0),"")</f>
        <v/>
      </c>
      <c r="AJ66" s="62"/>
      <c r="AK66" s="62"/>
      <c r="AL66" s="62" t="str">
        <f>IFERROR(HLOOKUP("*장비체험*",M130:M133,2,0),"")</f>
        <v/>
      </c>
      <c r="AM66" s="62"/>
      <c r="AN66" s="62"/>
      <c r="AO66" s="62" t="str">
        <f>IFERROR(HLOOKUP("*장비체험*",P130:P133,2,0),"")</f>
        <v/>
      </c>
      <c r="AP66" s="62"/>
      <c r="AQ66" s="62"/>
      <c r="AR66" s="62"/>
      <c r="AS66" s="62"/>
      <c r="AT66" s="49"/>
      <c r="AU66" s="49"/>
      <c r="AV66" s="49"/>
      <c r="AW66" s="49"/>
      <c r="AX66" s="49"/>
      <c r="AY66" s="49"/>
    </row>
    <row r="67" ht="1.5" customHeight="1">
      <c r="A67" s="49"/>
      <c r="B67" s="1"/>
      <c r="C67" s="1"/>
      <c r="D67" s="1"/>
      <c r="E67" s="1"/>
      <c r="F67" s="1"/>
      <c r="G67" s="1"/>
      <c r="H67" s="49"/>
      <c r="I67" s="49"/>
      <c r="J67" s="1"/>
      <c r="K67" s="49"/>
      <c r="L67" s="49"/>
      <c r="M67" s="1"/>
      <c r="N67" s="49"/>
      <c r="O67" s="49"/>
      <c r="P67" s="1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49"/>
      <c r="AU67" s="49"/>
      <c r="AV67" s="49"/>
      <c r="AW67" s="49"/>
      <c r="AX67" s="49"/>
      <c r="AY67" s="49"/>
    </row>
    <row r="68" ht="9.75" customHeight="1">
      <c r="A68" s="49"/>
      <c r="B68" s="71" t="s">
        <v>51</v>
      </c>
      <c r="C68" s="1"/>
      <c r="D68" s="71" t="s">
        <v>52</v>
      </c>
      <c r="E68" s="1"/>
      <c r="F68" s="1"/>
      <c r="G68" s="1"/>
      <c r="H68" s="49"/>
      <c r="I68" s="49"/>
      <c r="J68" s="1"/>
      <c r="K68" s="49"/>
      <c r="L68" s="49"/>
      <c r="M68" s="1"/>
      <c r="N68" s="49"/>
      <c r="O68" s="49"/>
      <c r="P68" s="1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62" t="str">
        <f>IFERROR(HLOOKUP("*장비체험*",D144:D148,3,0),"")</f>
        <v/>
      </c>
      <c r="AD68" s="62"/>
      <c r="AE68" s="62"/>
      <c r="AF68" s="62" t="str">
        <f>IFERROR(HLOOKUP("*장비체험*",G144:G148,3,0),"")</f>
        <v/>
      </c>
      <c r="AG68" s="62"/>
      <c r="AH68" s="62"/>
      <c r="AI68" s="62" t="str">
        <f>IFERROR(HLOOKUP("*장비체험*",J144:J148,3,0),"")</f>
        <v/>
      </c>
      <c r="AJ68" s="62"/>
      <c r="AK68" s="62"/>
      <c r="AL68" s="62" t="str">
        <f>IFERROR(HLOOKUP("*장비체험*",M144:M148,3,0),"")</f>
        <v/>
      </c>
      <c r="AM68" s="62"/>
      <c r="AN68" s="62"/>
      <c r="AO68" s="62" t="str">
        <f>IFERROR(HLOOKUP("*장비체험*",P144:P148,3,0),"")</f>
        <v/>
      </c>
      <c r="AP68" s="62"/>
      <c r="AQ68" s="62"/>
      <c r="AR68" s="62"/>
      <c r="AS68" s="62"/>
      <c r="AT68" s="49"/>
      <c r="AU68" s="49"/>
      <c r="AV68" s="49"/>
      <c r="AW68" s="49"/>
      <c r="AX68" s="49"/>
      <c r="AY68" s="49"/>
    </row>
    <row r="69" ht="9.75" customHeight="1">
      <c r="A69" s="49"/>
      <c r="B69" s="67" t="s">
        <v>53</v>
      </c>
      <c r="C69" s="1"/>
      <c r="D69" s="50" t="s">
        <v>54</v>
      </c>
      <c r="E69" s="1"/>
      <c r="F69" s="1"/>
      <c r="G69" s="1"/>
      <c r="H69" s="49"/>
      <c r="I69" s="49"/>
      <c r="J69" s="1"/>
      <c r="K69" s="49"/>
      <c r="L69" s="49"/>
      <c r="M69" s="1"/>
      <c r="N69" s="49"/>
      <c r="O69" s="49"/>
      <c r="P69" s="1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62" t="str">
        <f>IFERROR(HLOOKUP("*장비체험*",D150:D153,2,0),"")</f>
        <v/>
      </c>
      <c r="AD69" s="62"/>
      <c r="AE69" s="62"/>
      <c r="AF69" s="62" t="str">
        <f>IFERROR(HLOOKUP("*장비체험*",G150:G153,2,0),"")</f>
        <v/>
      </c>
      <c r="AG69" s="62"/>
      <c r="AH69" s="62"/>
      <c r="AI69" s="62" t="str">
        <f>IFERROR(HLOOKUP("*장비체험*",J150:J153,2,0),"")</f>
        <v/>
      </c>
      <c r="AJ69" s="62"/>
      <c r="AK69" s="62"/>
      <c r="AL69" s="62" t="str">
        <f>IFERROR(HLOOKUP("*장비체험*",M150:M153,2,0),"")</f>
        <v/>
      </c>
      <c r="AM69" s="62"/>
      <c r="AN69" s="62"/>
      <c r="AO69" s="62" t="str">
        <f>IFERROR(HLOOKUP("*장비체험*",P150:P153,2,0),"")</f>
        <v/>
      </c>
      <c r="AP69" s="62"/>
      <c r="AQ69" s="62"/>
      <c r="AR69" s="62"/>
      <c r="AS69" s="62"/>
      <c r="AT69" s="49"/>
      <c r="AU69" s="49"/>
      <c r="AV69" s="49"/>
      <c r="AW69" s="49"/>
      <c r="AX69" s="49"/>
      <c r="AY69" s="49"/>
    </row>
    <row r="70" ht="9.75" customHeight="1">
      <c r="A70" s="49"/>
      <c r="B70" s="67" t="s">
        <v>55</v>
      </c>
      <c r="C70" s="1"/>
      <c r="D70" s="72" t="s">
        <v>56</v>
      </c>
      <c r="E70" s="1"/>
      <c r="F70" s="1"/>
      <c r="G70" s="1"/>
      <c r="H70" s="49"/>
      <c r="I70" s="49"/>
      <c r="J70" s="1"/>
      <c r="K70" s="49"/>
      <c r="L70" s="49"/>
      <c r="M70" s="1"/>
      <c r="N70" s="49"/>
      <c r="O70" s="49"/>
      <c r="P70" s="1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62" t="str">
        <f>IFERROR(HLOOKUP("*장비체험*",D155:D158,2,0),"")</f>
        <v/>
      </c>
      <c r="AD70" s="62"/>
      <c r="AE70" s="62"/>
      <c r="AF70" s="62" t="str">
        <f>IFERROR(HLOOKUP("*장비체험*",G155:G158,2,0),"")</f>
        <v/>
      </c>
      <c r="AG70" s="62"/>
      <c r="AH70" s="62"/>
      <c r="AI70" s="62" t="str">
        <f>IFERROR(HLOOKUP("*장비체험*",J155:J158,2,0),"")</f>
        <v/>
      </c>
      <c r="AJ70" s="62"/>
      <c r="AK70" s="62"/>
      <c r="AL70" s="62" t="str">
        <f>IFERROR(HLOOKUP("*장비체험*",M155:M158,2,0),"")</f>
        <v/>
      </c>
      <c r="AM70" s="62"/>
      <c r="AN70" s="62"/>
      <c r="AO70" s="62" t="str">
        <f>IFERROR(HLOOKUP("*장비체험*",P155:P158,2,0),"")</f>
        <v/>
      </c>
      <c r="AP70" s="62"/>
      <c r="AQ70" s="62"/>
      <c r="AR70" s="62"/>
      <c r="AS70" s="62"/>
      <c r="AT70" s="49"/>
      <c r="AU70" s="49"/>
      <c r="AV70" s="49"/>
      <c r="AW70" s="49"/>
      <c r="AX70" s="49"/>
      <c r="AY70" s="49"/>
    </row>
    <row r="71" ht="9.75" customHeight="1">
      <c r="A71" s="49"/>
      <c r="B71" s="67" t="s">
        <v>57</v>
      </c>
      <c r="C71" s="1"/>
      <c r="D71" s="70" t="s">
        <v>58</v>
      </c>
      <c r="E71" s="1"/>
      <c r="F71" s="1"/>
      <c r="G71" s="69" t="s">
        <v>59</v>
      </c>
      <c r="H71" s="49"/>
      <c r="I71" s="49"/>
      <c r="J71" s="1"/>
      <c r="K71" s="49"/>
      <c r="L71" s="49"/>
      <c r="M71" s="1"/>
      <c r="N71" s="49"/>
      <c r="O71" s="49"/>
      <c r="P71" s="1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62" t="str">
        <f>IFERROR(HLOOKUP("*장비체험*",D164:D167,2,0),"")</f>
        <v/>
      </c>
      <c r="AD71" s="62"/>
      <c r="AE71" s="62"/>
      <c r="AF71" s="62" t="str">
        <f>IFERROR(HLOOKUP("*장비체험*",G164:G167,2,0),"")</f>
        <v/>
      </c>
      <c r="AG71" s="62"/>
      <c r="AH71" s="62"/>
      <c r="AI71" s="62" t="str">
        <f>IFERROR(HLOOKUP("*장비체험*",J164:J167,2,0),"")</f>
        <v/>
      </c>
      <c r="AJ71" s="62"/>
      <c r="AK71" s="62"/>
      <c r="AL71" s="62" t="str">
        <f>IFERROR(HLOOKUP("*장비체험*",M164:M167,2,0),"")</f>
        <v/>
      </c>
      <c r="AM71" s="62"/>
      <c r="AN71" s="62"/>
      <c r="AO71" s="62" t="str">
        <f>IFERROR(HLOOKUP("*장비체험*",P164:P167,2,0),"")</f>
        <v/>
      </c>
      <c r="AP71" s="62"/>
      <c r="AQ71" s="62"/>
      <c r="AR71" s="62"/>
      <c r="AS71" s="62"/>
      <c r="AT71" s="49"/>
      <c r="AU71" s="49"/>
      <c r="AV71" s="49"/>
      <c r="AW71" s="49"/>
      <c r="AX71" s="49"/>
      <c r="AY71" s="49"/>
    </row>
    <row r="72" ht="1.5" customHeight="1">
      <c r="A72" s="49"/>
      <c r="B72" s="1"/>
      <c r="C72" s="1"/>
      <c r="D72" s="1"/>
      <c r="E72" s="1"/>
      <c r="F72" s="1"/>
      <c r="G72" s="1"/>
      <c r="H72" s="49"/>
      <c r="I72" s="49"/>
      <c r="J72" s="1"/>
      <c r="K72" s="49"/>
      <c r="L72" s="49"/>
      <c r="M72" s="1"/>
      <c r="N72" s="49"/>
      <c r="O72" s="49"/>
      <c r="P72" s="1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49"/>
      <c r="AU72" s="49"/>
      <c r="AV72" s="49"/>
      <c r="AW72" s="49"/>
      <c r="AX72" s="49"/>
      <c r="AY72" s="49"/>
    </row>
    <row r="73" ht="9.75" customHeight="1">
      <c r="A73" s="49"/>
      <c r="B73" s="71" t="s">
        <v>60</v>
      </c>
      <c r="C73" s="1"/>
      <c r="D73" s="71" t="s">
        <v>61</v>
      </c>
      <c r="E73" s="1"/>
      <c r="F73" s="1"/>
      <c r="G73" s="69"/>
      <c r="H73" s="49"/>
      <c r="I73" s="49"/>
      <c r="J73" s="1"/>
      <c r="K73" s="49"/>
      <c r="L73" s="49"/>
      <c r="M73" s="1"/>
      <c r="N73" s="49"/>
      <c r="O73" s="49"/>
      <c r="P73" s="1"/>
      <c r="Q73" s="49"/>
      <c r="R73" s="49"/>
      <c r="S73" s="73" t="s">
        <v>37</v>
      </c>
      <c r="T73" s="49"/>
      <c r="U73" s="49"/>
      <c r="V73" s="49"/>
      <c r="W73" s="49"/>
      <c r="X73" s="49"/>
      <c r="Y73" s="49"/>
      <c r="Z73" s="49"/>
      <c r="AA73" s="49"/>
      <c r="AB73" s="49"/>
      <c r="AC73" s="62" t="str">
        <f>IFERROR(HLOOKUP("*장비체험*",D169:D172,2,0),"")</f>
        <v/>
      </c>
      <c r="AD73" s="62"/>
      <c r="AE73" s="62"/>
      <c r="AF73" s="62" t="str">
        <f>IFERROR(HLOOKUP("*장비체험*",G169:G172,2,0),"")</f>
        <v/>
      </c>
      <c r="AG73" s="62"/>
      <c r="AH73" s="62"/>
      <c r="AI73" s="62" t="str">
        <f>IFERROR(HLOOKUP("*장비체험*",J169:J172,2,0),"")</f>
        <v/>
      </c>
      <c r="AJ73" s="62"/>
      <c r="AK73" s="62"/>
      <c r="AL73" s="62" t="str">
        <f>IFERROR(HLOOKUP("*장비체험*",M169:M172,2,0),"")</f>
        <v/>
      </c>
      <c r="AM73" s="62"/>
      <c r="AN73" s="62"/>
      <c r="AO73" s="62" t="str">
        <f>IFERROR(HLOOKUP("*장비체험*",P169:P172,2,0),"")</f>
        <v/>
      </c>
      <c r="AP73" s="62"/>
      <c r="AQ73" s="62"/>
      <c r="AR73" s="62"/>
      <c r="AS73" s="62"/>
      <c r="AT73" s="49"/>
      <c r="AU73" s="49"/>
      <c r="AV73" s="49"/>
      <c r="AW73" s="49"/>
      <c r="AX73" s="49"/>
      <c r="AY73" s="49"/>
    </row>
    <row r="74" ht="9.75" customHeight="1">
      <c r="A74" s="49"/>
      <c r="B74" s="67" t="s">
        <v>53</v>
      </c>
      <c r="C74" s="1"/>
      <c r="D74" s="50" t="s">
        <v>62</v>
      </c>
      <c r="E74" s="1"/>
      <c r="F74" s="1"/>
      <c r="G74" s="1"/>
      <c r="H74" s="49"/>
      <c r="I74" s="49"/>
      <c r="J74" s="1"/>
      <c r="K74" s="49"/>
      <c r="L74" s="49"/>
      <c r="M74" s="1"/>
      <c r="N74" s="49"/>
      <c r="O74" s="49"/>
      <c r="P74" s="1"/>
      <c r="Q74" s="49"/>
      <c r="R74" s="49"/>
      <c r="S74" s="67" t="s">
        <v>39</v>
      </c>
      <c r="T74" s="49"/>
      <c r="U74" s="49"/>
      <c r="V74" s="49"/>
      <c r="W74" s="49"/>
      <c r="X74" s="49"/>
      <c r="Y74" s="49"/>
      <c r="Z74" s="49"/>
      <c r="AA74" s="49"/>
      <c r="AB74" s="49"/>
      <c r="AC74" s="62" t="str">
        <f>IFERROR(HLOOKUP("*장비체험*",D174:D177,2,0),"")</f>
        <v/>
      </c>
      <c r="AD74" s="62"/>
      <c r="AE74" s="62"/>
      <c r="AF74" s="62" t="str">
        <f>IFERROR(HLOOKUP("*장비체험*",G174:G177,2,0),"")</f>
        <v/>
      </c>
      <c r="AG74" s="62"/>
      <c r="AH74" s="62"/>
      <c r="AI74" s="62" t="str">
        <f>IFERROR(HLOOKUP("*장비체험*",J174:J177,2,0),"")</f>
        <v/>
      </c>
      <c r="AJ74" s="62"/>
      <c r="AK74" s="62"/>
      <c r="AL74" s="62" t="str">
        <f>IFERROR(HLOOKUP("*장비체험*",M174:M177,2,0),"")</f>
        <v/>
      </c>
      <c r="AM74" s="62"/>
      <c r="AN74" s="62"/>
      <c r="AO74" s="62" t="str">
        <f>IFERROR(HLOOKUP("*장비체험*",P174:P177,2,0),"")</f>
        <v/>
      </c>
      <c r="AP74" s="62"/>
      <c r="AQ74" s="62"/>
      <c r="AR74" s="62"/>
      <c r="AS74" s="62"/>
      <c r="AT74" s="49"/>
      <c r="AU74" s="49"/>
      <c r="AV74" s="49"/>
      <c r="AW74" s="49"/>
      <c r="AX74" s="49"/>
      <c r="AY74" s="49"/>
    </row>
    <row r="75" ht="9.75" customHeight="1">
      <c r="A75" s="49"/>
      <c r="B75" s="67" t="s">
        <v>55</v>
      </c>
      <c r="C75" s="1"/>
      <c r="D75" s="72" t="s">
        <v>63</v>
      </c>
      <c r="E75" s="1"/>
      <c r="F75" s="1"/>
      <c r="G75" s="1"/>
      <c r="H75" s="49"/>
      <c r="I75" s="49"/>
      <c r="J75" s="1"/>
      <c r="K75" s="49"/>
      <c r="L75" s="49"/>
      <c r="M75" s="1"/>
      <c r="N75" s="49"/>
      <c r="O75" s="49"/>
      <c r="P75" s="1"/>
      <c r="Q75" s="49"/>
      <c r="R75" s="49"/>
      <c r="S75" s="67" t="s">
        <v>64</v>
      </c>
      <c r="T75" s="49"/>
      <c r="U75" s="49"/>
      <c r="V75" s="49"/>
      <c r="W75" s="49"/>
      <c r="X75" s="49"/>
      <c r="Y75" s="49"/>
      <c r="Z75" s="49"/>
      <c r="AA75" s="49"/>
      <c r="AB75" s="49"/>
      <c r="AC75" s="62" t="str">
        <f>IFERROR(HLOOKUP("*장비체험*",D179:D182,2,0),"")</f>
        <v/>
      </c>
      <c r="AD75" s="62"/>
      <c r="AE75" s="62"/>
      <c r="AF75" s="62" t="str">
        <f>IFERROR(HLOOKUP("*장비체험*",G179:G182,2,0),"")</f>
        <v/>
      </c>
      <c r="AG75" s="62"/>
      <c r="AH75" s="62"/>
      <c r="AI75" s="62" t="str">
        <f>IFERROR(HLOOKUP("*장비체험*",J179:J182,2,0),"")</f>
        <v/>
      </c>
      <c r="AJ75" s="62"/>
      <c r="AK75" s="62"/>
      <c r="AL75" s="62" t="str">
        <f>IFERROR(HLOOKUP("*장비체험*",M179:M182,2,0),"")</f>
        <v/>
      </c>
      <c r="AM75" s="62"/>
      <c r="AN75" s="62"/>
      <c r="AO75" s="62" t="str">
        <f>IFERROR(HLOOKUP("*장비체험*",P179:P182,2,0),"")</f>
        <v/>
      </c>
      <c r="AP75" s="62"/>
      <c r="AQ75" s="62"/>
      <c r="AR75" s="62"/>
      <c r="AS75" s="62"/>
      <c r="AT75" s="49"/>
      <c r="AU75" s="49"/>
      <c r="AV75" s="49"/>
      <c r="AW75" s="49"/>
      <c r="AX75" s="49"/>
      <c r="AY75" s="49"/>
    </row>
    <row r="76" ht="9.75" customHeight="1">
      <c r="A76" s="49"/>
      <c r="B76" s="67" t="s">
        <v>57</v>
      </c>
      <c r="C76" s="1"/>
      <c r="D76" s="70" t="s">
        <v>65</v>
      </c>
      <c r="E76" s="1"/>
      <c r="F76" s="1"/>
      <c r="G76" s="1"/>
      <c r="H76" s="49"/>
      <c r="I76" s="49"/>
      <c r="J76" s="1"/>
      <c r="K76" s="49"/>
      <c r="L76" s="49"/>
      <c r="M76" s="1"/>
      <c r="N76" s="49"/>
      <c r="O76" s="49"/>
      <c r="P76" s="1"/>
      <c r="Q76" s="49"/>
      <c r="R76" s="49"/>
      <c r="S76" s="74" t="s">
        <v>66</v>
      </c>
      <c r="T76" s="49"/>
      <c r="U76" s="49"/>
      <c r="V76" s="49"/>
      <c r="W76" s="49"/>
      <c r="X76" s="49"/>
      <c r="Y76" s="49"/>
      <c r="Z76" s="49"/>
      <c r="AA76" s="49"/>
      <c r="AB76" s="49"/>
      <c r="AC76" s="62" t="str">
        <f>IFERROR(HLOOKUP("*장비체험*",D188:D191,2,0),"")</f>
        <v/>
      </c>
      <c r="AD76" s="62"/>
      <c r="AE76" s="62"/>
      <c r="AF76" s="62" t="str">
        <f>IFERROR(HLOOKUP("*장비체험*",G188:G191,2,0),"")</f>
        <v/>
      </c>
      <c r="AG76" s="62"/>
      <c r="AH76" s="62"/>
      <c r="AI76" s="62" t="str">
        <f>IFERROR(HLOOKUP("*장비체험*",J188:J191,2,0),"")</f>
        <v/>
      </c>
      <c r="AJ76" s="62"/>
      <c r="AK76" s="62"/>
      <c r="AL76" s="62" t="str">
        <f>IFERROR(HLOOKUP("*장비체험*",M188:M191,2,0),"")</f>
        <v/>
      </c>
      <c r="AM76" s="62"/>
      <c r="AN76" s="62"/>
      <c r="AO76" s="62" t="str">
        <f>IFERROR(HLOOKUP("*장비체험*",P188:P191,2,0),"")</f>
        <v/>
      </c>
      <c r="AP76" s="62"/>
      <c r="AQ76" s="62"/>
      <c r="AR76" s="62"/>
      <c r="AS76" s="62"/>
      <c r="AT76" s="49"/>
      <c r="AU76" s="49"/>
      <c r="AV76" s="49"/>
      <c r="AW76" s="49"/>
      <c r="AX76" s="49"/>
      <c r="AY76" s="49"/>
    </row>
    <row r="77" ht="1.5" customHeight="1">
      <c r="A77" s="49"/>
      <c r="B77" s="1"/>
      <c r="C77" s="1"/>
      <c r="D77" s="1"/>
      <c r="E77" s="1"/>
      <c r="F77" s="1"/>
      <c r="G77" s="1"/>
      <c r="H77" s="49"/>
      <c r="I77" s="49"/>
      <c r="J77" s="1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49"/>
      <c r="AU77" s="49"/>
      <c r="AV77" s="49"/>
      <c r="AW77" s="49"/>
      <c r="AX77" s="49"/>
      <c r="AY77" s="49"/>
    </row>
    <row r="78" ht="9.75" customHeight="1">
      <c r="A78" s="49"/>
      <c r="B78" s="75" t="s">
        <v>67</v>
      </c>
      <c r="C78" s="1"/>
      <c r="D78" s="76"/>
      <c r="E78" s="77"/>
      <c r="F78" s="77"/>
      <c r="G78" s="77" t="s">
        <v>68</v>
      </c>
      <c r="H78" s="77"/>
      <c r="I78" s="77"/>
      <c r="J78" s="77"/>
      <c r="K78" s="77"/>
      <c r="L78" s="77"/>
      <c r="M78" s="77"/>
      <c r="N78" s="77"/>
      <c r="O78" s="77"/>
      <c r="P78" s="78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62" t="str">
        <f>IFERROR(HLOOKUP("*장비체험*",D193:D196,2,0),"")</f>
        <v/>
      </c>
      <c r="AD78" s="62"/>
      <c r="AE78" s="62"/>
      <c r="AF78" s="62" t="str">
        <f>IFERROR(HLOOKUP("*장비체험*",G193:G196,2,0),"")</f>
        <v/>
      </c>
      <c r="AG78" s="62"/>
      <c r="AH78" s="62"/>
      <c r="AI78" s="62" t="str">
        <f>IFERROR(HLOOKUP("*장비체험*",J193:J196,2,0),"")</f>
        <v/>
      </c>
      <c r="AJ78" s="62"/>
      <c r="AK78" s="62"/>
      <c r="AL78" s="62" t="str">
        <f>IFERROR(HLOOKUP("*장비체험*",M193:M196,2,0),"")</f>
        <v/>
      </c>
      <c r="AM78" s="62"/>
      <c r="AN78" s="62"/>
      <c r="AO78" s="62" t="str">
        <f>IFERROR(HLOOKUP("*장비체험*",P193:P196,2,0),"")</f>
        <v/>
      </c>
      <c r="AP78" s="62"/>
      <c r="AQ78" s="62"/>
      <c r="AR78" s="62"/>
      <c r="AS78" s="62"/>
      <c r="AT78" s="49"/>
      <c r="AU78" s="49"/>
      <c r="AV78" s="49"/>
      <c r="AW78" s="49"/>
      <c r="AX78" s="49"/>
      <c r="AY78" s="49"/>
    </row>
    <row r="79" ht="9.75" customHeight="1">
      <c r="A79" s="49"/>
      <c r="B79" s="1"/>
      <c r="C79" s="1"/>
      <c r="D79" s="1"/>
      <c r="E79" s="79"/>
      <c r="F79" s="1"/>
      <c r="G79" s="1"/>
      <c r="H79" s="49"/>
      <c r="I79" s="52"/>
      <c r="J79" s="1"/>
      <c r="K79" s="49"/>
      <c r="L79" s="52"/>
      <c r="M79" s="49"/>
      <c r="N79" s="49"/>
      <c r="O79" s="52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62" t="str">
        <f>IFERROR(HLOOKUP("*장비체험*",D198:D201,2,0),"")</f>
        <v/>
      </c>
      <c r="AD79" s="62"/>
      <c r="AE79" s="62"/>
      <c r="AF79" s="62" t="str">
        <f>IFERROR(HLOOKUP("*장비체험*",G198:G201,2,0),"")</f>
        <v/>
      </c>
      <c r="AG79" s="62"/>
      <c r="AH79" s="62"/>
      <c r="AI79" s="62" t="str">
        <f>IFERROR(HLOOKUP("*장비체험*",J198:J201,2,0),"")</f>
        <v/>
      </c>
      <c r="AJ79" s="62"/>
      <c r="AK79" s="62"/>
      <c r="AL79" s="62" t="str">
        <f>IFERROR(HLOOKUP("*장비체험*",M198:M201,2,0),"")</f>
        <v/>
      </c>
      <c r="AM79" s="62"/>
      <c r="AN79" s="62"/>
      <c r="AO79" s="62" t="str">
        <f>IFERROR(HLOOKUP("*장비체험*",P198:P201,2,0),"")</f>
        <v/>
      </c>
      <c r="AP79" s="62"/>
      <c r="AQ79" s="62"/>
      <c r="AR79" s="62"/>
      <c r="AS79" s="62"/>
      <c r="AT79" s="49"/>
      <c r="AU79" s="49"/>
      <c r="AV79" s="49"/>
      <c r="AW79" s="49"/>
      <c r="AX79" s="49"/>
      <c r="AY79" s="49"/>
    </row>
    <row r="80" ht="9.75" customHeight="1">
      <c r="A80" s="49"/>
      <c r="B80" s="56" t="s">
        <v>33</v>
      </c>
      <c r="C80" s="1"/>
      <c r="D80" s="57" t="s">
        <v>69</v>
      </c>
      <c r="E80" s="58"/>
      <c r="F80" s="58"/>
      <c r="G80" s="58" t="s">
        <v>70</v>
      </c>
      <c r="H80" s="59"/>
      <c r="I80" s="59"/>
      <c r="J80" s="59"/>
      <c r="K80" s="59"/>
      <c r="L80" s="59"/>
      <c r="M80" s="59"/>
      <c r="N80" s="59"/>
      <c r="O80" s="59"/>
      <c r="P80" s="60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62" t="str">
        <f>IFERROR(HLOOKUP("*장비체험*",D203:D206,2,0),"")</f>
        <v/>
      </c>
      <c r="AD80" s="62"/>
      <c r="AE80" s="62"/>
      <c r="AF80" s="62" t="str">
        <f>IFERROR(HLOOKUP("*장비체험*",G203:G206,2,0),"")</f>
        <v/>
      </c>
      <c r="AG80" s="62"/>
      <c r="AH80" s="62"/>
      <c r="AI80" s="62" t="str">
        <f>IFERROR(HLOOKUP("*장비체험*",J203:J206,2,0),"")</f>
        <v/>
      </c>
      <c r="AJ80" s="62"/>
      <c r="AK80" s="62"/>
      <c r="AL80" s="62" t="str">
        <f>IFERROR(HLOOKUP("*장비체험*",M203:M206,2,0),"")</f>
        <v/>
      </c>
      <c r="AM80" s="62"/>
      <c r="AN80" s="62"/>
      <c r="AO80" s="62" t="str">
        <f>IFERROR(HLOOKUP("*장비체험*",P203:P206,2,0),"")</f>
        <v/>
      </c>
      <c r="AP80" s="62"/>
      <c r="AQ80" s="62"/>
      <c r="AR80" s="62"/>
      <c r="AS80" s="62"/>
      <c r="AT80" s="49"/>
      <c r="AU80" s="49"/>
      <c r="AV80" s="49"/>
      <c r="AW80" s="49"/>
      <c r="AX80" s="49"/>
      <c r="AY80" s="49"/>
    </row>
    <row r="81" ht="1.5" customHeight="1">
      <c r="A81" s="49"/>
      <c r="B81" s="1"/>
      <c r="C81" s="1"/>
      <c r="D81" s="1"/>
      <c r="E81" s="1"/>
      <c r="F81" s="1"/>
      <c r="G81" s="1"/>
      <c r="H81" s="49"/>
      <c r="I81" s="49"/>
      <c r="J81" s="1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49"/>
      <c r="AU81" s="49"/>
      <c r="AV81" s="49"/>
      <c r="AW81" s="49"/>
      <c r="AX81" s="49"/>
      <c r="AY81" s="49"/>
    </row>
    <row r="82" ht="9.75" customHeight="1">
      <c r="A82" s="49"/>
      <c r="B82" s="71" t="s">
        <v>71</v>
      </c>
      <c r="C82" s="1"/>
      <c r="D82" s="71" t="s">
        <v>72</v>
      </c>
      <c r="E82" s="1"/>
      <c r="F82" s="1"/>
      <c r="G82" s="69" t="s">
        <v>73</v>
      </c>
      <c r="H82" s="49"/>
      <c r="I82" s="49"/>
      <c r="J82" s="1"/>
      <c r="K82" s="49"/>
      <c r="L82" s="49"/>
      <c r="M82" s="1"/>
      <c r="N82" s="49"/>
      <c r="O82" s="49"/>
      <c r="P82" s="1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62" t="str">
        <f>IFERROR(HLOOKUP("*장비체험*",D212:D215,2,0),"")</f>
        <v/>
      </c>
      <c r="AD82" s="62"/>
      <c r="AE82" s="62"/>
      <c r="AF82" s="62" t="str">
        <f>IFERROR(HLOOKUP("*장비체험*",G212:G215,2,0),"")</f>
        <v/>
      </c>
      <c r="AG82" s="62"/>
      <c r="AH82" s="62"/>
      <c r="AI82" s="62" t="str">
        <f>IFERROR(HLOOKUP("*장비체험*",J212:J215,2,0),"")</f>
        <v/>
      </c>
      <c r="AJ82" s="62"/>
      <c r="AK82" s="62"/>
      <c r="AL82" s="62" t="str">
        <f>IFERROR(HLOOKUP("*장비체험*",M212:M215,2,0),"")</f>
        <v/>
      </c>
      <c r="AM82" s="62"/>
      <c r="AN82" s="62"/>
      <c r="AO82" s="62" t="str">
        <f>IFERROR(HLOOKUP("*장비체험*",P212:P215,2,0),"")</f>
        <v/>
      </c>
      <c r="AP82" s="62"/>
      <c r="AQ82" s="62"/>
      <c r="AR82" s="62"/>
      <c r="AS82" s="62"/>
      <c r="AT82" s="49"/>
      <c r="AU82" s="49"/>
      <c r="AV82" s="49"/>
      <c r="AW82" s="49"/>
      <c r="AX82" s="49"/>
      <c r="AY82" s="49"/>
    </row>
    <row r="83" ht="9.75" customHeight="1">
      <c r="A83" s="49"/>
      <c r="B83" s="67" t="s">
        <v>53</v>
      </c>
      <c r="C83" s="1"/>
      <c r="D83" s="50" t="s">
        <v>74</v>
      </c>
      <c r="E83" s="1"/>
      <c r="F83" s="1"/>
      <c r="G83" s="69" t="s">
        <v>75</v>
      </c>
      <c r="H83" s="49"/>
      <c r="I83" s="49"/>
      <c r="J83" s="1"/>
      <c r="K83" s="49"/>
      <c r="L83" s="49"/>
      <c r="M83" s="1"/>
      <c r="N83" s="49"/>
      <c r="O83" s="49"/>
      <c r="P83" s="1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62" t="str">
        <f>IFERROR(HLOOKUP("*장비체험*",D217:D220,2,0),"")</f>
        <v/>
      </c>
      <c r="AD83" s="62"/>
      <c r="AE83" s="62"/>
      <c r="AF83" s="62" t="str">
        <f>IFERROR(HLOOKUP("*장비체험*",G217:G220,2,0),"")</f>
        <v/>
      </c>
      <c r="AG83" s="62"/>
      <c r="AH83" s="62"/>
      <c r="AI83" s="62" t="str">
        <f>IFERROR(HLOOKUP("*장비체험*",J217:J220,2,0),"")</f>
        <v/>
      </c>
      <c r="AJ83" s="62"/>
      <c r="AK83" s="62"/>
      <c r="AL83" s="62" t="str">
        <f>IFERROR(HLOOKUP("*장비체험*",M217:M220,2,0),"")</f>
        <v/>
      </c>
      <c r="AM83" s="62"/>
      <c r="AN83" s="62"/>
      <c r="AO83" s="62" t="str">
        <f>IFERROR(HLOOKUP("*장비체험*",P217:P220,2,0),"")</f>
        <v/>
      </c>
      <c r="AP83" s="62"/>
      <c r="AQ83" s="62"/>
      <c r="AR83" s="62"/>
      <c r="AS83" s="62"/>
      <c r="AT83" s="49"/>
      <c r="AU83" s="49"/>
      <c r="AV83" s="49"/>
      <c r="AW83" s="49"/>
      <c r="AX83" s="49"/>
      <c r="AY83" s="49"/>
    </row>
    <row r="84" ht="9.75" customHeight="1">
      <c r="A84" s="49"/>
      <c r="B84" s="67" t="s">
        <v>55</v>
      </c>
      <c r="C84" s="1"/>
      <c r="D84" s="72" t="s">
        <v>76</v>
      </c>
      <c r="E84" s="1"/>
      <c r="F84" s="1"/>
      <c r="G84" s="1"/>
      <c r="H84" s="49"/>
      <c r="I84" s="49"/>
      <c r="J84" s="1"/>
      <c r="K84" s="49"/>
      <c r="L84" s="49"/>
      <c r="M84" s="1"/>
      <c r="N84" s="49"/>
      <c r="O84" s="49"/>
      <c r="P84" s="1"/>
      <c r="Q84" s="49"/>
      <c r="R84" s="49"/>
      <c r="S84" s="46" t="s">
        <v>77</v>
      </c>
      <c r="T84" s="29"/>
      <c r="U84" s="29"/>
      <c r="V84" s="30"/>
      <c r="W84" s="52"/>
      <c r="X84" s="80" t="s">
        <v>78</v>
      </c>
      <c r="Y84" s="9"/>
      <c r="Z84" s="9"/>
      <c r="AA84" s="9"/>
      <c r="AB84" s="10"/>
      <c r="AC84" s="81" t="s">
        <v>79</v>
      </c>
      <c r="AD84" s="9"/>
      <c r="AE84" s="9"/>
      <c r="AF84" s="9"/>
      <c r="AG84" s="9"/>
      <c r="AH84" s="9"/>
      <c r="AI84" s="10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49"/>
      <c r="AU84" s="49"/>
      <c r="AV84" s="49"/>
      <c r="AW84" s="49"/>
      <c r="AX84" s="49"/>
      <c r="AY84" s="49"/>
    </row>
    <row r="85" ht="9.75" customHeight="1">
      <c r="A85" s="49"/>
      <c r="B85" s="67" t="s">
        <v>57</v>
      </c>
      <c r="C85" s="1"/>
      <c r="D85" s="70" t="s">
        <v>58</v>
      </c>
      <c r="E85" s="1"/>
      <c r="F85" s="1"/>
      <c r="G85" s="1"/>
      <c r="H85" s="49"/>
      <c r="I85" s="49"/>
      <c r="J85" s="1"/>
      <c r="K85" s="49"/>
      <c r="L85" s="49"/>
      <c r="M85" s="1"/>
      <c r="N85" s="49"/>
      <c r="O85" s="49"/>
      <c r="P85" s="1"/>
      <c r="Q85" s="49"/>
      <c r="R85" s="49"/>
      <c r="S85" s="80" t="s">
        <v>53</v>
      </c>
      <c r="T85" s="82" t="s">
        <v>55</v>
      </c>
      <c r="U85" s="83" t="s">
        <v>80</v>
      </c>
      <c r="V85" s="82" t="s">
        <v>81</v>
      </c>
      <c r="W85" s="84"/>
      <c r="X85" s="80" t="s">
        <v>53</v>
      </c>
      <c r="Y85" s="82" t="s">
        <v>55</v>
      </c>
      <c r="Z85" s="85" t="s">
        <v>80</v>
      </c>
      <c r="AA85" s="86" t="s">
        <v>81</v>
      </c>
      <c r="AB85" s="87" t="s">
        <v>82</v>
      </c>
      <c r="AC85" s="88" t="s">
        <v>80</v>
      </c>
      <c r="AD85" s="89"/>
      <c r="AE85" s="89"/>
      <c r="AF85" s="90" t="s">
        <v>81</v>
      </c>
      <c r="AG85" s="89"/>
      <c r="AH85" s="89"/>
      <c r="AI85" s="91" t="s">
        <v>82</v>
      </c>
      <c r="AJ85" s="62"/>
      <c r="AK85" s="62"/>
      <c r="AL85" s="62"/>
      <c r="AM85" s="62"/>
      <c r="AN85" s="62"/>
      <c r="AO85" s="92"/>
      <c r="AP85" s="93" t="s">
        <v>83</v>
      </c>
      <c r="AQ85" s="93" t="s">
        <v>84</v>
      </c>
      <c r="AR85" s="93" t="s">
        <v>85</v>
      </c>
      <c r="AS85" s="93" t="s">
        <v>86</v>
      </c>
      <c r="AT85" s="94" t="s">
        <v>87</v>
      </c>
      <c r="AU85" s="94" t="s">
        <v>88</v>
      </c>
      <c r="AV85" s="94" t="s">
        <v>89</v>
      </c>
      <c r="AW85" s="94" t="s">
        <v>90</v>
      </c>
      <c r="AX85" s="49"/>
      <c r="AY85" s="49"/>
    </row>
    <row r="86" ht="1.5" customHeight="1">
      <c r="A86" s="49"/>
      <c r="B86" s="1"/>
      <c r="C86" s="1"/>
      <c r="D86" s="1"/>
      <c r="E86" s="49"/>
      <c r="F86" s="49"/>
      <c r="G86" s="49"/>
      <c r="H86" s="49"/>
      <c r="I86" s="49"/>
      <c r="J86" s="1"/>
      <c r="K86" s="49"/>
      <c r="L86" s="49"/>
      <c r="M86" s="49"/>
      <c r="N86" s="49"/>
      <c r="O86" s="49"/>
      <c r="P86" s="1"/>
      <c r="Q86" s="49"/>
      <c r="R86" s="49"/>
      <c r="S86" s="49"/>
      <c r="T86" s="49"/>
      <c r="U86" s="95"/>
      <c r="V86" s="49"/>
      <c r="W86" s="49"/>
      <c r="X86" s="49"/>
      <c r="Y86" s="49"/>
      <c r="Z86" s="96"/>
      <c r="AA86" s="49"/>
      <c r="AB86" s="97"/>
      <c r="AC86" s="97"/>
      <c r="AD86" s="62"/>
      <c r="AE86" s="62"/>
      <c r="AF86" s="97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49"/>
      <c r="AU86" s="49"/>
      <c r="AV86" s="49"/>
      <c r="AW86" s="49"/>
      <c r="AX86" s="49"/>
      <c r="AY86" s="49"/>
    </row>
    <row r="87" ht="9.75" customHeight="1">
      <c r="A87" s="49"/>
      <c r="B87" s="71" t="s">
        <v>91</v>
      </c>
      <c r="C87" s="1"/>
      <c r="D87" s="71" t="s">
        <v>92</v>
      </c>
      <c r="E87" s="1"/>
      <c r="F87" s="1"/>
      <c r="G87" s="69" t="s">
        <v>93</v>
      </c>
      <c r="H87" s="49"/>
      <c r="I87" s="49"/>
      <c r="J87" s="1"/>
      <c r="K87" s="49"/>
      <c r="L87" s="49"/>
      <c r="M87" s="1"/>
      <c r="N87" s="49"/>
      <c r="O87" s="49"/>
      <c r="P87" s="1"/>
      <c r="Q87" s="49"/>
      <c r="R87" s="98" t="s">
        <v>94</v>
      </c>
      <c r="S87" s="46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99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100">
        <f t="shared" ref="U87:U90" si="2">S87*2+T87</f>
        <v>0</v>
      </c>
      <c r="V87" s="99">
        <f>COUNTIF($D$74:$P$75,"*원석*")+COUNTIF($D$98:$P$99,"*원석*")+COUNTIF($D$122:$P$123,"*원석*")</f>
        <v>0</v>
      </c>
      <c r="W87" s="49"/>
      <c r="X87" s="46">
        <f t="shared" ref="X87:AA87" si="1">S87+S147</f>
        <v>0</v>
      </c>
      <c r="Y87" s="99">
        <f t="shared" si="1"/>
        <v>0</v>
      </c>
      <c r="Z87" s="101">
        <f t="shared" si="1"/>
        <v>0</v>
      </c>
      <c r="AA87" s="102">
        <f t="shared" si="1"/>
        <v>0</v>
      </c>
      <c r="AB87" s="10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04">
        <f t="shared" ref="AC87:AC89" si="4">Z87+U184</f>
        <v>0</v>
      </c>
      <c r="AD87" s="105"/>
      <c r="AE87" s="105"/>
      <c r="AF87" s="106">
        <f t="shared" ref="AF87:AF89" si="5">AA87+V184</f>
        <v>0</v>
      </c>
      <c r="AG87" s="105"/>
      <c r="AH87" s="105"/>
      <c r="AI87" s="103">
        <f t="shared" ref="AI87:AI89" si="6">AB87+X184</f>
        <v>0</v>
      </c>
      <c r="AJ87" s="62"/>
      <c r="AK87" s="62"/>
      <c r="AL87" s="62"/>
      <c r="AM87" s="62"/>
      <c r="AN87" s="62"/>
      <c r="AO87" s="107">
        <v>0.0</v>
      </c>
      <c r="AP87" s="108">
        <f>COUNTIF($D$69:$P$76,"*원석*")</f>
        <v>0</v>
      </c>
      <c r="AQ87" s="108">
        <f>COUNTIF($D$83:$P$100,"*원석*")</f>
        <v>0</v>
      </c>
      <c r="AR87" s="108">
        <f>COUNTIF($D$107:$P$124,"*원석*")</f>
        <v>0</v>
      </c>
      <c r="AS87" s="108">
        <f>COUNTIF($D$131:$P$132,"*원석*")+COUNTIF($D$146:$P$158,"*원석*")</f>
        <v>0</v>
      </c>
      <c r="AT87" s="98">
        <f>COUNTIF($D$165:$P$182,"*원석*")</f>
        <v>0</v>
      </c>
      <c r="AU87" s="98">
        <f>COUNTIF($D$189:$P$206,"*원석*")</f>
        <v>0</v>
      </c>
      <c r="AV87" s="98">
        <f>COUNTIF($D$213:$P$230,"*원석*")</f>
        <v>0</v>
      </c>
      <c r="AW87" s="98">
        <f t="shared" ref="AW87:AW90" si="7">SUM(AO87:AV87)</f>
        <v>0</v>
      </c>
      <c r="AX87" s="49"/>
      <c r="AY87" s="49"/>
    </row>
    <row r="88" ht="9.75" customHeight="1">
      <c r="A88" s="49"/>
      <c r="B88" s="67" t="s">
        <v>53</v>
      </c>
      <c r="C88" s="1"/>
      <c r="D88" s="50" t="s">
        <v>95</v>
      </c>
      <c r="E88" s="1"/>
      <c r="F88" s="1"/>
      <c r="G88" s="1"/>
      <c r="H88" s="49"/>
      <c r="I88" s="49"/>
      <c r="J88" s="1"/>
      <c r="K88" s="49"/>
      <c r="L88" s="49"/>
      <c r="M88" s="1"/>
      <c r="N88" s="49"/>
      <c r="O88" s="49"/>
      <c r="P88" s="1"/>
      <c r="Q88" s="49"/>
      <c r="R88" s="109" t="s">
        <v>96</v>
      </c>
      <c r="S88" s="52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84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110">
        <f t="shared" si="2"/>
        <v>1</v>
      </c>
      <c r="V88" s="84">
        <f>COUNTIF($D$74:$P$75,"*성진*")+COUNTIF($D$98:$P$99,"*성진*")+COUNTIF($D$122:$P$123,"*성진*")</f>
        <v>0</v>
      </c>
      <c r="W88" s="49"/>
      <c r="X88" s="52">
        <f t="shared" ref="X88:AA88" si="3">S88+S148</f>
        <v>0</v>
      </c>
      <c r="Y88" s="84">
        <f t="shared" si="3"/>
        <v>1</v>
      </c>
      <c r="Z88" s="111">
        <f t="shared" si="3"/>
        <v>1</v>
      </c>
      <c r="AA88" s="49">
        <f t="shared" si="3"/>
        <v>0</v>
      </c>
      <c r="AB88" s="11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3">
        <f t="shared" si="4"/>
        <v>1</v>
      </c>
      <c r="AD88" s="62"/>
      <c r="AE88" s="62"/>
      <c r="AF88" s="97">
        <f t="shared" si="5"/>
        <v>0</v>
      </c>
      <c r="AG88" s="62"/>
      <c r="AH88" s="62"/>
      <c r="AI88" s="112">
        <f t="shared" si="6"/>
        <v>0</v>
      </c>
      <c r="AJ88" s="62"/>
      <c r="AK88" s="62"/>
      <c r="AL88" s="62"/>
      <c r="AM88" s="62"/>
      <c r="AN88" s="62"/>
      <c r="AO88" s="114">
        <v>0.0</v>
      </c>
      <c r="AP88" s="115">
        <f>COUNTIF($D$69:$P$76,"*성진*")</f>
        <v>0</v>
      </c>
      <c r="AQ88" s="115">
        <f>COUNTIF($D$83:$P$100,"*성진*")</f>
        <v>0</v>
      </c>
      <c r="AR88" s="115">
        <f>COUNTIF($D$107:$P$124,"*성진*")</f>
        <v>1</v>
      </c>
      <c r="AS88" s="115">
        <f>COUNTIF($D$131:$P$132,"*성진*")+COUNTIF($D$146:$P$158,"*성진*")</f>
        <v>0</v>
      </c>
      <c r="AT88" s="115">
        <f>COUNTIF($D$165:$P$182,"*성진*")</f>
        <v>0</v>
      </c>
      <c r="AU88" s="115">
        <f>COUNTIF($D$189:$P$206,"*성진*")</f>
        <v>0</v>
      </c>
      <c r="AV88" s="115">
        <f>COUNTIF($D$213:$P$230,"*성진*")</f>
        <v>0</v>
      </c>
      <c r="AW88" s="109">
        <f t="shared" si="7"/>
        <v>1</v>
      </c>
      <c r="AX88" s="49"/>
      <c r="AY88" s="49"/>
    </row>
    <row r="89" ht="9.75" customHeight="1">
      <c r="A89" s="49"/>
      <c r="B89" s="67" t="s">
        <v>55</v>
      </c>
      <c r="C89" s="1"/>
      <c r="D89" s="72" t="s">
        <v>97</v>
      </c>
      <c r="E89" s="1"/>
      <c r="F89" s="1"/>
      <c r="G89" s="1"/>
      <c r="H89" s="49"/>
      <c r="I89" s="49"/>
      <c r="J89" s="1"/>
      <c r="K89" s="49"/>
      <c r="L89" s="49"/>
      <c r="M89" s="1"/>
      <c r="N89" s="49"/>
      <c r="O89" s="49"/>
      <c r="P89" s="1"/>
      <c r="Q89" s="49"/>
      <c r="R89" s="109" t="s">
        <v>68</v>
      </c>
      <c r="S89" s="52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84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110">
        <f t="shared" si="2"/>
        <v>0</v>
      </c>
      <c r="V89" s="84">
        <f>COUNTIF($D$74:$P$75,"*종섭*")+COUNTIF($D$98:$P$99,"*종섭*")+COUNTIF($D$122:$P$123,"*종섭*")</f>
        <v>0</v>
      </c>
      <c r="W89" s="49"/>
      <c r="X89" s="52">
        <f t="shared" ref="X89:AA89" si="8">S89+S150</f>
        <v>0</v>
      </c>
      <c r="Y89" s="84">
        <f t="shared" si="8"/>
        <v>0</v>
      </c>
      <c r="Z89" s="111">
        <f t="shared" si="8"/>
        <v>0</v>
      </c>
      <c r="AA89" s="49">
        <f t="shared" si="8"/>
        <v>0</v>
      </c>
      <c r="AB89" s="11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3">
        <f t="shared" si="4"/>
        <v>0</v>
      </c>
      <c r="AD89" s="62"/>
      <c r="AE89" s="62"/>
      <c r="AF89" s="97">
        <f t="shared" si="5"/>
        <v>0</v>
      </c>
      <c r="AG89" s="62"/>
      <c r="AH89" s="62"/>
      <c r="AI89" s="112">
        <f t="shared" si="6"/>
        <v>0</v>
      </c>
      <c r="AJ89" s="62"/>
      <c r="AK89" s="62"/>
      <c r="AL89" s="62"/>
      <c r="AM89" s="62"/>
      <c r="AN89" s="62"/>
      <c r="AO89" s="114">
        <v>0.0</v>
      </c>
      <c r="AP89" s="115">
        <f>COUNTIF($D$69:$P$76,"*종섭*")</f>
        <v>0</v>
      </c>
      <c r="AQ89" s="115">
        <f>COUNTIF($D$83:$P$100,"*종섭*")</f>
        <v>0</v>
      </c>
      <c r="AR89" s="115">
        <f>COUNTIF($D$107:$P$124,"*종섭*")</f>
        <v>0</v>
      </c>
      <c r="AS89" s="115">
        <f>COUNTIF($D$131:$P$132,"*종섭*")+COUNTIF($D$146:$P$158,"*종섭*")</f>
        <v>0</v>
      </c>
      <c r="AT89" s="115">
        <f>COUNTIF($D$165:$P$182,"*종섭*")</f>
        <v>0</v>
      </c>
      <c r="AU89" s="115">
        <f>COUNTIF($D$189:$P$206,"*종섭*")</f>
        <v>0</v>
      </c>
      <c r="AV89" s="115">
        <f>COUNTIF($D$213:$P$230,"*종섭*")</f>
        <v>0</v>
      </c>
      <c r="AW89" s="109">
        <f t="shared" si="7"/>
        <v>0</v>
      </c>
      <c r="AX89" s="49"/>
      <c r="AY89" s="49"/>
    </row>
    <row r="90" ht="9.75" customHeight="1">
      <c r="A90" s="49"/>
      <c r="B90" s="67" t="s">
        <v>57</v>
      </c>
      <c r="C90" s="1"/>
      <c r="D90" s="70" t="s">
        <v>58</v>
      </c>
      <c r="E90" s="1"/>
      <c r="F90" s="1"/>
      <c r="G90" s="1"/>
      <c r="H90" s="49"/>
      <c r="I90" s="49"/>
      <c r="J90" s="1"/>
      <c r="K90" s="49"/>
      <c r="L90" s="49"/>
      <c r="M90" s="1"/>
      <c r="N90" s="49"/>
      <c r="O90" s="49"/>
      <c r="P90" s="1"/>
      <c r="Q90" s="49"/>
      <c r="R90" s="109" t="s">
        <v>98</v>
      </c>
      <c r="S90" s="52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1</v>
      </c>
      <c r="T90" s="84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1</v>
      </c>
      <c r="U90" s="110">
        <f t="shared" si="2"/>
        <v>3</v>
      </c>
      <c r="V90" s="84">
        <f>COUNTIF($D$74:$P$75,"*형민*")+COUNTIF($D$98:$P$99,"*형민*")+COUNTIF($D$122:$P$123,"*형민*")</f>
        <v>0</v>
      </c>
      <c r="W90" s="49"/>
      <c r="X90" s="52">
        <f t="shared" ref="X90:AA90" si="9">S90+S151</f>
        <v>1</v>
      </c>
      <c r="Y90" s="84">
        <f t="shared" si="9"/>
        <v>1</v>
      </c>
      <c r="Z90" s="111">
        <f t="shared" si="9"/>
        <v>3</v>
      </c>
      <c r="AA90" s="49">
        <f t="shared" si="9"/>
        <v>0</v>
      </c>
      <c r="AB90" s="11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3">
        <f>Z90+U188</f>
        <v>3</v>
      </c>
      <c r="AD90" s="62"/>
      <c r="AE90" s="62"/>
      <c r="AF90" s="97">
        <f>AA90+V188</f>
        <v>0</v>
      </c>
      <c r="AG90" s="62"/>
      <c r="AH90" s="62"/>
      <c r="AI90" s="112">
        <f>AB90+X188</f>
        <v>0</v>
      </c>
      <c r="AJ90" s="62"/>
      <c r="AK90" s="62"/>
      <c r="AL90" s="62"/>
      <c r="AM90" s="62"/>
      <c r="AN90" s="62"/>
      <c r="AO90" s="114">
        <v>0.0</v>
      </c>
      <c r="AP90" s="115">
        <f>COUNTIF($D$69:$P$76,"*형민*")</f>
        <v>0</v>
      </c>
      <c r="AQ90" s="115">
        <f>COUNTIF($D$83:$P$100,"*형민*")</f>
        <v>1</v>
      </c>
      <c r="AR90" s="115">
        <f>COUNTIF($D$107:$P$124,"*형민*")</f>
        <v>1</v>
      </c>
      <c r="AS90" s="115">
        <f>COUNTIF($D$131:$P$132,"*형민*")+COUNTIF($D$146:$P$158,"*형민*")</f>
        <v>0</v>
      </c>
      <c r="AT90" s="115">
        <f>COUNTIF($D$165:$P$182,"*형민*")</f>
        <v>0</v>
      </c>
      <c r="AU90" s="115">
        <f>COUNTIF($D$189:$P$206,"*형민*")</f>
        <v>0</v>
      </c>
      <c r="AV90" s="115">
        <f>COUNTIF($D$213:$P$230,"*형민*")</f>
        <v>0</v>
      </c>
      <c r="AW90" s="109">
        <f t="shared" si="7"/>
        <v>2</v>
      </c>
      <c r="AX90" s="49"/>
      <c r="AY90" s="49"/>
    </row>
    <row r="91" ht="1.5" customHeight="1">
      <c r="A91" s="49"/>
      <c r="B91" s="1"/>
      <c r="C91" s="1"/>
      <c r="D91" s="1"/>
      <c r="E91" s="49"/>
      <c r="F91" s="49"/>
      <c r="G91" s="49"/>
      <c r="H91" s="49"/>
      <c r="I91" s="49"/>
      <c r="J91" s="1"/>
      <c r="K91" s="49"/>
      <c r="L91" s="49"/>
      <c r="M91" s="49"/>
      <c r="N91" s="49"/>
      <c r="O91" s="49"/>
      <c r="P91" s="1"/>
      <c r="Q91" s="49"/>
      <c r="R91" s="109"/>
      <c r="S91" s="52"/>
      <c r="T91" s="84"/>
      <c r="U91" s="110"/>
      <c r="V91" s="84"/>
      <c r="W91" s="49"/>
      <c r="X91" s="52"/>
      <c r="Y91" s="84"/>
      <c r="Z91" s="111"/>
      <c r="AA91" s="49"/>
      <c r="AB91" s="112"/>
      <c r="AC91" s="113"/>
      <c r="AD91" s="62"/>
      <c r="AE91" s="62"/>
      <c r="AF91" s="97"/>
      <c r="AG91" s="62"/>
      <c r="AH91" s="62"/>
      <c r="AI91" s="112"/>
      <c r="AJ91" s="62"/>
      <c r="AK91" s="62"/>
      <c r="AL91" s="62"/>
      <c r="AM91" s="62"/>
      <c r="AN91" s="62"/>
      <c r="AO91" s="114">
        <v>0.0</v>
      </c>
      <c r="AP91" s="115"/>
      <c r="AQ91" s="115"/>
      <c r="AR91" s="115"/>
      <c r="AS91" s="115"/>
      <c r="AT91" s="115"/>
      <c r="AU91" s="115"/>
      <c r="AV91" s="115"/>
      <c r="AW91" s="109"/>
      <c r="AX91" s="49"/>
      <c r="AY91" s="49"/>
    </row>
    <row r="92" ht="9.75" customHeight="1">
      <c r="A92" s="49"/>
      <c r="B92" s="71" t="s">
        <v>51</v>
      </c>
      <c r="C92" s="1"/>
      <c r="D92" s="71" t="s">
        <v>99</v>
      </c>
      <c r="E92" s="1"/>
      <c r="F92" s="1"/>
      <c r="G92" s="1"/>
      <c r="H92" s="49"/>
      <c r="I92" s="49"/>
      <c r="J92" s="1"/>
      <c r="K92" s="49"/>
      <c r="L92" s="49"/>
      <c r="M92" s="1"/>
      <c r="N92" s="49"/>
      <c r="O92" s="49"/>
      <c r="P92" s="1"/>
      <c r="Q92" s="49"/>
      <c r="R92" s="109" t="s">
        <v>62</v>
      </c>
      <c r="S92" s="52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84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110">
        <f t="shared" ref="U92:U95" si="11">S92*2+T92</f>
        <v>2</v>
      </c>
      <c r="V92" s="84">
        <f>COUNTIF($D$74:$P$75,"*효동*")+COUNTIF($D$98:$P$99,"*효동*")+COUNTIF($D$122:$P$123,"*효동*")</f>
        <v>1</v>
      </c>
      <c r="W92" s="49"/>
      <c r="X92" s="52">
        <f t="shared" ref="X92:AA92" si="10">S92+S152</f>
        <v>1</v>
      </c>
      <c r="Y92" s="84">
        <f t="shared" si="10"/>
        <v>0</v>
      </c>
      <c r="Z92" s="111">
        <f t="shared" si="10"/>
        <v>2</v>
      </c>
      <c r="AA92" s="49">
        <f t="shared" si="10"/>
        <v>1</v>
      </c>
      <c r="AB92" s="11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3">
        <f t="shared" ref="AC92:AC94" si="13">Z92+U189</f>
        <v>2</v>
      </c>
      <c r="AD92" s="62"/>
      <c r="AE92" s="62"/>
      <c r="AF92" s="97">
        <f t="shared" ref="AF92:AF94" si="14">AA92+V189</f>
        <v>1</v>
      </c>
      <c r="AG92" s="62"/>
      <c r="AH92" s="62"/>
      <c r="AI92" s="112">
        <f t="shared" ref="AI92:AI94" si="15">AB92+X189</f>
        <v>0</v>
      </c>
      <c r="AJ92" s="62"/>
      <c r="AK92" s="62"/>
      <c r="AL92" s="62"/>
      <c r="AM92" s="62"/>
      <c r="AN92" s="62"/>
      <c r="AO92" s="114">
        <v>0.0</v>
      </c>
      <c r="AP92" s="115">
        <f>COUNTIF($D$69:$P$76,"*효동*")</f>
        <v>1</v>
      </c>
      <c r="AQ92" s="115">
        <f>COUNTIF($D$83:$P$100,"*효동*")</f>
        <v>0</v>
      </c>
      <c r="AR92" s="115">
        <f>COUNTIF($D$107:$P$124,"*효동*")</f>
        <v>0</v>
      </c>
      <c r="AS92" s="115">
        <f>COUNTIF($D$131:$P$132,"*효동*")+COUNTIF($D$146:$P$158,"*효동*")</f>
        <v>0</v>
      </c>
      <c r="AT92" s="115">
        <f>COUNTIF($D$165:$P$182,"*효동*")</f>
        <v>0</v>
      </c>
      <c r="AU92" s="115">
        <f>COUNTIF($D$189:$P$206,"*효동*")</f>
        <v>0</v>
      </c>
      <c r="AV92" s="115">
        <f>COUNTIF($D$213:$P$230,"*효동*")</f>
        <v>0</v>
      </c>
      <c r="AW92" s="109">
        <f t="shared" ref="AW92:AW95" si="16">SUM(AO92:AV92)</f>
        <v>1</v>
      </c>
      <c r="AX92" s="49"/>
      <c r="AY92" s="49"/>
    </row>
    <row r="93" ht="9.75" customHeight="1">
      <c r="A93" s="49"/>
      <c r="B93" s="67" t="s">
        <v>53</v>
      </c>
      <c r="C93" s="1"/>
      <c r="D93" s="50" t="s">
        <v>100</v>
      </c>
      <c r="E93" s="1"/>
      <c r="F93" s="1"/>
      <c r="G93" s="1"/>
      <c r="H93" s="49"/>
      <c r="I93" s="49"/>
      <c r="J93" s="1" t="s">
        <v>101</v>
      </c>
      <c r="K93" s="49"/>
      <c r="L93" s="49"/>
      <c r="M93" s="1"/>
      <c r="N93" s="49"/>
      <c r="O93" s="49"/>
      <c r="P93" s="1"/>
      <c r="Q93" s="49"/>
      <c r="R93" s="109" t="s">
        <v>102</v>
      </c>
      <c r="S93" s="52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84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110">
        <f t="shared" si="11"/>
        <v>2</v>
      </c>
      <c r="V93" s="84">
        <f>COUNTIF($D$74:$P$75,"*상은*")+COUNTIF($D$98:$P$99,"*상은*")+COUNTIF($D$122:$P$123,"*상은*")</f>
        <v>1</v>
      </c>
      <c r="W93" s="49"/>
      <c r="X93" s="52">
        <f t="shared" ref="X93:AA93" si="12">S93+S153</f>
        <v>1</v>
      </c>
      <c r="Y93" s="84">
        <f t="shared" si="12"/>
        <v>0</v>
      </c>
      <c r="Z93" s="111">
        <f t="shared" si="12"/>
        <v>2</v>
      </c>
      <c r="AA93" s="49">
        <f t="shared" si="12"/>
        <v>1</v>
      </c>
      <c r="AB93" s="11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3">
        <f t="shared" si="13"/>
        <v>2</v>
      </c>
      <c r="AD93" s="62"/>
      <c r="AE93" s="62"/>
      <c r="AF93" s="97">
        <f t="shared" si="14"/>
        <v>1</v>
      </c>
      <c r="AG93" s="62"/>
      <c r="AH93" s="62"/>
      <c r="AI93" s="112">
        <f t="shared" si="15"/>
        <v>0</v>
      </c>
      <c r="AJ93" s="62"/>
      <c r="AK93" s="62"/>
      <c r="AL93" s="62"/>
      <c r="AM93" s="62"/>
      <c r="AN93" s="62"/>
      <c r="AO93" s="114">
        <v>0.0</v>
      </c>
      <c r="AP93" s="115">
        <f>COUNTIF($D$69:$P$76,"*상은*")</f>
        <v>0</v>
      </c>
      <c r="AQ93" s="115">
        <f>COUNTIF($D$83:$P$100,"*상은*")</f>
        <v>1</v>
      </c>
      <c r="AR93" s="115">
        <f>COUNTIF($D$107:$P$124,"*상은*")</f>
        <v>0</v>
      </c>
      <c r="AS93" s="115">
        <f>COUNTIF($D$131:$P$132,"*상은*")+COUNTIF($D$146:$P$158,"*상은*")</f>
        <v>0</v>
      </c>
      <c r="AT93" s="115">
        <f>COUNTIF($D$165:$P$182,"*상은*")</f>
        <v>0</v>
      </c>
      <c r="AU93" s="115">
        <f>COUNTIF($D$189:$P$206,"*상은*")</f>
        <v>0</v>
      </c>
      <c r="AV93" s="115">
        <f>COUNTIF($D$213:$P$230,"*상은*")</f>
        <v>0</v>
      </c>
      <c r="AW93" s="109">
        <f t="shared" si="16"/>
        <v>1</v>
      </c>
      <c r="AX93" s="49"/>
      <c r="AY93" s="49"/>
    </row>
    <row r="94" ht="9.75" customHeight="1">
      <c r="A94" s="49"/>
      <c r="B94" s="67" t="s">
        <v>55</v>
      </c>
      <c r="C94" s="1"/>
      <c r="D94" s="72" t="s">
        <v>103</v>
      </c>
      <c r="E94" s="1"/>
      <c r="F94" s="1"/>
      <c r="G94" s="1"/>
      <c r="H94" s="49"/>
      <c r="I94" s="49"/>
      <c r="J94" s="1"/>
      <c r="K94" s="49"/>
      <c r="L94" s="49"/>
      <c r="M94" s="1"/>
      <c r="N94" s="49"/>
      <c r="O94" s="49"/>
      <c r="P94" s="1"/>
      <c r="Q94" s="49"/>
      <c r="R94" s="109" t="s">
        <v>104</v>
      </c>
      <c r="S94" s="52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16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110">
        <f t="shared" si="11"/>
        <v>0</v>
      </c>
      <c r="V94" s="84">
        <f>COUNTIF($D$74:$P$75,"*준범*")+COUNTIF($D$98:$P$99,"*준범*")+COUNTIF($D$122:$P$123,"*준범*")</f>
        <v>0</v>
      </c>
      <c r="W94" s="49"/>
      <c r="X94" s="52">
        <f t="shared" ref="X94:AA94" si="17">S94+S155</f>
        <v>0</v>
      </c>
      <c r="Y94" s="84">
        <f t="shared" si="17"/>
        <v>0</v>
      </c>
      <c r="Z94" s="111">
        <f t="shared" si="17"/>
        <v>0</v>
      </c>
      <c r="AA94" s="49">
        <f t="shared" si="17"/>
        <v>0</v>
      </c>
      <c r="AB94" s="11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3">
        <f t="shared" si="13"/>
        <v>0</v>
      </c>
      <c r="AD94" s="62"/>
      <c r="AE94" s="62"/>
      <c r="AF94" s="97">
        <f t="shared" si="14"/>
        <v>0</v>
      </c>
      <c r="AG94" s="62"/>
      <c r="AH94" s="62"/>
      <c r="AI94" s="112">
        <f t="shared" si="15"/>
        <v>0</v>
      </c>
      <c r="AJ94" s="62"/>
      <c r="AK94" s="62"/>
      <c r="AL94" s="62"/>
      <c r="AM94" s="62"/>
      <c r="AN94" s="62"/>
      <c r="AO94" s="114">
        <v>0.0</v>
      </c>
      <c r="AP94" s="115">
        <f>COUNTIF($D$69:$P$76,"*준범*")</f>
        <v>0</v>
      </c>
      <c r="AQ94" s="115">
        <f>COUNTIF($D$83:$P$100,"*준범*")</f>
        <v>0</v>
      </c>
      <c r="AR94" s="115">
        <f>COUNTIF($D$107:$P$124,"*준범*")</f>
        <v>0</v>
      </c>
      <c r="AS94" s="115">
        <f>COUNTIF($D$131:$P$132,"*준범*")+COUNTIF($D$146:$P$158,"*준범*")</f>
        <v>0</v>
      </c>
      <c r="AT94" s="115">
        <f>COUNTIF($D$165:$P$182,"*준범*")</f>
        <v>0</v>
      </c>
      <c r="AU94" s="115">
        <f>COUNTIF($D$189:$P$206,"*준범*")</f>
        <v>0</v>
      </c>
      <c r="AV94" s="115">
        <f>COUNTIF($D$213:$P$230,"*준범*")</f>
        <v>0</v>
      </c>
      <c r="AW94" s="109">
        <f t="shared" si="16"/>
        <v>0</v>
      </c>
      <c r="AX94" s="49"/>
      <c r="AY94" s="49"/>
    </row>
    <row r="95" ht="9.75" customHeight="1">
      <c r="A95" s="49"/>
      <c r="B95" s="67" t="s">
        <v>57</v>
      </c>
      <c r="C95" s="1"/>
      <c r="D95" s="72" t="s">
        <v>58</v>
      </c>
      <c r="E95" s="1"/>
      <c r="F95" s="1"/>
      <c r="G95" s="1"/>
      <c r="H95" s="49"/>
      <c r="I95" s="49"/>
      <c r="J95" s="1"/>
      <c r="K95" s="49"/>
      <c r="L95" s="49"/>
      <c r="M95" s="1"/>
      <c r="N95" s="49"/>
      <c r="O95" s="49"/>
      <c r="P95" s="1"/>
      <c r="Q95" s="49"/>
      <c r="R95" s="109" t="s">
        <v>105</v>
      </c>
      <c r="S95" s="52">
        <f>COUNTIF($D$69:$P$69,"*aaa*")+COUNTIF($D$74:$P$74,"*aaa*")+COUNTIF($D$83:$P$83,"*aaa*")+COUNTIF($D$88:$P$88,"*aaa*")+COUNTIF($D$93:$P$93,"*aaa*")+COUNTIF($D$98:$P$98,"*aaa*")+COUNTIF($D$107:$P$107,"*aaa*")+COUNTIF($D$112:$P$112,"*aaa*")+COUNTIF($D$117:$P$117,"*aaa*")+COUNTIF($D$122:$P$122,"*aaa*")+COUNTIF($D$131:$P$131,"*aaa*")</f>
        <v>0</v>
      </c>
      <c r="T95" s="116">
        <f>COUNTIF($D$70:$P$70,"*aaa*")+COUNTIF($D$75:$P$75,"*aaa*")+COUNTIF($D$84:$P$84,"*aaa*")+COUNTIF($D$89:$P$89,"*aaa*")+COUNTIF($D$94:$P$94,"*aaa*")+COUNTIF($D$99:$P$99,"*aaa*")+COUNTIF($D$108:$P$108,"*aaa*")+COUNTIF($D$113:$P$113,"*aaa*")+COUNTIF($D$118:$P$118,"*aaa*")+COUNTIF($D$123:$P$123,"*aaa*")+COUNTIF($D$132:$P$132,"*aaa*")</f>
        <v>0</v>
      </c>
      <c r="U95" s="110">
        <f t="shared" si="11"/>
        <v>0</v>
      </c>
      <c r="V95" s="84">
        <f>COUNTIF($D$74:$P$75,"*aaa*")+COUNTIF($D$98:$P$99,"*aaa*")+COUNTIF($D$122:$P$123,"*aaa*")</f>
        <v>0</v>
      </c>
      <c r="W95" s="49"/>
      <c r="X95" s="52">
        <f t="shared" ref="X95:AA95" si="18">S95+S156</f>
        <v>0</v>
      </c>
      <c r="Y95" s="84">
        <f t="shared" si="18"/>
        <v>0</v>
      </c>
      <c r="Z95" s="111">
        <f t="shared" si="18"/>
        <v>0</v>
      </c>
      <c r="AA95" s="49">
        <f t="shared" si="18"/>
        <v>0</v>
      </c>
      <c r="AB95" s="112">
        <f>COUNTIF($AC$54:$AO$54,"*aaa*")+COUNTIF($AC$56:$AO$56,"*aaa*")+COUNTIF($AC$57:$AO$57,"*aaa*")+COUNTIF($AC$58:$AO$58,"*aaa*")+COUNTIF($AC$59:$AO$59,"*aaa*")+COUNTIF($AC$60:$AO$60,"*aaa*")+COUNTIF($AC$61:$AO$61,"*aaa*")+COUNTIF($AC$62:$AO$62,"*aaa*")+COUNTIF($AC$64:$AO$64,"*aaa*")+COUNTIF($AC$65:$AO$65,"*aaa*")+COUNTIF($AC$66:$AO$66,"*aaa*")+COUNTIF($AC$68:$AO$68,"*aaa*")+COUNTIF($AC$69:$AO$69,"*aaa*")+COUNTIF($AC$70:$AO$70,"*aaa*")+COUNTIF($AC$71:$AO$71,"*aaa*")+COUNTIF($AC$73:$AO$73,"*aaa*")+COUNTIF($AC$74:$AO$74,"*aaa*")+COUNTIF($AC$75:$AO$75,"*aaa*")</f>
        <v>0</v>
      </c>
      <c r="AC95" s="113">
        <f>Z95+U193</f>
        <v>0</v>
      </c>
      <c r="AD95" s="62"/>
      <c r="AE95" s="62"/>
      <c r="AF95" s="97">
        <f>AA95+V193</f>
        <v>0</v>
      </c>
      <c r="AG95" s="62"/>
      <c r="AH95" s="62"/>
      <c r="AI95" s="112">
        <f>AB95+X193</f>
        <v>0</v>
      </c>
      <c r="AJ95" s="62"/>
      <c r="AK95" s="62"/>
      <c r="AL95" s="62"/>
      <c r="AM95" s="62"/>
      <c r="AN95" s="62"/>
      <c r="AO95" s="114">
        <v>0.0</v>
      </c>
      <c r="AP95" s="115">
        <f>COUNTIF($D$69:$P$76,"*aaa*")</f>
        <v>0</v>
      </c>
      <c r="AQ95" s="115">
        <f>COUNTIF($D$83:$P$100,"*aaa*")</f>
        <v>0</v>
      </c>
      <c r="AR95" s="115">
        <f>COUNTIF($D$107:$P$124,"*aaa*")</f>
        <v>0</v>
      </c>
      <c r="AS95" s="115">
        <f>COUNTIF($D$131:$P$132,"*aaa*")+COUNTIF($D$146:$P$158,"*aaa*")</f>
        <v>0</v>
      </c>
      <c r="AT95" s="115">
        <f>COUNTIF($D$165:$P$182,"*aaa*")</f>
        <v>0</v>
      </c>
      <c r="AU95" s="115">
        <f>COUNTIF($D$189:$P$206,"*aaa*")</f>
        <v>0</v>
      </c>
      <c r="AV95" s="115">
        <f>COUNTIF($D$213:$P$230,"*aaa*")</f>
        <v>0</v>
      </c>
      <c r="AW95" s="109">
        <f t="shared" si="16"/>
        <v>0</v>
      </c>
      <c r="AX95" s="49"/>
      <c r="AY95" s="49"/>
    </row>
    <row r="96" ht="1.5" customHeight="1">
      <c r="A96" s="49"/>
      <c r="B96" s="1"/>
      <c r="C96" s="1"/>
      <c r="D96" s="1"/>
      <c r="E96" s="49"/>
      <c r="F96" s="49"/>
      <c r="G96" s="49"/>
      <c r="H96" s="49"/>
      <c r="I96" s="49"/>
      <c r="J96" s="1"/>
      <c r="K96" s="49"/>
      <c r="L96" s="49"/>
      <c r="M96" s="49"/>
      <c r="N96" s="49"/>
      <c r="O96" s="49"/>
      <c r="P96" s="1"/>
      <c r="Q96" s="49"/>
      <c r="R96" s="109"/>
      <c r="S96" s="52"/>
      <c r="T96" s="84"/>
      <c r="U96" s="110"/>
      <c r="V96" s="84"/>
      <c r="W96" s="49"/>
      <c r="X96" s="52"/>
      <c r="Y96" s="84"/>
      <c r="Z96" s="111"/>
      <c r="AA96" s="49"/>
      <c r="AB96" s="112"/>
      <c r="AC96" s="113"/>
      <c r="AD96" s="62"/>
      <c r="AE96" s="62"/>
      <c r="AF96" s="97"/>
      <c r="AG96" s="62"/>
      <c r="AH96" s="62"/>
      <c r="AI96" s="112"/>
      <c r="AJ96" s="62"/>
      <c r="AK96" s="62"/>
      <c r="AL96" s="62"/>
      <c r="AM96" s="62"/>
      <c r="AN96" s="62"/>
      <c r="AO96" s="114">
        <v>0.0</v>
      </c>
      <c r="AP96" s="115"/>
      <c r="AQ96" s="115"/>
      <c r="AR96" s="115"/>
      <c r="AS96" s="115"/>
      <c r="AT96" s="115"/>
      <c r="AU96" s="115"/>
      <c r="AV96" s="115"/>
      <c r="AW96" s="109"/>
      <c r="AX96" s="49"/>
      <c r="AY96" s="49"/>
    </row>
    <row r="97" ht="9.75" customHeight="1">
      <c r="A97" s="49"/>
      <c r="B97" s="71" t="s">
        <v>60</v>
      </c>
      <c r="C97" s="1"/>
      <c r="D97" s="71" t="s">
        <v>106</v>
      </c>
      <c r="E97" s="1"/>
      <c r="F97" s="1"/>
      <c r="G97" s="69" t="s">
        <v>107</v>
      </c>
      <c r="H97" s="49"/>
      <c r="I97" s="49"/>
      <c r="J97" s="1"/>
      <c r="K97" s="49"/>
      <c r="L97" s="49"/>
      <c r="M97" s="1"/>
      <c r="N97" s="49"/>
      <c r="O97" s="49"/>
      <c r="P97" s="1"/>
      <c r="Q97" s="49"/>
      <c r="R97" s="109" t="s">
        <v>108</v>
      </c>
      <c r="S97" s="52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16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110">
        <f t="shared" ref="U97:U100" si="20">S97*2+T97</f>
        <v>0</v>
      </c>
      <c r="V97" s="84">
        <f>COUNTIF($D$74:$P$75,"*최근*")+COUNTIF($D$98:$P$99,"*최근*")+COUNTIF($D$122:$P$123,"*최근*")</f>
        <v>0</v>
      </c>
      <c r="W97" s="49"/>
      <c r="X97" s="52">
        <f t="shared" ref="X97:AA97" si="19">S97+S157</f>
        <v>0</v>
      </c>
      <c r="Y97" s="84">
        <f t="shared" si="19"/>
        <v>0</v>
      </c>
      <c r="Z97" s="111">
        <f t="shared" si="19"/>
        <v>0</v>
      </c>
      <c r="AA97" s="49">
        <f t="shared" si="19"/>
        <v>0</v>
      </c>
      <c r="AB97" s="11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3">
        <f t="shared" ref="AC97:AC99" si="22">Z97+U194</f>
        <v>0</v>
      </c>
      <c r="AD97" s="62"/>
      <c r="AE97" s="62"/>
      <c r="AF97" s="97">
        <f t="shared" ref="AF97:AF99" si="23">AA97+V194</f>
        <v>0</v>
      </c>
      <c r="AG97" s="62"/>
      <c r="AH97" s="62"/>
      <c r="AI97" s="112">
        <f t="shared" ref="AI97:AI99" si="24">AB97+X194</f>
        <v>0</v>
      </c>
      <c r="AJ97" s="62"/>
      <c r="AK97" s="62"/>
      <c r="AL97" s="62"/>
      <c r="AM97" s="62"/>
      <c r="AN97" s="62"/>
      <c r="AO97" s="114">
        <v>0.0</v>
      </c>
      <c r="AP97" s="115">
        <f>COUNTIF($D$69:$P$76,"*최근*")</f>
        <v>0</v>
      </c>
      <c r="AQ97" s="115">
        <f>COUNTIF($D$83:$P$100,"*최근*")</f>
        <v>0</v>
      </c>
      <c r="AR97" s="115">
        <f>COUNTIF($D$107:$P$124,"*최근*")</f>
        <v>0</v>
      </c>
      <c r="AS97" s="115">
        <f>COUNTIF($D$131:$P$132,"*최근*")+COUNTIF($D$146:$P$158,"*최근*")</f>
        <v>0</v>
      </c>
      <c r="AT97" s="115">
        <f>COUNTIF($D$165:$P$182,"*최근*")</f>
        <v>0</v>
      </c>
      <c r="AU97" s="115">
        <f>COUNTIF($D$189:$P$206,"*최근*")</f>
        <v>0</v>
      </c>
      <c r="AV97" s="115">
        <f>COUNTIF($D$213:$P$230,"*최근*")</f>
        <v>0</v>
      </c>
      <c r="AW97" s="109">
        <f t="shared" ref="AW97:AW100" si="25">SUM(AO97:AV97)</f>
        <v>0</v>
      </c>
      <c r="AX97" s="49"/>
      <c r="AY97" s="49"/>
    </row>
    <row r="98" ht="9.75" customHeight="1">
      <c r="A98" s="49"/>
      <c r="B98" s="67" t="s">
        <v>53</v>
      </c>
      <c r="C98" s="1"/>
      <c r="D98" s="50" t="s">
        <v>102</v>
      </c>
      <c r="E98" s="1"/>
      <c r="F98" s="1"/>
      <c r="G98" s="1"/>
      <c r="H98" s="49"/>
      <c r="I98" s="49"/>
      <c r="J98" s="1"/>
      <c r="K98" s="49"/>
      <c r="L98" s="49"/>
      <c r="M98" s="1"/>
      <c r="N98" s="49"/>
      <c r="O98" s="49"/>
      <c r="P98" s="1"/>
      <c r="Q98" s="49"/>
      <c r="R98" s="109" t="s">
        <v>95</v>
      </c>
      <c r="S98" s="52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84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110">
        <f t="shared" si="20"/>
        <v>2</v>
      </c>
      <c r="V98" s="84">
        <f>COUNTIF($D$74:$P$75,"*상록*")+COUNTIF($D$98:$P$99,"*상록*")+COUNTIF($D$122:$P$123,"*상록*")</f>
        <v>0</v>
      </c>
      <c r="W98" s="49"/>
      <c r="X98" s="52">
        <f t="shared" ref="X98:AA98" si="21">S98+S158</f>
        <v>1</v>
      </c>
      <c r="Y98" s="84">
        <f t="shared" si="21"/>
        <v>0</v>
      </c>
      <c r="Z98" s="111">
        <f t="shared" si="21"/>
        <v>2</v>
      </c>
      <c r="AA98" s="49">
        <f t="shared" si="21"/>
        <v>0</v>
      </c>
      <c r="AB98" s="11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3">
        <f t="shared" si="22"/>
        <v>2</v>
      </c>
      <c r="AD98" s="62"/>
      <c r="AE98" s="62"/>
      <c r="AF98" s="97">
        <f t="shared" si="23"/>
        <v>0</v>
      </c>
      <c r="AG98" s="62"/>
      <c r="AH98" s="62"/>
      <c r="AI98" s="112">
        <f t="shared" si="24"/>
        <v>0</v>
      </c>
      <c r="AJ98" s="62"/>
      <c r="AK98" s="62"/>
      <c r="AL98" s="62"/>
      <c r="AM98" s="62"/>
      <c r="AN98" s="62"/>
      <c r="AO98" s="114">
        <v>0.0</v>
      </c>
      <c r="AP98" s="115">
        <f>COUNTIF($D$69:$P$76,"*상록*")</f>
        <v>0</v>
      </c>
      <c r="AQ98" s="115">
        <f>COUNTIF($D$83:$P$100,"*상록*")</f>
        <v>1</v>
      </c>
      <c r="AR98" s="115">
        <f>COUNTIF($D$107:$P$124,"*상록*")</f>
        <v>0</v>
      </c>
      <c r="AS98" s="115">
        <f>COUNTIF($D$131:$P$132,"*상록*")+COUNTIF($D$146:$P$158,"*상록*")</f>
        <v>0</v>
      </c>
      <c r="AT98" s="115">
        <f>COUNTIF($D$165:$P$182,"*상록*")</f>
        <v>0</v>
      </c>
      <c r="AU98" s="115">
        <f>COUNTIF($D$189:$P$206,"*상록*")</f>
        <v>0</v>
      </c>
      <c r="AV98" s="115">
        <f>COUNTIF($D$213:$P$230,"*상록*")</f>
        <v>0</v>
      </c>
      <c r="AW98" s="109">
        <f t="shared" si="25"/>
        <v>1</v>
      </c>
      <c r="AX98" s="49"/>
      <c r="AY98" s="49"/>
    </row>
    <row r="99" ht="9.75" customHeight="1">
      <c r="A99" s="49"/>
      <c r="B99" s="67" t="s">
        <v>55</v>
      </c>
      <c r="C99" s="1"/>
      <c r="D99" s="72" t="s">
        <v>109</v>
      </c>
      <c r="E99" s="1"/>
      <c r="F99" s="1"/>
      <c r="G99" s="1"/>
      <c r="H99" s="49"/>
      <c r="I99" s="49"/>
      <c r="J99" s="1"/>
      <c r="K99" s="49"/>
      <c r="L99" s="49"/>
      <c r="M99" s="1"/>
      <c r="N99" s="49"/>
      <c r="O99" s="49"/>
      <c r="P99" s="1"/>
      <c r="Q99" s="49"/>
      <c r="R99" s="109" t="s">
        <v>74</v>
      </c>
      <c r="S99" s="52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84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110">
        <f t="shared" si="20"/>
        <v>3</v>
      </c>
      <c r="V99" s="84">
        <f>COUNTIF($D$74:$P$75,"*신우*")+COUNTIF($D$98:$P$99,"*신우*")+COUNTIF($D$122:$P$123,"*신우*")</f>
        <v>1</v>
      </c>
      <c r="W99" s="49"/>
      <c r="X99" s="52">
        <f t="shared" ref="X99:AA99" si="26">S99+S160</f>
        <v>1</v>
      </c>
      <c r="Y99" s="84">
        <f t="shared" si="26"/>
        <v>1</v>
      </c>
      <c r="Z99" s="111">
        <f t="shared" si="26"/>
        <v>3</v>
      </c>
      <c r="AA99" s="49">
        <f t="shared" si="26"/>
        <v>1</v>
      </c>
      <c r="AB99" s="11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3">
        <f t="shared" si="22"/>
        <v>3</v>
      </c>
      <c r="AD99" s="62"/>
      <c r="AE99" s="62"/>
      <c r="AF99" s="97">
        <f t="shared" si="23"/>
        <v>1</v>
      </c>
      <c r="AG99" s="62"/>
      <c r="AH99" s="62"/>
      <c r="AI99" s="112">
        <f t="shared" si="24"/>
        <v>0</v>
      </c>
      <c r="AJ99" s="62"/>
      <c r="AK99" s="62"/>
      <c r="AL99" s="62"/>
      <c r="AM99" s="62"/>
      <c r="AN99" s="62"/>
      <c r="AO99" s="114">
        <v>0.0</v>
      </c>
      <c r="AP99" s="115">
        <f>COUNTIF($D$69:$P$76,"*신우*")</f>
        <v>0</v>
      </c>
      <c r="AQ99" s="115">
        <f>COUNTIF($D$83:$P$100,"*신우*")</f>
        <v>2</v>
      </c>
      <c r="AR99" s="115">
        <f>COUNTIF($D$107:$P$124,"*신우*")</f>
        <v>0</v>
      </c>
      <c r="AS99" s="115">
        <f>COUNTIF($D$131:$P$132,"*신우*")+COUNTIF($D$146:$P$158,"*신우*")</f>
        <v>0</v>
      </c>
      <c r="AT99" s="115">
        <f>COUNTIF($D$165:$P$182,"*신우*")</f>
        <v>0</v>
      </c>
      <c r="AU99" s="115">
        <f>COUNTIF($D$189:$P$206,"*신우*")</f>
        <v>0</v>
      </c>
      <c r="AV99" s="115">
        <f>COUNTIF($D$213:$P$230,"*신우*")</f>
        <v>0</v>
      </c>
      <c r="AW99" s="109">
        <f t="shared" si="25"/>
        <v>2</v>
      </c>
      <c r="AX99" s="49"/>
      <c r="AY99" s="49"/>
    </row>
    <row r="100" ht="9.75" customHeight="1">
      <c r="A100" s="49"/>
      <c r="B100" s="67" t="s">
        <v>57</v>
      </c>
      <c r="C100" s="1"/>
      <c r="D100" s="70" t="s">
        <v>110</v>
      </c>
      <c r="E100" s="1"/>
      <c r="F100" s="1"/>
      <c r="G100" s="1"/>
      <c r="H100" s="49"/>
      <c r="I100" s="49"/>
      <c r="J100" s="1"/>
      <c r="K100" s="49"/>
      <c r="L100" s="49"/>
      <c r="M100" s="1"/>
      <c r="N100" s="49"/>
      <c r="O100" s="49"/>
      <c r="P100" s="1"/>
      <c r="Q100" s="49"/>
      <c r="R100" s="109" t="s">
        <v>54</v>
      </c>
      <c r="S100" s="52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84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110">
        <f t="shared" si="20"/>
        <v>2</v>
      </c>
      <c r="V100" s="84">
        <f>COUNTIF($D$74:$P$75,"*다운*")+COUNTIF($D$98:$P$99,"*다운*")+COUNTIF($D$122:$P$123,"*다운*")</f>
        <v>0</v>
      </c>
      <c r="W100" s="49"/>
      <c r="X100" s="52">
        <f t="shared" ref="X100:AA100" si="27">S100+S161</f>
        <v>1</v>
      </c>
      <c r="Y100" s="84">
        <f t="shared" si="27"/>
        <v>0</v>
      </c>
      <c r="Z100" s="111">
        <f t="shared" si="27"/>
        <v>2</v>
      </c>
      <c r="AA100" s="49">
        <f t="shared" si="27"/>
        <v>0</v>
      </c>
      <c r="AB100" s="11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3">
        <f>Z100+U198</f>
        <v>2</v>
      </c>
      <c r="AD100" s="62"/>
      <c r="AE100" s="62"/>
      <c r="AF100" s="97">
        <f>AA100+V198</f>
        <v>0</v>
      </c>
      <c r="AG100" s="62"/>
      <c r="AH100" s="62"/>
      <c r="AI100" s="112">
        <f>AB100+X198</f>
        <v>0</v>
      </c>
      <c r="AJ100" s="62"/>
      <c r="AK100" s="62"/>
      <c r="AL100" s="62"/>
      <c r="AM100" s="62"/>
      <c r="AN100" s="62"/>
      <c r="AO100" s="114">
        <v>0.0</v>
      </c>
      <c r="AP100" s="115">
        <f>COUNTIF($D$69:$P$76,"*다운*")</f>
        <v>1</v>
      </c>
      <c r="AQ100" s="115">
        <f>COUNTIF($D$83:$P$100,"*다운*")</f>
        <v>0</v>
      </c>
      <c r="AR100" s="115">
        <f>COUNTIF($D$107:$P$124,"*다운*")</f>
        <v>0</v>
      </c>
      <c r="AS100" s="115">
        <f>COUNTIF($D$131:$P$132,"*다운*")+COUNTIF($D$146:$P$158,"*다운*")</f>
        <v>0</v>
      </c>
      <c r="AT100" s="115">
        <f>COUNTIF($D$165:$P$182,"*다운*")</f>
        <v>0</v>
      </c>
      <c r="AU100" s="115">
        <f>COUNTIF($D$189:$P$206,"*다운*")</f>
        <v>0</v>
      </c>
      <c r="AV100" s="115">
        <f>COUNTIF($D$213:$P$230,"*다운*")</f>
        <v>0</v>
      </c>
      <c r="AW100" s="109">
        <f t="shared" si="25"/>
        <v>1</v>
      </c>
      <c r="AX100" s="49"/>
      <c r="AY100" s="49"/>
    </row>
    <row r="101" ht="1.5" customHeight="1">
      <c r="A101" s="49"/>
      <c r="B101" s="1"/>
      <c r="C101" s="1"/>
      <c r="D101" s="1"/>
      <c r="E101" s="49"/>
      <c r="F101" s="49"/>
      <c r="G101" s="49"/>
      <c r="H101" s="49"/>
      <c r="I101" s="49"/>
      <c r="J101" s="1"/>
      <c r="K101" s="49"/>
      <c r="L101" s="49"/>
      <c r="M101" s="49"/>
      <c r="N101" s="49"/>
      <c r="O101" s="49"/>
      <c r="P101" s="49"/>
      <c r="Q101" s="49"/>
      <c r="R101" s="109"/>
      <c r="S101" s="52"/>
      <c r="T101" s="84"/>
      <c r="U101" s="52"/>
      <c r="V101" s="84"/>
      <c r="W101" s="49"/>
      <c r="X101" s="52"/>
      <c r="Y101" s="84"/>
      <c r="Z101" s="52"/>
      <c r="AA101" s="49"/>
      <c r="AB101" s="112"/>
      <c r="AC101" s="113"/>
      <c r="AD101" s="62"/>
      <c r="AE101" s="62"/>
      <c r="AF101" s="97"/>
      <c r="AG101" s="62"/>
      <c r="AH101" s="62"/>
      <c r="AI101" s="112"/>
      <c r="AJ101" s="62"/>
      <c r="AK101" s="62"/>
      <c r="AL101" s="62"/>
      <c r="AM101" s="62"/>
      <c r="AN101" s="62"/>
      <c r="AO101" s="114">
        <v>0.0</v>
      </c>
      <c r="AP101" s="115"/>
      <c r="AQ101" s="115"/>
      <c r="AR101" s="115"/>
      <c r="AS101" s="115"/>
      <c r="AT101" s="115"/>
      <c r="AU101" s="115"/>
      <c r="AV101" s="115"/>
      <c r="AW101" s="109"/>
      <c r="AX101" s="49"/>
      <c r="AY101" s="49"/>
    </row>
    <row r="102" ht="9.75" customHeight="1">
      <c r="A102" s="49"/>
      <c r="B102" s="75" t="s">
        <v>67</v>
      </c>
      <c r="C102" s="1"/>
      <c r="D102" s="76"/>
      <c r="E102" s="77"/>
      <c r="F102" s="77"/>
      <c r="G102" s="77" t="s">
        <v>111</v>
      </c>
      <c r="H102" s="77"/>
      <c r="I102" s="77"/>
      <c r="J102" s="77"/>
      <c r="K102" s="77"/>
      <c r="L102" s="77"/>
      <c r="M102" s="77"/>
      <c r="N102" s="77"/>
      <c r="O102" s="77"/>
      <c r="P102" s="78"/>
      <c r="Q102" s="49"/>
      <c r="R102" s="109" t="s">
        <v>100</v>
      </c>
      <c r="S102" s="52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84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110">
        <f t="shared" ref="U102:U104" si="29">S102*2+T102</f>
        <v>2</v>
      </c>
      <c r="V102" s="84">
        <f>COUNTIF($D$74:$P$75,"*지성*")+COUNTIF($D$98:$P$99,"*지성*")+COUNTIF($D$122:$P$123,"*지성*")</f>
        <v>0</v>
      </c>
      <c r="W102" s="49"/>
      <c r="X102" s="52">
        <f t="shared" ref="X102:AA102" si="28">S102+S162</f>
        <v>1</v>
      </c>
      <c r="Y102" s="84">
        <f t="shared" si="28"/>
        <v>0</v>
      </c>
      <c r="Z102" s="111">
        <f t="shared" si="28"/>
        <v>2</v>
      </c>
      <c r="AA102" s="49">
        <f t="shared" si="28"/>
        <v>0</v>
      </c>
      <c r="AB102" s="11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3">
        <f t="shared" ref="AC102:AC104" si="31">Z102+U199</f>
        <v>2</v>
      </c>
      <c r="AD102" s="62"/>
      <c r="AE102" s="62"/>
      <c r="AF102" s="97">
        <f t="shared" ref="AF102:AF104" si="32">AA102+V199</f>
        <v>0</v>
      </c>
      <c r="AG102" s="62"/>
      <c r="AH102" s="62"/>
      <c r="AI102" s="112">
        <f t="shared" ref="AI102:AI104" si="33">AB102+X199</f>
        <v>0</v>
      </c>
      <c r="AJ102" s="62"/>
      <c r="AK102" s="62"/>
      <c r="AL102" s="62"/>
      <c r="AM102" s="62"/>
      <c r="AN102" s="62"/>
      <c r="AO102" s="114">
        <v>0.0</v>
      </c>
      <c r="AP102" s="115">
        <f>COUNTIF($D$69:$P$76,"*지성*")</f>
        <v>0</v>
      </c>
      <c r="AQ102" s="115">
        <f>COUNTIF($D$83:$P$100,"*지성*")</f>
        <v>1</v>
      </c>
      <c r="AR102" s="115">
        <f>COUNTIF($D$107:$P$124,"*지성*")</f>
        <v>0</v>
      </c>
      <c r="AS102" s="115">
        <f>COUNTIF($D$131:$P$132,"*지성*")+COUNTIF($D$146:$P$158,"*지성*")</f>
        <v>0</v>
      </c>
      <c r="AT102" s="115">
        <f>COUNTIF($D$165:$P$182,"*지성*")</f>
        <v>0</v>
      </c>
      <c r="AU102" s="115">
        <f>COUNTIF($D$189:$P$206,"*지성*")</f>
        <v>0</v>
      </c>
      <c r="AV102" s="115">
        <f>COUNTIF($D$213:$P$230,"*지성*")</f>
        <v>0</v>
      </c>
      <c r="AW102" s="109">
        <f t="shared" ref="AW102:AW104" si="34">SUM(AO102:AV102)</f>
        <v>1</v>
      </c>
      <c r="AX102" s="49"/>
      <c r="AY102" s="49"/>
    </row>
    <row r="103" ht="9.75" customHeight="1">
      <c r="A103" s="49"/>
      <c r="B103" s="49"/>
      <c r="C103" s="49"/>
      <c r="D103" s="49"/>
      <c r="E103" s="49"/>
      <c r="F103" s="52"/>
      <c r="G103" s="49"/>
      <c r="H103" s="49"/>
      <c r="I103" s="52"/>
      <c r="J103" s="1"/>
      <c r="K103" s="49"/>
      <c r="L103" s="52"/>
      <c r="M103" s="49"/>
      <c r="N103" s="49"/>
      <c r="O103" s="52"/>
      <c r="P103" s="49"/>
      <c r="Q103" s="49"/>
      <c r="R103" s="109" t="s">
        <v>103</v>
      </c>
      <c r="S103" s="52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84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110">
        <f t="shared" si="29"/>
        <v>3</v>
      </c>
      <c r="V103" s="84">
        <f>COUNTIF($D$74:$P$75,"*용철*")+COUNTIF($D$98:$P$99,"*용철*")+COUNTIF($D$122:$P$123,"*용철*")</f>
        <v>0</v>
      </c>
      <c r="W103" s="49"/>
      <c r="X103" s="52">
        <f t="shared" ref="X103:AA103" si="30">S103+S164</f>
        <v>1</v>
      </c>
      <c r="Y103" s="84">
        <f t="shared" si="30"/>
        <v>1</v>
      </c>
      <c r="Z103" s="111">
        <f t="shared" si="30"/>
        <v>3</v>
      </c>
      <c r="AA103" s="49">
        <f t="shared" si="30"/>
        <v>0</v>
      </c>
      <c r="AB103" s="11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3">
        <f t="shared" si="31"/>
        <v>3</v>
      </c>
      <c r="AD103" s="62"/>
      <c r="AE103" s="62"/>
      <c r="AF103" s="97">
        <f t="shared" si="32"/>
        <v>0</v>
      </c>
      <c r="AG103" s="62"/>
      <c r="AH103" s="62"/>
      <c r="AI103" s="112">
        <f t="shared" si="33"/>
        <v>0</v>
      </c>
      <c r="AJ103" s="62"/>
      <c r="AK103" s="62"/>
      <c r="AL103" s="62"/>
      <c r="AM103" s="62"/>
      <c r="AN103" s="62"/>
      <c r="AO103" s="114">
        <v>0.0</v>
      </c>
      <c r="AP103" s="115">
        <f>COUNTIF($D$69:$P$76,"*용철*")</f>
        <v>0</v>
      </c>
      <c r="AQ103" s="115">
        <f>COUNTIF($D$83:$P$100,"*용철*")</f>
        <v>1</v>
      </c>
      <c r="AR103" s="115">
        <f>COUNTIF($D$107:$P$124,"*용철*")</f>
        <v>1</v>
      </c>
      <c r="AS103" s="115">
        <f>COUNTIF($D$131:$P$132,"*용철*")+COUNTIF($D$146:$P$158,"*용철*")</f>
        <v>0</v>
      </c>
      <c r="AT103" s="115">
        <f>COUNTIF($D$165:$P$182,"*용철*")</f>
        <v>0</v>
      </c>
      <c r="AU103" s="115">
        <f>COUNTIF($D$189:$P$206,"*용철*")</f>
        <v>0</v>
      </c>
      <c r="AV103" s="115">
        <f>COUNTIF($D$213:$P$230,"*용철*")</f>
        <v>0</v>
      </c>
      <c r="AW103" s="109">
        <f t="shared" si="34"/>
        <v>2</v>
      </c>
      <c r="AX103" s="49"/>
      <c r="AY103" s="49"/>
    </row>
    <row r="104" ht="9.75" customHeight="1">
      <c r="A104" s="49"/>
      <c r="B104" s="56" t="s">
        <v>33</v>
      </c>
      <c r="C104" s="1"/>
      <c r="D104" s="57" t="s">
        <v>112</v>
      </c>
      <c r="E104" s="58"/>
      <c r="F104" s="58"/>
      <c r="G104" s="58" t="s">
        <v>113</v>
      </c>
      <c r="H104" s="59"/>
      <c r="I104" s="59"/>
      <c r="J104" s="59"/>
      <c r="K104" s="59"/>
      <c r="L104" s="59"/>
      <c r="M104" s="59"/>
      <c r="N104" s="59"/>
      <c r="O104" s="59"/>
      <c r="P104" s="60"/>
      <c r="Q104" s="49"/>
      <c r="R104" s="109" t="s">
        <v>76</v>
      </c>
      <c r="S104" s="52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17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1</v>
      </c>
      <c r="U104" s="110">
        <f t="shared" si="29"/>
        <v>1</v>
      </c>
      <c r="V104" s="84">
        <f>COUNTIF($D$74:$P$75,"*윤호*")+COUNTIF($D$98:$P$99,"*윤호*")+COUNTIF($D$122:$P$123,"*윤호*")</f>
        <v>0</v>
      </c>
      <c r="W104" s="49"/>
      <c r="X104" s="52">
        <f t="shared" ref="X104:AA104" si="35">S104+S165</f>
        <v>0</v>
      </c>
      <c r="Y104" s="84">
        <f t="shared" si="35"/>
        <v>1</v>
      </c>
      <c r="Z104" s="111">
        <f t="shared" si="35"/>
        <v>1</v>
      </c>
      <c r="AA104" s="49">
        <f t="shared" si="35"/>
        <v>0</v>
      </c>
      <c r="AB104" s="11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3">
        <f t="shared" si="31"/>
        <v>1</v>
      </c>
      <c r="AD104" s="62"/>
      <c r="AE104" s="62"/>
      <c r="AF104" s="97">
        <f t="shared" si="32"/>
        <v>0</v>
      </c>
      <c r="AG104" s="62"/>
      <c r="AH104" s="62"/>
      <c r="AI104" s="112">
        <f t="shared" si="33"/>
        <v>0</v>
      </c>
      <c r="AJ104" s="62"/>
      <c r="AK104" s="62"/>
      <c r="AL104" s="62"/>
      <c r="AM104" s="62"/>
      <c r="AN104" s="62"/>
      <c r="AO104" s="114">
        <v>0.0</v>
      </c>
      <c r="AP104" s="115">
        <f>COUNTIF($D$69:$P$76,"*윤호*")</f>
        <v>0</v>
      </c>
      <c r="AQ104" s="115">
        <f>COUNTIF($D$83:$P$100,"*윤호*")</f>
        <v>1</v>
      </c>
      <c r="AR104" s="115">
        <f>COUNTIF($D$107:$P$124,"*윤호*")</f>
        <v>0</v>
      </c>
      <c r="AS104" s="115">
        <f>COUNTIF($D$131:$P$132,"*윤호*")+COUNTIF($D$146:$P$158,"*윤호*")</f>
        <v>0</v>
      </c>
      <c r="AT104" s="115">
        <f>COUNTIF($D$165:$P$182,"*윤호*")</f>
        <v>0</v>
      </c>
      <c r="AU104" s="115">
        <f>COUNTIF($D$189:$P$206,"*윤호*")</f>
        <v>0</v>
      </c>
      <c r="AV104" s="115">
        <f>COUNTIF($D$213:$P$230,"*윤호*")</f>
        <v>0</v>
      </c>
      <c r="AW104" s="109">
        <f t="shared" si="34"/>
        <v>1</v>
      </c>
      <c r="AX104" s="49"/>
      <c r="AY104" s="49"/>
    </row>
    <row r="105" ht="1.5" customHeight="1">
      <c r="A105" s="1"/>
      <c r="B105" s="1"/>
      <c r="C105" s="1"/>
      <c r="D105" s="1"/>
      <c r="E105" s="1"/>
      <c r="F105" s="1"/>
      <c r="G105" s="1"/>
      <c r="H105" s="49"/>
      <c r="I105" s="49"/>
      <c r="J105" s="1"/>
      <c r="K105" s="1"/>
      <c r="L105" s="1"/>
      <c r="M105" s="1"/>
      <c r="N105" s="1"/>
      <c r="O105" s="1"/>
      <c r="P105" s="1"/>
      <c r="Q105" s="1"/>
      <c r="R105" s="109"/>
      <c r="S105" s="52"/>
      <c r="T105" s="84"/>
      <c r="U105" s="110"/>
      <c r="V105" s="84"/>
      <c r="W105" s="49"/>
      <c r="X105" s="52"/>
      <c r="Y105" s="84"/>
      <c r="Z105" s="111"/>
      <c r="AA105" s="49"/>
      <c r="AB105" s="112"/>
      <c r="AC105" s="113"/>
      <c r="AD105" s="62"/>
      <c r="AE105" s="62"/>
      <c r="AF105" s="97"/>
      <c r="AG105" s="62"/>
      <c r="AH105" s="62"/>
      <c r="AI105" s="112"/>
      <c r="AJ105" s="62"/>
      <c r="AK105" s="62"/>
      <c r="AL105" s="62"/>
      <c r="AM105" s="62"/>
      <c r="AN105" s="62"/>
      <c r="AO105" s="114">
        <v>0.0</v>
      </c>
      <c r="AP105" s="115"/>
      <c r="AQ105" s="115"/>
      <c r="AR105" s="115"/>
      <c r="AS105" s="118"/>
      <c r="AT105" s="118"/>
      <c r="AU105" s="118"/>
      <c r="AV105" s="118"/>
      <c r="AW105" s="72"/>
      <c r="AX105" s="1"/>
      <c r="AY105" s="1"/>
    </row>
    <row r="106" ht="11.25" customHeight="1">
      <c r="A106" s="1"/>
      <c r="B106" s="71" t="s">
        <v>114</v>
      </c>
      <c r="C106" s="1"/>
      <c r="D106" s="71" t="s">
        <v>115</v>
      </c>
      <c r="E106" s="1"/>
      <c r="F106" s="1"/>
      <c r="G106" s="69" t="s">
        <v>116</v>
      </c>
      <c r="H106" s="49"/>
      <c r="I106" s="49"/>
      <c r="J106" s="1"/>
      <c r="K106" s="49"/>
      <c r="L106" s="49"/>
      <c r="M106" s="1"/>
      <c r="N106" s="49"/>
      <c r="O106" s="49"/>
      <c r="P106" s="1"/>
      <c r="Q106" s="1"/>
      <c r="R106" s="109" t="s">
        <v>117</v>
      </c>
      <c r="S106" s="52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84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110">
        <f t="shared" ref="U106:U109" si="37">S106*2+T106</f>
        <v>2</v>
      </c>
      <c r="V106" s="84">
        <f>COUNTIF($D$74:$P$75,"*정은*")+COUNTIF($D$98:$P$99,"*정은*")+COUNTIF($D$122:$P$123,"*정은*")</f>
        <v>0</v>
      </c>
      <c r="W106" s="49"/>
      <c r="X106" s="52">
        <f t="shared" ref="X106:AA106" si="36">S106+S166</f>
        <v>1</v>
      </c>
      <c r="Y106" s="84">
        <f t="shared" si="36"/>
        <v>0</v>
      </c>
      <c r="Z106" s="111">
        <f t="shared" si="36"/>
        <v>2</v>
      </c>
      <c r="AA106" s="49">
        <f t="shared" si="36"/>
        <v>0</v>
      </c>
      <c r="AB106" s="11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3">
        <f t="shared" ref="AC106:AC109" si="39">Z106+U203</f>
        <v>2</v>
      </c>
      <c r="AD106" s="62"/>
      <c r="AE106" s="62"/>
      <c r="AF106" s="97">
        <f t="shared" ref="AF106:AF109" si="40">AA106+V203</f>
        <v>0</v>
      </c>
      <c r="AG106" s="62"/>
      <c r="AH106" s="62"/>
      <c r="AI106" s="112">
        <f t="shared" ref="AI106:AI109" si="41">AB106+X203</f>
        <v>0</v>
      </c>
      <c r="AJ106" s="62"/>
      <c r="AK106" s="62"/>
      <c r="AL106" s="62"/>
      <c r="AM106" s="62"/>
      <c r="AN106" s="62"/>
      <c r="AO106" s="114">
        <v>0.0</v>
      </c>
      <c r="AP106" s="115">
        <f>COUNTIF($D$69:$P$76,"*정은*")</f>
        <v>0</v>
      </c>
      <c r="AQ106" s="115">
        <f>COUNTIF($D$83:$P$100,"*정은*")</f>
        <v>0</v>
      </c>
      <c r="AR106" s="115">
        <f>COUNTIF($D$107:$P$124,"*정은*")</f>
        <v>1</v>
      </c>
      <c r="AS106" s="115">
        <f>COUNTIF($D$131:$P$132,"*정은*")+COUNTIF($D$146:$P$158,"*정은*")</f>
        <v>0</v>
      </c>
      <c r="AT106" s="115">
        <f>COUNTIF($D$165:$P$182,"*정은*")</f>
        <v>0</v>
      </c>
      <c r="AU106" s="115">
        <f>COUNTIF($D$189:$P$206,"*정은*")</f>
        <v>0</v>
      </c>
      <c r="AV106" s="115">
        <f>COUNTIF($D$213:$P$230,"*정은*")</f>
        <v>0</v>
      </c>
      <c r="AW106" s="109">
        <f t="shared" ref="AW106:AW109" si="42">SUM(AO106:AV106)</f>
        <v>1</v>
      </c>
      <c r="AX106" s="1"/>
      <c r="AY106" s="1"/>
    </row>
    <row r="107" ht="11.25" customHeight="1">
      <c r="A107" s="1"/>
      <c r="B107" s="67" t="s">
        <v>53</v>
      </c>
      <c r="C107" s="1"/>
      <c r="D107" s="50" t="s">
        <v>118</v>
      </c>
      <c r="E107" s="1"/>
      <c r="F107" s="1"/>
      <c r="G107" s="69" t="s">
        <v>119</v>
      </c>
      <c r="H107" s="49"/>
      <c r="I107" s="49"/>
      <c r="J107" s="1"/>
      <c r="K107" s="49"/>
      <c r="L107" s="49"/>
      <c r="M107" s="1"/>
      <c r="N107" s="49"/>
      <c r="O107" s="49"/>
      <c r="P107" s="1"/>
      <c r="Q107" s="1"/>
      <c r="R107" s="109" t="s">
        <v>120</v>
      </c>
      <c r="S107" s="52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84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110">
        <f t="shared" si="37"/>
        <v>2</v>
      </c>
      <c r="V107" s="84">
        <f>COUNTIF($D$74:$P$75,"*지현*")+COUNTIF($D$98:$P$99,"*지현*")+COUNTIF($D$122:$P$123,"*지현*")</f>
        <v>0</v>
      </c>
      <c r="W107" s="49"/>
      <c r="X107" s="52">
        <f t="shared" ref="X107:AA107" si="38">S107+S167</f>
        <v>1</v>
      </c>
      <c r="Y107" s="84">
        <f t="shared" si="38"/>
        <v>0</v>
      </c>
      <c r="Z107" s="111">
        <f t="shared" si="38"/>
        <v>2</v>
      </c>
      <c r="AA107" s="49">
        <f t="shared" si="38"/>
        <v>0</v>
      </c>
      <c r="AB107" s="11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3">
        <f t="shared" si="39"/>
        <v>2</v>
      </c>
      <c r="AD107" s="62"/>
      <c r="AE107" s="62"/>
      <c r="AF107" s="97">
        <f t="shared" si="40"/>
        <v>0</v>
      </c>
      <c r="AG107" s="62"/>
      <c r="AH107" s="62"/>
      <c r="AI107" s="112">
        <f t="shared" si="41"/>
        <v>0</v>
      </c>
      <c r="AJ107" s="62"/>
      <c r="AK107" s="62"/>
      <c r="AL107" s="62"/>
      <c r="AM107" s="62"/>
      <c r="AN107" s="62"/>
      <c r="AO107" s="114">
        <v>0.0</v>
      </c>
      <c r="AP107" s="115">
        <f>COUNTIF($D$69:$P$76,"*지현*")</f>
        <v>0</v>
      </c>
      <c r="AQ107" s="115">
        <f>COUNTIF($D$83:$P$100,"*지현*")</f>
        <v>0</v>
      </c>
      <c r="AR107" s="115">
        <f>COUNTIF($D$107:$P$124,"*지현*")</f>
        <v>1</v>
      </c>
      <c r="AS107" s="115">
        <f>COUNTIF($D$131:$P$132,"*지현*")+COUNTIF($D$146:$P$158,"*지현*")</f>
        <v>0</v>
      </c>
      <c r="AT107" s="115">
        <f>COUNTIF($D$165:$P$182,"*지현*")</f>
        <v>0</v>
      </c>
      <c r="AU107" s="115">
        <f>COUNTIF($D$189:$P$206,"*지현*")</f>
        <v>0</v>
      </c>
      <c r="AV107" s="115">
        <f>COUNTIF($D$213:$P$230,"*지현*")</f>
        <v>0</v>
      </c>
      <c r="AW107" s="109">
        <f t="shared" si="42"/>
        <v>1</v>
      </c>
      <c r="AX107" s="1"/>
      <c r="AY107" s="1"/>
    </row>
    <row r="108" ht="11.25" customHeight="1">
      <c r="A108" s="1"/>
      <c r="B108" s="67" t="s">
        <v>55</v>
      </c>
      <c r="C108" s="1"/>
      <c r="D108" s="72" t="s">
        <v>121</v>
      </c>
      <c r="E108" s="1"/>
      <c r="F108" s="1"/>
      <c r="G108" s="1"/>
      <c r="H108" s="49"/>
      <c r="I108" s="49"/>
      <c r="J108" s="1"/>
      <c r="K108" s="49"/>
      <c r="L108" s="49"/>
      <c r="M108" s="1"/>
      <c r="N108" s="49"/>
      <c r="O108" s="49"/>
      <c r="P108" s="1"/>
      <c r="Q108" s="1"/>
      <c r="R108" s="109" t="s">
        <v>122</v>
      </c>
      <c r="S108" s="52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84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110">
        <f t="shared" si="37"/>
        <v>0</v>
      </c>
      <c r="V108" s="84">
        <f>COUNTIF($D$74:$P$75,"*태우*")+COUNTIF($D$98:$P$99,"*태우*")+COUNTIF($D$122:$P$123,"*태우*")</f>
        <v>0</v>
      </c>
      <c r="W108" s="49"/>
      <c r="X108" s="52">
        <f t="shared" ref="X108:AA108" si="43">S108+S169</f>
        <v>0</v>
      </c>
      <c r="Y108" s="84">
        <f t="shared" si="43"/>
        <v>0</v>
      </c>
      <c r="Z108" s="111">
        <f t="shared" si="43"/>
        <v>0</v>
      </c>
      <c r="AA108" s="49">
        <f t="shared" si="43"/>
        <v>0</v>
      </c>
      <c r="AB108" s="11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3">
        <f t="shared" si="39"/>
        <v>0</v>
      </c>
      <c r="AD108" s="62"/>
      <c r="AE108" s="62"/>
      <c r="AF108" s="97">
        <f t="shared" si="40"/>
        <v>0</v>
      </c>
      <c r="AG108" s="62"/>
      <c r="AH108" s="62"/>
      <c r="AI108" s="112">
        <f t="shared" si="41"/>
        <v>0</v>
      </c>
      <c r="AJ108" s="62"/>
      <c r="AK108" s="62"/>
      <c r="AL108" s="62"/>
      <c r="AM108" s="62"/>
      <c r="AN108" s="62"/>
      <c r="AO108" s="114">
        <v>0.0</v>
      </c>
      <c r="AP108" s="115">
        <f>COUNTIF($D$69:$P$76,"*태우*")</f>
        <v>0</v>
      </c>
      <c r="AQ108" s="115">
        <f>COUNTIF($D$83:$P$100,"*태우*")</f>
        <v>0</v>
      </c>
      <c r="AR108" s="115">
        <f>COUNTIF($D$107:$P$124,"*태우*")</f>
        <v>0</v>
      </c>
      <c r="AS108" s="115">
        <f>COUNTIF($D$131:$P$132,"*태우*")+COUNTIF($D$146:$P$158,"*태우*")</f>
        <v>0</v>
      </c>
      <c r="AT108" s="115">
        <f>COUNTIF($D$165:$P$182,"*태우*")</f>
        <v>0</v>
      </c>
      <c r="AU108" s="115">
        <f>COUNTIF($D$189:$P$206,"*태우*")</f>
        <v>0</v>
      </c>
      <c r="AV108" s="115">
        <f>COUNTIF($D$213:$P$230,"*태우*")</f>
        <v>0</v>
      </c>
      <c r="AW108" s="109">
        <f t="shared" si="42"/>
        <v>0</v>
      </c>
      <c r="AX108" s="1"/>
      <c r="AY108" s="1"/>
    </row>
    <row r="109" ht="11.25" customHeight="1">
      <c r="A109" s="1"/>
      <c r="B109" s="67" t="s">
        <v>57</v>
      </c>
      <c r="C109" s="1"/>
      <c r="D109" s="70" t="s">
        <v>123</v>
      </c>
      <c r="E109" s="1"/>
      <c r="F109" s="1"/>
      <c r="G109" s="1"/>
      <c r="H109" s="49"/>
      <c r="I109" s="49"/>
      <c r="J109" s="1"/>
      <c r="K109" s="49"/>
      <c r="L109" s="49"/>
      <c r="M109" s="1"/>
      <c r="N109" s="49"/>
      <c r="O109" s="49"/>
      <c r="P109" s="1"/>
      <c r="Q109" s="1"/>
      <c r="R109" s="109" t="s">
        <v>124</v>
      </c>
      <c r="S109" s="52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16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110">
        <f t="shared" si="37"/>
        <v>0</v>
      </c>
      <c r="V109" s="84">
        <f>COUNTIF($D$74:$P$75,"*훈*")+COUNTIF($D$98:$P$99,"*훈*")+COUNTIF($D$122:$P$123,"*훈*")</f>
        <v>0</v>
      </c>
      <c r="W109" s="49"/>
      <c r="X109" s="52">
        <f t="shared" ref="X109:AA109" si="44">S109+S170</f>
        <v>0</v>
      </c>
      <c r="Y109" s="84">
        <f t="shared" si="44"/>
        <v>0</v>
      </c>
      <c r="Z109" s="111">
        <f t="shared" si="44"/>
        <v>0</v>
      </c>
      <c r="AA109" s="49">
        <f t="shared" si="44"/>
        <v>0</v>
      </c>
      <c r="AB109" s="11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3">
        <f t="shared" si="39"/>
        <v>0</v>
      </c>
      <c r="AD109" s="62"/>
      <c r="AE109" s="62"/>
      <c r="AF109" s="97">
        <f t="shared" si="40"/>
        <v>0</v>
      </c>
      <c r="AG109" s="62"/>
      <c r="AH109" s="62"/>
      <c r="AI109" s="112">
        <f t="shared" si="41"/>
        <v>0</v>
      </c>
      <c r="AJ109" s="62"/>
      <c r="AK109" s="62"/>
      <c r="AL109" s="62"/>
      <c r="AM109" s="62"/>
      <c r="AN109" s="62"/>
      <c r="AO109" s="114">
        <v>0.0</v>
      </c>
      <c r="AP109" s="115">
        <f>COUNTIF($D$69:$P$76,"*훈*")</f>
        <v>0</v>
      </c>
      <c r="AQ109" s="115">
        <f>COUNTIF($D$83:$P$100,"*훈*")</f>
        <v>1</v>
      </c>
      <c r="AR109" s="115">
        <f>COUNTIF($D$107:$P$124,"*훈*")</f>
        <v>0</v>
      </c>
      <c r="AS109" s="115">
        <f>COUNTIF($D$131:$P$132,"*훈*")+COUNTIF($D$146:$P$158,"*훈*")</f>
        <v>0</v>
      </c>
      <c r="AT109" s="115">
        <f>COUNTIF($D$165:$P$182,"*훈*")</f>
        <v>0</v>
      </c>
      <c r="AU109" s="115">
        <f>COUNTIF($D$189:$P$206,"*훈*")</f>
        <v>0</v>
      </c>
      <c r="AV109" s="115">
        <f>COUNTIF($D$213:$P$230,"*훈*")</f>
        <v>0</v>
      </c>
      <c r="AW109" s="109">
        <f t="shared" si="42"/>
        <v>1</v>
      </c>
      <c r="AX109" s="1"/>
      <c r="AY109" s="1"/>
    </row>
    <row r="110" ht="1.5" customHeight="1">
      <c r="A110" s="1"/>
      <c r="B110" s="1"/>
      <c r="C110" s="1"/>
      <c r="D110" s="1"/>
      <c r="E110" s="49"/>
      <c r="F110" s="49"/>
      <c r="G110" s="49"/>
      <c r="H110" s="49"/>
      <c r="I110" s="49"/>
      <c r="J110" s="1"/>
      <c r="K110" s="49"/>
      <c r="L110" s="49"/>
      <c r="M110" s="49"/>
      <c r="N110" s="49"/>
      <c r="O110" s="49"/>
      <c r="P110" s="1"/>
      <c r="Q110" s="1"/>
      <c r="R110" s="109"/>
      <c r="S110" s="52"/>
      <c r="T110" s="84"/>
      <c r="U110" s="52"/>
      <c r="V110" s="84"/>
      <c r="W110" s="49"/>
      <c r="X110" s="52"/>
      <c r="Y110" s="84"/>
      <c r="Z110" s="52"/>
      <c r="AA110" s="49"/>
      <c r="AB110" s="112"/>
      <c r="AC110" s="113"/>
      <c r="AD110" s="62"/>
      <c r="AE110" s="62"/>
      <c r="AF110" s="97"/>
      <c r="AG110" s="62"/>
      <c r="AH110" s="62"/>
      <c r="AI110" s="112"/>
      <c r="AJ110" s="62"/>
      <c r="AK110" s="62"/>
      <c r="AL110" s="62"/>
      <c r="AM110" s="62"/>
      <c r="AN110" s="62"/>
      <c r="AO110" s="114">
        <v>0.0</v>
      </c>
      <c r="AP110" s="115"/>
      <c r="AQ110" s="115"/>
      <c r="AR110" s="115"/>
      <c r="AS110" s="118"/>
      <c r="AT110" s="118"/>
      <c r="AU110" s="118"/>
      <c r="AV110" s="118"/>
      <c r="AW110" s="109"/>
      <c r="AX110" s="1"/>
      <c r="AY110" s="1"/>
    </row>
    <row r="111" ht="11.25" customHeight="1">
      <c r="A111" s="1"/>
      <c r="B111" s="75" t="s">
        <v>67</v>
      </c>
      <c r="C111" s="1"/>
      <c r="D111" s="76"/>
      <c r="E111" s="77"/>
      <c r="F111" s="77"/>
      <c r="G111" s="77" t="s">
        <v>125</v>
      </c>
      <c r="H111" s="77"/>
      <c r="I111" s="77"/>
      <c r="J111" s="77"/>
      <c r="K111" s="77"/>
      <c r="L111" s="77"/>
      <c r="M111" s="77"/>
      <c r="N111" s="77"/>
      <c r="O111" s="77"/>
      <c r="P111" s="78"/>
      <c r="Q111" s="1"/>
      <c r="R111" s="109" t="s">
        <v>126</v>
      </c>
      <c r="S111" s="52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16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110">
        <f t="shared" ref="U111:U114" si="46">S111*2+T111</f>
        <v>0</v>
      </c>
      <c r="V111" s="84">
        <f>COUNTIF($D$74:$P$75,"*누리*")+COUNTIF($D$98:$P$99,"*누리*")+COUNTIF($D$122:$P$123,"*누리*")</f>
        <v>0</v>
      </c>
      <c r="W111" s="49"/>
      <c r="X111" s="52">
        <f t="shared" ref="X111:AA111" si="45">S111+S171</f>
        <v>0</v>
      </c>
      <c r="Y111" s="84">
        <f t="shared" si="45"/>
        <v>0</v>
      </c>
      <c r="Z111" s="111">
        <f t="shared" si="45"/>
        <v>0</v>
      </c>
      <c r="AA111" s="49">
        <f t="shared" si="45"/>
        <v>0</v>
      </c>
      <c r="AB111" s="11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3">
        <f t="shared" ref="AC111:AC113" si="48">Z111+U208</f>
        <v>0</v>
      </c>
      <c r="AD111" s="62"/>
      <c r="AE111" s="62"/>
      <c r="AF111" s="97">
        <f t="shared" ref="AF111:AF113" si="49">AA111+V208</f>
        <v>0</v>
      </c>
      <c r="AG111" s="62"/>
      <c r="AH111" s="62"/>
      <c r="AI111" s="112">
        <f t="shared" ref="AI111:AI113" si="50">AB111+X208</f>
        <v>0</v>
      </c>
      <c r="AJ111" s="62"/>
      <c r="AK111" s="62"/>
      <c r="AL111" s="62"/>
      <c r="AM111" s="62"/>
      <c r="AN111" s="62"/>
      <c r="AO111" s="114">
        <v>0.0</v>
      </c>
      <c r="AP111" s="115">
        <f>COUNTIF($D$69:$P$76,"*누리*")</f>
        <v>0</v>
      </c>
      <c r="AQ111" s="115">
        <f>COUNTIF($D$83:$P$100,"*누리*")</f>
        <v>0</v>
      </c>
      <c r="AR111" s="115">
        <f>COUNTIF($D$107:$P$124,"*누리*")</f>
        <v>0</v>
      </c>
      <c r="AS111" s="115">
        <f>COUNTIF($D$131:$P$132,"*누리*")+COUNTIF($D$146:$P$158,"*누리*")</f>
        <v>0</v>
      </c>
      <c r="AT111" s="115">
        <f>COUNTIF($D$165:$P$182,"*누리*")</f>
        <v>0</v>
      </c>
      <c r="AU111" s="115">
        <f>COUNTIF($D$189:$P$206,"*누리*")</f>
        <v>0</v>
      </c>
      <c r="AV111" s="115">
        <f>COUNTIF($D$213:$P$230,"*누리*")</f>
        <v>0</v>
      </c>
      <c r="AW111" s="109">
        <f t="shared" ref="AW111:AW114" si="51">SUM(AO111:AV111)</f>
        <v>0</v>
      </c>
      <c r="AX111" s="1"/>
      <c r="AY111" s="1"/>
    </row>
    <row r="112" ht="11.25" customHeight="1">
      <c r="A112" s="1"/>
      <c r="B112" s="1"/>
      <c r="C112" s="1"/>
      <c r="D112" s="1"/>
      <c r="E112" s="1"/>
      <c r="F112" s="1"/>
      <c r="G112" s="1"/>
      <c r="H112" s="49"/>
      <c r="I112" s="49"/>
      <c r="J112" s="1"/>
      <c r="K112" s="49"/>
      <c r="L112" s="49"/>
      <c r="M112" s="1"/>
      <c r="N112" s="49"/>
      <c r="O112" s="49"/>
      <c r="P112" s="1"/>
      <c r="Q112" s="1"/>
      <c r="R112" s="109" t="s">
        <v>111</v>
      </c>
      <c r="S112" s="52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84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110">
        <f t="shared" si="46"/>
        <v>1</v>
      </c>
      <c r="V112" s="84">
        <f>COUNTIF($D$74:$P$75,"*미소*")+COUNTIF($D$98:$P$99,"*미소*")+COUNTIF($D$122:$P$123,"*미소*")</f>
        <v>0</v>
      </c>
      <c r="W112" s="49"/>
      <c r="X112" s="52">
        <f t="shared" ref="X112:AA112" si="47">S112+S172</f>
        <v>0</v>
      </c>
      <c r="Y112" s="84">
        <f t="shared" si="47"/>
        <v>1</v>
      </c>
      <c r="Z112" s="111">
        <f t="shared" si="47"/>
        <v>1</v>
      </c>
      <c r="AA112" s="49">
        <f t="shared" si="47"/>
        <v>0</v>
      </c>
      <c r="AB112" s="11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3">
        <f t="shared" si="48"/>
        <v>1</v>
      </c>
      <c r="AD112" s="62"/>
      <c r="AE112" s="62"/>
      <c r="AF112" s="97">
        <f t="shared" si="49"/>
        <v>0</v>
      </c>
      <c r="AG112" s="62"/>
      <c r="AH112" s="62"/>
      <c r="AI112" s="112">
        <f t="shared" si="50"/>
        <v>0</v>
      </c>
      <c r="AJ112" s="62"/>
      <c r="AK112" s="62"/>
      <c r="AL112" s="62"/>
      <c r="AM112" s="62"/>
      <c r="AN112" s="62"/>
      <c r="AO112" s="114">
        <v>0.0</v>
      </c>
      <c r="AP112" s="115">
        <f>COUNTIF($D$69:$P$76,"*미소*")</f>
        <v>1</v>
      </c>
      <c r="AQ112" s="115">
        <f>COUNTIF($D$83:$P$100,"*미소*")</f>
        <v>0</v>
      </c>
      <c r="AR112" s="115">
        <f>COUNTIF($D$107:$P$124,"*미소*")</f>
        <v>0</v>
      </c>
      <c r="AS112" s="115">
        <f>COUNTIF($D$131:$P$132,"*미소*")+COUNTIF($D$146:$P$158,"*미소*")</f>
        <v>0</v>
      </c>
      <c r="AT112" s="115">
        <f>COUNTIF($D$165:$P$182,"*미소*")</f>
        <v>0</v>
      </c>
      <c r="AU112" s="115">
        <f>COUNTIF($D$189:$P$206,"*미소*")</f>
        <v>0</v>
      </c>
      <c r="AV112" s="115">
        <f>COUNTIF($D$213:$P$230,"*미소*")</f>
        <v>0</v>
      </c>
      <c r="AW112" s="109">
        <f t="shared" si="51"/>
        <v>1</v>
      </c>
      <c r="AX112" s="1"/>
      <c r="AY112" s="1"/>
    </row>
    <row r="113" ht="11.25" customHeight="1">
      <c r="A113" s="1"/>
      <c r="B113" s="1"/>
      <c r="C113" s="1"/>
      <c r="D113" s="1"/>
      <c r="E113" s="1"/>
      <c r="F113" s="1"/>
      <c r="G113" s="1"/>
      <c r="H113" s="49"/>
      <c r="I113" s="49"/>
      <c r="J113" s="1"/>
      <c r="K113" s="49"/>
      <c r="L113" s="49"/>
      <c r="M113" s="1"/>
      <c r="N113" s="49"/>
      <c r="O113" s="49"/>
      <c r="P113" s="1"/>
      <c r="Q113" s="1"/>
      <c r="R113" s="115" t="s">
        <v>127</v>
      </c>
      <c r="S113" s="119">
        <f>COUNTIF($D$69:$P$69,"*범수*")+COUNTIF($D$74:$P$74,"*범수*")+COUNTIF($D$83:$P$83,"*범수*")+COUNTIF($D$88:$P$88,"*범수*")+COUNTIF($D$93:$P$93,"*범수*")+COUNTIF($D$98:$P$98,"*범수*")+COUNTIF($D$107:$P$107,"*범수*")+COUNTIF($D$112:$P$112,"*범수*")+COUNTIF($D$117:$P$117,"*범수*")+COUNTIF($D$122:$P$122,"*범수*")+COUNTIF($D$131:$P$131,"*범수*")</f>
        <v>0</v>
      </c>
      <c r="T113" s="120">
        <f>COUNTIF($D$70:$P$70,"*범수*")+COUNTIF($D$75:$P$75,"*범수*")+COUNTIF($D$84:$P$84,"*범수*")+COUNTIF($D$89:$P$89,"*범수*")+COUNTIF($D$94:$P$94,"*범수*")+COUNTIF($D$99:$P$99,"*범수*")+COUNTIF($D$108:$P$108,"*범수*")+COUNTIF($D$113:$P$113,"*범수*")+COUNTIF($D$118:$P$118,"*범수*")+COUNTIF($D$123:$P$123,"*범수*")+COUNTIF($D$132:$P$132,"*범수*")</f>
        <v>0</v>
      </c>
      <c r="U113" s="121">
        <f t="shared" si="46"/>
        <v>0</v>
      </c>
      <c r="V113" s="120">
        <f>COUNTIF($D$74:$P$75,"*범수*")+COUNTIF($D$98:$P$99,"*범수*")+COUNTIF($D$122:$P$123,"*범수*")</f>
        <v>0</v>
      </c>
      <c r="W113" s="122"/>
      <c r="X113" s="119">
        <f t="shared" ref="X113:AA113" si="52">S113+S174</f>
        <v>0</v>
      </c>
      <c r="Y113" s="120">
        <f t="shared" si="52"/>
        <v>0</v>
      </c>
      <c r="Z113" s="111">
        <f t="shared" si="52"/>
        <v>0</v>
      </c>
      <c r="AA113" s="122">
        <f t="shared" si="52"/>
        <v>0</v>
      </c>
      <c r="AB113" s="112">
        <f>COUNTIF($AC$54:$AO$54,"*범수*")+COUNTIF($AC$56:$AO$56,"*범수*")+COUNTIF($AC$57:$AO$57,"*범수*")+COUNTIF($AC$58:$AO$58,"*범수*")+COUNTIF($AC$59:$AO$59,"*범수*")+COUNTIF($AC$60:$AO$60,"*범수*")+COUNTIF($AC$61:$AO$61,"*범수*")+COUNTIF($AC$62:$AO$62,"*범수*")+COUNTIF($AC$64:$AO$64,"*범수*")+COUNTIF($AC$65:$AO$65,"*범수*")+COUNTIF($AC$66:$AO$66,"*범수*")+COUNTIF($AC$68:$AO$68,"*범수*")+COUNTIF($AC$69:$AO$69,"*범수*")+COUNTIF($AC$70:$AO$70,"*범수*")+COUNTIF($AC$71:$AO$71,"*범수*")+COUNTIF($AC$73:$AO$73,"*범수*")+COUNTIF($AC$74:$AO$74,"*범수*")+COUNTIF($AC$75:$AO$75,"*범수*")</f>
        <v>0</v>
      </c>
      <c r="AC113" s="113">
        <f t="shared" si="48"/>
        <v>0</v>
      </c>
      <c r="AD113" s="62"/>
      <c r="AE113" s="62"/>
      <c r="AF113" s="97">
        <f t="shared" si="49"/>
        <v>0</v>
      </c>
      <c r="AG113" s="62"/>
      <c r="AH113" s="62"/>
      <c r="AI113" s="112">
        <f t="shared" si="50"/>
        <v>0</v>
      </c>
      <c r="AJ113" s="62"/>
      <c r="AK113" s="62"/>
      <c r="AL113" s="62"/>
      <c r="AM113" s="62"/>
      <c r="AN113" s="62"/>
      <c r="AO113" s="114">
        <v>0.0</v>
      </c>
      <c r="AP113" s="115">
        <f>COUNTIF($D$69:$P$76,"*범수*")</f>
        <v>0</v>
      </c>
      <c r="AQ113" s="115">
        <f>COUNTIF($D$83:$P$100,"*범수*")</f>
        <v>0</v>
      </c>
      <c r="AR113" s="115">
        <f>COUNTIF($D$107:$P$124,"*범수*")</f>
        <v>0</v>
      </c>
      <c r="AS113" s="115">
        <f>COUNTIF($D$131:$P$132,"*범수*")+COUNTIF($D$146:$P$158,"*범수*")</f>
        <v>0</v>
      </c>
      <c r="AT113" s="115">
        <f>COUNTIF($D$165:$P$182,"*범수*")</f>
        <v>0</v>
      </c>
      <c r="AU113" s="115">
        <f>COUNTIF($D$189:$P$206,"*범수*")</f>
        <v>0</v>
      </c>
      <c r="AV113" s="115">
        <f>COUNTIF($D$213:$P$230,"*범수*")</f>
        <v>0</v>
      </c>
      <c r="AW113" s="109">
        <f t="shared" si="51"/>
        <v>0</v>
      </c>
      <c r="AX113" s="1"/>
      <c r="AY113" s="1"/>
    </row>
    <row r="114" ht="11.25" customHeight="1">
      <c r="A114" s="1"/>
      <c r="B114" s="1"/>
      <c r="C114" s="1"/>
      <c r="D114" s="1"/>
      <c r="E114" s="1"/>
      <c r="F114" s="1"/>
      <c r="G114" s="1"/>
      <c r="H114" s="49"/>
      <c r="I114" s="49"/>
      <c r="J114" s="1"/>
      <c r="K114" s="49"/>
      <c r="L114" s="49"/>
      <c r="M114" s="1"/>
      <c r="N114" s="49"/>
      <c r="O114" s="49"/>
      <c r="P114" s="1"/>
      <c r="Q114" s="1"/>
      <c r="R114" s="115" t="s">
        <v>128</v>
      </c>
      <c r="S114" s="119">
        <f>COUNTIF($D$69:$P$69,"*원혁*")+COUNTIF($D$74:$P$74,"*원혁*")+COUNTIF($D$83:$P$83,"*원혁*")+COUNTIF($D$88:$P$88,"*원혁*")+COUNTIF($D$93:$P$93,"*원혁*")+COUNTIF($D$98:$P$98,"*원혁*")+COUNTIF($D$107:$P$107,"*원혁*")+COUNTIF($D$112:$P$112,"*원혁*")+COUNTIF($D$117:$P$117,"*원혁*")+COUNTIF($D$122:$P$122,"*원혁*")+COUNTIF($D$131:$P$131,"*원혁*")</f>
        <v>0</v>
      </c>
      <c r="T114" s="120">
        <f>COUNTIF($D$70:$P$70,"*원혁*")+COUNTIF($D$75:$P$75,"*원혁*")+COUNTIF($D$84:$P$84,"*원혁*")+COUNTIF($D$89:$P$89,"*원혁*")+COUNTIF($D$94:$P$94,"*원혁*")+COUNTIF($D$99:$P$99,"*원혁*")+COUNTIF($D$108:$P$108,"*원혁*")+COUNTIF($D$113:$P$113,"*원혁*")+COUNTIF($D$118:$P$118,"*원혁*")+COUNTIF($D$123:$P$123,"*원혁*")+COUNTIF($D$132:$P$132,"*원혁*")</f>
        <v>2</v>
      </c>
      <c r="U114" s="121">
        <f t="shared" si="46"/>
        <v>2</v>
      </c>
      <c r="V114" s="120">
        <f>COUNTIF($D$74:$P$75,"*원혁*")+COUNTIF($D$98:$P$99,"*원혁*")+COUNTIF($D$122:$P$123,"*원혁*")</f>
        <v>1</v>
      </c>
      <c r="W114" s="122"/>
      <c r="X114" s="119">
        <f t="shared" ref="X114:AA114" si="53">S114+S175</f>
        <v>0</v>
      </c>
      <c r="Y114" s="120">
        <f t="shared" si="53"/>
        <v>2</v>
      </c>
      <c r="Z114" s="111">
        <f t="shared" si="53"/>
        <v>2</v>
      </c>
      <c r="AA114" s="122">
        <f t="shared" si="53"/>
        <v>1</v>
      </c>
      <c r="AB114" s="112">
        <f>COUNTIF($AC$54:$AO$54,"*원혁*")+COUNTIF($AC$56:$AO$56,"*원혁*")+COUNTIF($AC$57:$AO$57,"*원혁*")+COUNTIF($AC$58:$AO$58,"*원혁*")+COUNTIF($AC$59:$AO$59,"*원혁*")+COUNTIF($AC$60:$AO$60,"*원혁*")+COUNTIF($AC$61:$AO$61,"*원혁*")+COUNTIF($AC$62:$AO$62,"*원혁*")+COUNTIF($AC$64:$AO$64,"*원혁*")+COUNTIF($AC$65:$AO$65,"*원혁*")+COUNTIF($AC$66:$AO$66,"*원혁*")+COUNTIF($AC$68:$AO$68,"*원혁*")+COUNTIF($AC$69:$AO$69,"*원혁*")+COUNTIF($AC$70:$AO$70,"*원혁*")+COUNTIF($AC$71:$AO$71,"*원혁*")+COUNTIF($AC$73:$AO$73,"*원혁*")+COUNTIF($AC$74:$AO$74,"*원혁*")+COUNTIF($AC$75:$AO$75,"*원혁*")</f>
        <v>0</v>
      </c>
      <c r="AC114" s="113">
        <f>Z114+U212</f>
        <v>2</v>
      </c>
      <c r="AD114" s="62"/>
      <c r="AE114" s="62"/>
      <c r="AF114" s="97">
        <f>AA114+V212</f>
        <v>1</v>
      </c>
      <c r="AG114" s="62"/>
      <c r="AH114" s="62"/>
      <c r="AI114" s="112">
        <f>AB114+X212</f>
        <v>0</v>
      </c>
      <c r="AJ114" s="62"/>
      <c r="AK114" s="62"/>
      <c r="AL114" s="62"/>
      <c r="AM114" s="62"/>
      <c r="AN114" s="62"/>
      <c r="AO114" s="114">
        <v>0.0</v>
      </c>
      <c r="AP114" s="115">
        <f>COUNTIF($D$69:$P$76,"*원혁*")</f>
        <v>1</v>
      </c>
      <c r="AQ114" s="115">
        <f>COUNTIF($D$83:$P$100,"*원혁*")</f>
        <v>1</v>
      </c>
      <c r="AR114" s="115">
        <f>COUNTIF($D$107:$P$124,"*원혁*")</f>
        <v>0</v>
      </c>
      <c r="AS114" s="115">
        <f>COUNTIF($D$131:$P$132,"*원혁*")+COUNTIF($D$146:$P$158,"*원혁*")</f>
        <v>0</v>
      </c>
      <c r="AT114" s="115">
        <f>COUNTIF($D$165:$P$182,"*원혁*")</f>
        <v>0</v>
      </c>
      <c r="AU114" s="115">
        <f>COUNTIF($D$189:$P$206,"*원혁*")</f>
        <v>0</v>
      </c>
      <c r="AV114" s="115">
        <f>COUNTIF($D$213:$P$230,"*원혁*")</f>
        <v>0</v>
      </c>
      <c r="AW114" s="109">
        <f t="shared" si="51"/>
        <v>2</v>
      </c>
      <c r="AX114" s="1"/>
      <c r="AY114" s="1"/>
    </row>
    <row r="115" ht="1.5" customHeight="1">
      <c r="A115" s="1"/>
      <c r="B115" s="1"/>
      <c r="C115" s="1"/>
      <c r="D115" s="1"/>
      <c r="E115" s="49"/>
      <c r="F115" s="49"/>
      <c r="G115" s="49"/>
      <c r="H115" s="49"/>
      <c r="I115" s="49"/>
      <c r="J115" s="1"/>
      <c r="K115" s="49"/>
      <c r="L115" s="49"/>
      <c r="M115" s="49"/>
      <c r="N115" s="49"/>
      <c r="O115" s="49"/>
      <c r="P115" s="1"/>
      <c r="Q115" s="1"/>
      <c r="R115" s="72"/>
      <c r="S115" s="123"/>
      <c r="T115" s="79"/>
      <c r="U115" s="123"/>
      <c r="V115" s="79"/>
      <c r="W115" s="1"/>
      <c r="X115" s="123"/>
      <c r="Y115" s="79"/>
      <c r="Z115" s="123"/>
      <c r="AA115" s="1"/>
      <c r="AB115" s="79"/>
      <c r="AC115" s="124"/>
      <c r="AD115" s="62"/>
      <c r="AE115" s="62"/>
      <c r="AF115" s="62"/>
      <c r="AG115" s="62"/>
      <c r="AH115" s="62"/>
      <c r="AI115" s="125"/>
      <c r="AJ115" s="62"/>
      <c r="AK115" s="62"/>
      <c r="AL115" s="62"/>
      <c r="AM115" s="62"/>
      <c r="AN115" s="62"/>
      <c r="AO115" s="126">
        <v>0.0</v>
      </c>
      <c r="AP115" s="127"/>
      <c r="AQ115" s="128"/>
      <c r="AR115" s="128"/>
      <c r="AS115" s="127"/>
      <c r="AT115" s="72"/>
      <c r="AU115" s="72"/>
      <c r="AV115" s="72"/>
      <c r="AW115" s="72"/>
      <c r="AX115" s="1"/>
      <c r="AY115" s="1"/>
    </row>
    <row r="116" ht="11.25" customHeight="1">
      <c r="A116" s="1"/>
      <c r="B116" s="1"/>
      <c r="C116" s="1"/>
      <c r="D116" s="1"/>
      <c r="E116" s="1"/>
      <c r="F116" s="1"/>
      <c r="G116" s="1"/>
      <c r="H116" s="49"/>
      <c r="I116" s="49"/>
      <c r="J116" s="1"/>
      <c r="K116" s="49"/>
      <c r="L116" s="49"/>
      <c r="M116" s="1"/>
      <c r="N116" s="49"/>
      <c r="O116" s="49"/>
      <c r="P116" s="1"/>
      <c r="Q116" s="1"/>
      <c r="R116" s="115" t="s">
        <v>129</v>
      </c>
      <c r="S116" s="119">
        <f>COUNTIF($D$69:$P$69,"*승환*")+COUNTIF($D$74:$P$74,"*승환*")+COUNTIF($D$83:$P$83,"*승환*")+COUNTIF($D$88:$P$88,"*승환*")+COUNTIF($D$93:$P$93,"*승환*")+COUNTIF($D$98:$P$98,"*승환*")+COUNTIF($D$107:$P$107,"*승환*")+COUNTIF($D$112:$P$112,"*승환*")+COUNTIF($D$117:$P$117,"*승환*")+COUNTIF($D$122:$P$122,"*승환*")+COUNTIF($D$131:$P$131,"*승환*")</f>
        <v>0</v>
      </c>
      <c r="T116" s="120">
        <f>COUNTIF($D$70:$P$70,"*승환*")+COUNTIF($D$75:$P$75,"*승환*")+COUNTIF($D$84:$P$84,"*승환*")+COUNTIF($D$89:$P$89,"*승환*")+COUNTIF($D$94:$P$94,"*승환*")+COUNTIF($D$99:$P$99,"*승환*")+COUNTIF($D$108:$P$108,"*승환*")+COUNTIF($D$113:$P$113,"*승환*")+COUNTIF($D$118:$P$118,"*승환*")+COUNTIF($D$123:$P$123,"*승환*")+COUNTIF($D$132:$P$132,"*승환*")</f>
        <v>1</v>
      </c>
      <c r="U116" s="121">
        <f t="shared" ref="U116:U119" si="55">S116*2+T116</f>
        <v>1</v>
      </c>
      <c r="V116" s="120">
        <f>COUNTIF($D$74:$P$75,"*승환*")+COUNTIF($D$98:$P$99,"*승환*")+COUNTIF($D$122:$P$123,"*승환*")</f>
        <v>0</v>
      </c>
      <c r="W116" s="122"/>
      <c r="X116" s="119">
        <f t="shared" ref="X116:AA116" si="54">S116+S176</f>
        <v>0</v>
      </c>
      <c r="Y116" s="120">
        <f t="shared" si="54"/>
        <v>1</v>
      </c>
      <c r="Z116" s="111">
        <f t="shared" si="54"/>
        <v>1</v>
      </c>
      <c r="AA116" s="122">
        <f t="shared" si="54"/>
        <v>0</v>
      </c>
      <c r="AB116" s="112">
        <f>COUNTIF($AC$54:$AO$54,"*승환*")+COUNTIF($AC$56:$AO$56,"*승환*")+COUNTIF($AC$57:$AO$57,"*승환*")+COUNTIF($AC$58:$AO$58,"*승환*")+COUNTIF($AC$59:$AO$59,"*승환*")+COUNTIF($AC$60:$AO$60,"*승환*")+COUNTIF($AC$61:$AO$61,"*승환*")+COUNTIF($AC$62:$AO$62,"*승환*")+COUNTIF($AC$64:$AO$64,"*승환*")+COUNTIF($AC$65:$AO$65,"*승환*")+COUNTIF($AC$66:$AO$66,"*승환*")+COUNTIF($AC$68:$AO$68,"*승환*")+COUNTIF($AC$69:$AO$69,"*승환*")+COUNTIF($AC$70:$AO$70,"*승환*")+COUNTIF($AC$71:$AO$71,"*승환*")+COUNTIF($AC$73:$AO$73,"*승환*")+COUNTIF($AC$74:$AO$74,"*승환*")+COUNTIF($AC$75:$AO$75,"*승환*")</f>
        <v>0</v>
      </c>
      <c r="AC116" s="113">
        <f t="shared" ref="AC116:AC119" si="57">Z116+U213</f>
        <v>1</v>
      </c>
      <c r="AD116" s="62"/>
      <c r="AE116" s="62"/>
      <c r="AF116" s="97">
        <f t="shared" ref="AF116:AF119" si="58">AA116+V213</f>
        <v>0</v>
      </c>
      <c r="AG116" s="62"/>
      <c r="AH116" s="62"/>
      <c r="AI116" s="112">
        <f t="shared" ref="AI116:AI119" si="59">AB116+X213</f>
        <v>0</v>
      </c>
      <c r="AJ116" s="62"/>
      <c r="AK116" s="62"/>
      <c r="AL116" s="62"/>
      <c r="AM116" s="62"/>
      <c r="AN116" s="62"/>
      <c r="AO116" s="114">
        <v>0.0</v>
      </c>
      <c r="AP116" s="115">
        <f>COUNTIF($D$69:$P$76,"*승환*")</f>
        <v>0</v>
      </c>
      <c r="AQ116" s="115">
        <f>COUNTIF($D$83:$P$100,"*승환*")</f>
        <v>1</v>
      </c>
      <c r="AR116" s="115">
        <f>COUNTIF($D$107:$P$124,"*승환*")</f>
        <v>0</v>
      </c>
      <c r="AS116" s="115">
        <f>COUNTIF($D$131:$P$132,"*승환*")+COUNTIF($D$146:$P$158,"*승환*")</f>
        <v>0</v>
      </c>
      <c r="AT116" s="115">
        <f>COUNTIF($D$165:$P$182,"*승환*")</f>
        <v>0</v>
      </c>
      <c r="AU116" s="115">
        <f>COUNTIF($D$189:$P$206,"*승환*")</f>
        <v>0</v>
      </c>
      <c r="AV116" s="115">
        <f>COUNTIF($D$213:$P$230,"*승환*")</f>
        <v>0</v>
      </c>
      <c r="AW116" s="109">
        <f t="shared" ref="AW116:AW119" si="60">SUM(AO116:AV116)</f>
        <v>1</v>
      </c>
      <c r="AX116" s="1"/>
      <c r="AY116" s="1"/>
    </row>
    <row r="117" ht="11.25" customHeight="1">
      <c r="A117" s="1"/>
      <c r="B117" s="1"/>
      <c r="C117" s="1"/>
      <c r="D117" s="1"/>
      <c r="E117" s="1"/>
      <c r="F117" s="1"/>
      <c r="G117" s="1"/>
      <c r="H117" s="49"/>
      <c r="I117" s="49"/>
      <c r="J117" s="1"/>
      <c r="K117" s="49"/>
      <c r="L117" s="49"/>
      <c r="M117" s="1"/>
      <c r="N117" s="49"/>
      <c r="O117" s="49"/>
      <c r="P117" s="1"/>
      <c r="Q117" s="1"/>
      <c r="R117" s="109" t="s">
        <v>130</v>
      </c>
      <c r="S117" s="52">
        <f>COUNTIF($D$69:$P$69,"*한솔*")+COUNTIF($D$74:$P$74,"*한솔*")+COUNTIF($D$83:$P$83,"*한솔*")+COUNTIF($D$88:$P$88,"*한솔*")+COUNTIF($D$93:$P$93,"*한솔*")+COUNTIF($D$98:$P$98,"*한솔*")+COUNTIF($D$107:$P$107,"*한솔*")+COUNTIF($D$112:$P$112,"*한솔*")+COUNTIF($D$117:$P$117,"*한솔*")+COUNTIF($D$122:$P$122,"*한솔*")+COUNTIF($D$131:$P$131,"*한솔*")</f>
        <v>0</v>
      </c>
      <c r="T117" s="84">
        <f>COUNTIF($D$70:$P$70,"*한솔*")+COUNTIF($D$75:$P$75,"*한솔*")+COUNTIF($D$84:$P$84,"*한솔*")+COUNTIF($D$89:$P$89,"*한솔*")+COUNTIF($D$94:$P$94,"*한솔*")+COUNTIF($D$99:$P$99,"*한솔*")+COUNTIF($D$108:$P$108,"*한솔*")+COUNTIF($D$113:$P$113,"*한솔*")+COUNTIF($D$118:$P$118,"*한솔*")+COUNTIF($D$123:$P$123,"*한솔*")+COUNTIF($D$132:$P$132,"*한솔*")</f>
        <v>0</v>
      </c>
      <c r="U117" s="52">
        <f t="shared" si="55"/>
        <v>0</v>
      </c>
      <c r="V117" s="84">
        <f>COUNTIF($D$74:$P$75,"*한솔*")+COUNTIF($D$98:$P$99,"*한솔*")+COUNTIF($D$122:$P$123,"*한솔*")</f>
        <v>0</v>
      </c>
      <c r="W117" s="49"/>
      <c r="X117" s="52">
        <f t="shared" ref="X117:AA117" si="56">S117+S177</f>
        <v>0</v>
      </c>
      <c r="Y117" s="84">
        <f t="shared" si="56"/>
        <v>0</v>
      </c>
      <c r="Z117" s="111">
        <f t="shared" si="56"/>
        <v>0</v>
      </c>
      <c r="AA117" s="49">
        <f t="shared" si="56"/>
        <v>0</v>
      </c>
      <c r="AB117" s="129">
        <f>COUNTIF($AC$54:$AO$54,"*한솔*")+COUNTIF($AC$56:$AO$56,"*한솔*")+COUNTIF($AC$57:$AO$57,"*한솔*")+COUNTIF($AC$58:$AO$58,"*한솔*")+COUNTIF($AC$59:$AO$59,"*한솔*")+COUNTIF($AC$60:$AO$60,"*한솔*")+COUNTIF($AC$61:$AO$61,"*한솔*")+COUNTIF($AC$62:$AO$62,"*한솔*")+COUNTIF($AC$64:$AO$64,"*한솔*")+COUNTIF($AC$65:$AO$65,"*한솔*")+COUNTIF($AC$66:$AO$66,"*한솔*")+COUNTIF($AC$68:$AO$68,"*한솔*")+COUNTIF($AC$69:$AO$69,"*한솔*")+COUNTIF($AC$70:$AO$70,"*한솔*")+COUNTIF($AC$71:$AO$71,"*한솔*")+COUNTIF($AC$73:$AO$73,"*한솔*")+COUNTIF($AC$74:$AO$74,"*한솔*")+COUNTIF($AC$75:$AO$75,"*한솔*")</f>
        <v>0</v>
      </c>
      <c r="AC117" s="130">
        <f t="shared" si="57"/>
        <v>0</v>
      </c>
      <c r="AD117" s="131"/>
      <c r="AE117" s="131"/>
      <c r="AF117" s="131">
        <f t="shared" si="58"/>
        <v>0</v>
      </c>
      <c r="AG117" s="131"/>
      <c r="AH117" s="131"/>
      <c r="AI117" s="129">
        <f t="shared" si="59"/>
        <v>0</v>
      </c>
      <c r="AJ117" s="62"/>
      <c r="AK117" s="62"/>
      <c r="AL117" s="62"/>
      <c r="AM117" s="62"/>
      <c r="AN117" s="62"/>
      <c r="AO117" s="132">
        <v>0.0</v>
      </c>
      <c r="AP117" s="115">
        <f>COUNTIF($D$69:$P$76,"*한솔*")</f>
        <v>0</v>
      </c>
      <c r="AQ117" s="115">
        <f>COUNTIF($D$83:$P$100,"*한솔*")</f>
        <v>0</v>
      </c>
      <c r="AR117" s="115">
        <f>COUNTIF($D$107:$P$124,"*한솔*")</f>
        <v>0</v>
      </c>
      <c r="AS117" s="115">
        <f>COUNTIF($D$131:$P$132,"*한솔*")+COUNTIF($D$146:$P$158,"*한솔*")</f>
        <v>0</v>
      </c>
      <c r="AT117" s="109">
        <f>COUNTIF($D$165:$P$182,"*한솔*")</f>
        <v>0</v>
      </c>
      <c r="AU117" s="109">
        <f>COUNTIF($D$189:$P$206,"*한솔*")</f>
        <v>0</v>
      </c>
      <c r="AV117" s="109">
        <f>COUNTIF($D$213:$P$230,"*한솔*")</f>
        <v>0</v>
      </c>
      <c r="AW117" s="109">
        <f t="shared" si="60"/>
        <v>0</v>
      </c>
      <c r="AX117" s="1"/>
      <c r="AY117" s="1"/>
    </row>
    <row r="118" ht="11.25" customHeight="1">
      <c r="A118" s="1"/>
      <c r="B118" s="1"/>
      <c r="C118" s="1"/>
      <c r="D118" s="1"/>
      <c r="E118" s="1"/>
      <c r="F118" s="1"/>
      <c r="G118" s="1"/>
      <c r="H118" s="49"/>
      <c r="I118" s="49"/>
      <c r="J118" s="1"/>
      <c r="K118" s="49"/>
      <c r="L118" s="49"/>
      <c r="M118" s="1"/>
      <c r="N118" s="49"/>
      <c r="O118" s="49"/>
      <c r="P118" s="1"/>
      <c r="Q118" s="1"/>
      <c r="R118" s="109" t="s">
        <v>63</v>
      </c>
      <c r="S118" s="52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8" s="84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1</v>
      </c>
      <c r="U118" s="52">
        <f t="shared" si="55"/>
        <v>1</v>
      </c>
      <c r="V118" s="84">
        <f>COUNTIF($D$74:$P$75,"*소희*")+COUNTIF($D$98:$P$99,"*소희*")+COUNTIF($D$122:$P$123,"*소희*")</f>
        <v>1</v>
      </c>
      <c r="W118" s="49"/>
      <c r="X118" s="52">
        <f t="shared" ref="X118:AA118" si="61">S118+S179</f>
        <v>0</v>
      </c>
      <c r="Y118" s="84">
        <f t="shared" si="61"/>
        <v>1</v>
      </c>
      <c r="Z118" s="111">
        <f t="shared" si="61"/>
        <v>1</v>
      </c>
      <c r="AA118" s="49">
        <f t="shared" si="61"/>
        <v>1</v>
      </c>
      <c r="AB118" s="12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8" s="130">
        <f t="shared" si="57"/>
        <v>1</v>
      </c>
      <c r="AD118" s="131"/>
      <c r="AE118" s="131"/>
      <c r="AF118" s="131">
        <f t="shared" si="58"/>
        <v>1</v>
      </c>
      <c r="AG118" s="131"/>
      <c r="AH118" s="131"/>
      <c r="AI118" s="129">
        <f t="shared" si="59"/>
        <v>0</v>
      </c>
      <c r="AJ118" s="62"/>
      <c r="AK118" s="62"/>
      <c r="AL118" s="62"/>
      <c r="AM118" s="62"/>
      <c r="AN118" s="62"/>
      <c r="AO118" s="132">
        <v>0.0</v>
      </c>
      <c r="AP118" s="115">
        <f>COUNTIF($D$69:$P$76,"*소희*")</f>
        <v>1</v>
      </c>
      <c r="AQ118" s="115">
        <f>COUNTIF($D$83:$P$100,"*소희*")</f>
        <v>0</v>
      </c>
      <c r="AR118" s="115">
        <f>COUNTIF($D$107:$P$124,"*소희*")</f>
        <v>0</v>
      </c>
      <c r="AS118" s="115">
        <f>COUNTIF($D$131:$P$132,"*소희*")+COUNTIF($D$146:$P$158,"*소희*")</f>
        <v>0</v>
      </c>
      <c r="AT118" s="109">
        <f>COUNTIF($D$165:$P$182,"*소희*")</f>
        <v>0</v>
      </c>
      <c r="AU118" s="109">
        <f>COUNTIF($D$189:$P$206,"*소희*")</f>
        <v>0</v>
      </c>
      <c r="AV118" s="109">
        <f>COUNTIF($D$213:$P$230,"*소희*")</f>
        <v>0</v>
      </c>
      <c r="AW118" s="109">
        <f t="shared" si="60"/>
        <v>1</v>
      </c>
      <c r="AX118" s="1"/>
      <c r="AY118" s="1"/>
    </row>
    <row r="119" ht="11.25" customHeight="1">
      <c r="A119" s="1"/>
      <c r="B119" s="1"/>
      <c r="C119" s="1"/>
      <c r="D119" s="1"/>
      <c r="E119" s="1"/>
      <c r="F119" s="1"/>
      <c r="G119" s="1"/>
      <c r="H119" s="49"/>
      <c r="I119" s="49"/>
      <c r="J119" s="1"/>
      <c r="K119" s="49"/>
      <c r="L119" s="49"/>
      <c r="M119" s="1"/>
      <c r="N119" s="49"/>
      <c r="O119" s="49"/>
      <c r="P119" s="1"/>
      <c r="Q119" s="1"/>
      <c r="R119" s="54" t="s">
        <v>131</v>
      </c>
      <c r="S119" s="54">
        <f>COUNTIF($D$69:$P$69,"*근용*")+COUNTIF($D$74:$P$74,"*근용*")+COUNTIF($D$83:$P$83,"*근용*")+COUNTIF($D$88:$P$88,"*근용*")+COUNTIF($D$93:$P$93,"*근용*")+COUNTIF($D$98:$P$98,"*근용*")+COUNTIF($D$107:$P$107,"*근용*")+COUNTIF($D$112:$P$112,"*근용*")+COUNTIF($D$117:$P$117,"*근용*")+COUNTIF($D$122:$P$122,"*근용*")+COUNTIF($D$131:$P$131,"*근용*")</f>
        <v>0</v>
      </c>
      <c r="T119" s="133">
        <f>COUNTIF($D$70:$P$70,"*근용*")+COUNTIF($D$75:$P$75,"*근용*")+COUNTIF($D$84:$P$84,"*근용*")+COUNTIF($D$89:$P$89,"*근용*")+COUNTIF($D$94:$P$94,"*근용*")+COUNTIF($D$99:$P$99,"*근용*")+COUNTIF($D$108:$P$108,"*근용*")+COUNTIF($D$113:$P$113,"*근용*")+COUNTIF($D$118:$P$118,"*근용*")+COUNTIF($D$123:$P$123,"*근용*")+COUNTIF($D$132:$P$132,"*근용*")</f>
        <v>0</v>
      </c>
      <c r="U119" s="134">
        <f t="shared" si="55"/>
        <v>0</v>
      </c>
      <c r="V119" s="133">
        <f>COUNTIF($D$74:$P$75,"*근용*")+COUNTIF($D$98:$P$99,"*근용*")+COUNTIF($D$122:$P$123,"*근용*")</f>
        <v>0</v>
      </c>
      <c r="W119" s="134"/>
      <c r="X119" s="54">
        <f t="shared" ref="X119:AA119" si="62">S119+S180</f>
        <v>0</v>
      </c>
      <c r="Y119" s="133">
        <f t="shared" si="62"/>
        <v>0</v>
      </c>
      <c r="Z119" s="135">
        <f t="shared" si="62"/>
        <v>0</v>
      </c>
      <c r="AA119" s="134">
        <f t="shared" si="62"/>
        <v>0</v>
      </c>
      <c r="AB119" s="136">
        <f>COUNTIF($AC$54:$AO$54,"*근용*")+COUNTIF($AC$56:$AO$56,"*근용*")+COUNTIF($AC$57:$AO$57,"*근용*")+COUNTIF($AC$58:$AO$58,"*근용*")+COUNTIF($AC$59:$AO$59,"*근용*")+COUNTIF($AC$60:$AO$60,"*근용*")+COUNTIF($AC$61:$AO$61,"*근용*")+COUNTIF($AC$62:$AO$62,"*근용*")+COUNTIF($AC$64:$AO$64,"*근용*")+COUNTIF($AC$65:$AO$65,"*근용*")+COUNTIF($AC$66:$AO$66,"*근용*")+COUNTIF($AC$68:$AO$68,"*근용*")+COUNTIF($AC$69:$AO$69,"*소희*")+COUNTIF($AC$70:$AO$70,"*소희*")+COUNTIF($AC$71:$AO$71,"*소희*")+COUNTIF($AC$73:$AO$73,"*소희*")+COUNTIF($AC$74:$AO$74,"*소희*")+COUNTIF($AC$75:$AO$75,"*소희*")</f>
        <v>0</v>
      </c>
      <c r="AC119" s="137">
        <f t="shared" si="57"/>
        <v>0</v>
      </c>
      <c r="AD119" s="137"/>
      <c r="AE119" s="137"/>
      <c r="AF119" s="137">
        <f t="shared" si="58"/>
        <v>0</v>
      </c>
      <c r="AG119" s="137"/>
      <c r="AH119" s="137"/>
      <c r="AI119" s="136">
        <f t="shared" si="59"/>
        <v>0</v>
      </c>
      <c r="AJ119" s="62"/>
      <c r="AK119" s="62"/>
      <c r="AL119" s="49"/>
      <c r="AM119" s="62"/>
      <c r="AN119" s="62"/>
      <c r="AO119" s="138">
        <v>0.0</v>
      </c>
      <c r="AP119" s="139">
        <f>COUNTIF($D$69:$P$76,"*근용*")</f>
        <v>0</v>
      </c>
      <c r="AQ119" s="139">
        <f>COUNTIF($D$83:$P$100,"*근용*")</f>
        <v>0</v>
      </c>
      <c r="AR119" s="139">
        <f>COUNTIF($D$107:$P$124,"*근용*")</f>
        <v>0</v>
      </c>
      <c r="AS119" s="139">
        <f>COUNTIF($D$131:$P$132,"*근용*")+COUNTIF($D$146:$P$158,"*근용*")</f>
        <v>0</v>
      </c>
      <c r="AT119" s="54">
        <f>COUNTIF($D$165:$P$182,"*근용*")</f>
        <v>0</v>
      </c>
      <c r="AU119" s="54">
        <f>COUNTIF($D$189:$P$206,"*근용*")</f>
        <v>0</v>
      </c>
      <c r="AV119" s="54">
        <f>COUNTIF($D$213:$P$230,"*근용*")</f>
        <v>0</v>
      </c>
      <c r="AW119" s="140">
        <f t="shared" si="60"/>
        <v>0</v>
      </c>
      <c r="AX119" s="1"/>
      <c r="AY119" s="1"/>
    </row>
    <row r="120" ht="1.5" customHeight="1">
      <c r="A120" s="1"/>
      <c r="B120" s="1"/>
      <c r="C120" s="1"/>
      <c r="D120" s="1"/>
      <c r="E120" s="49"/>
      <c r="F120" s="49"/>
      <c r="G120" s="49"/>
      <c r="H120" s="49"/>
      <c r="I120" s="49"/>
      <c r="J120" s="1"/>
      <c r="K120" s="49"/>
      <c r="L120" s="49"/>
      <c r="M120" s="49"/>
      <c r="N120" s="49"/>
      <c r="O120" s="4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41"/>
      <c r="AA120" s="1"/>
      <c r="AB120" s="1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142">
        <v>0.0</v>
      </c>
      <c r="AP120" s="143"/>
      <c r="AQ120" s="62"/>
      <c r="AR120" s="62"/>
      <c r="AS120" s="143"/>
      <c r="AT120" s="1"/>
      <c r="AU120" s="1"/>
      <c r="AV120" s="1"/>
      <c r="AW120" s="1"/>
      <c r="AX120" s="1"/>
      <c r="AY120" s="1"/>
    </row>
    <row r="121" ht="11.25" customHeight="1">
      <c r="A121" s="1"/>
      <c r="B121" s="1"/>
      <c r="C121" s="1"/>
      <c r="D121" s="1"/>
      <c r="E121" s="1"/>
      <c r="F121" s="1"/>
      <c r="G121" s="1"/>
      <c r="H121" s="49"/>
      <c r="I121" s="49"/>
      <c r="J121" s="1"/>
      <c r="K121" s="49"/>
      <c r="L121" s="49"/>
      <c r="M121" s="1"/>
      <c r="N121" s="49"/>
      <c r="O121" s="49"/>
      <c r="P121" s="1"/>
      <c r="Q121" s="1"/>
      <c r="R121" s="49"/>
      <c r="S121" s="49"/>
      <c r="T121" s="49"/>
      <c r="U121" s="49"/>
      <c r="V121" s="49"/>
      <c r="W121" s="49"/>
      <c r="X121" s="49"/>
      <c r="Y121" s="49"/>
      <c r="Z121" s="96"/>
      <c r="AA121" s="49"/>
      <c r="AB121" s="131"/>
      <c r="AC121" s="131"/>
      <c r="AD121" s="131"/>
      <c r="AE121" s="131"/>
      <c r="AF121" s="131"/>
      <c r="AG121" s="131"/>
      <c r="AH121" s="131"/>
      <c r="AI121" s="131"/>
      <c r="AJ121" s="62"/>
      <c r="AK121" s="62"/>
      <c r="AL121" s="49"/>
      <c r="AM121" s="62"/>
      <c r="AN121" s="62"/>
      <c r="AO121" s="122"/>
      <c r="AP121" s="122"/>
      <c r="AQ121" s="122"/>
      <c r="AR121" s="122"/>
      <c r="AS121" s="122"/>
      <c r="AT121" s="49"/>
      <c r="AU121" s="49"/>
      <c r="AV121" s="49"/>
      <c r="AW121" s="49"/>
      <c r="AX121" s="1"/>
      <c r="AY121" s="1"/>
    </row>
    <row r="122" ht="11.25" customHeight="1">
      <c r="A122" s="1"/>
      <c r="B122" s="1"/>
      <c r="C122" s="1"/>
      <c r="D122" s="1"/>
      <c r="E122" s="1"/>
      <c r="F122" s="1"/>
      <c r="G122" s="1"/>
      <c r="H122" s="49"/>
      <c r="I122" s="49"/>
      <c r="J122" s="1"/>
      <c r="K122" s="49"/>
      <c r="L122" s="49"/>
      <c r="M122" s="1"/>
      <c r="N122" s="49"/>
      <c r="O122" s="4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143"/>
      <c r="AQ122" s="62"/>
      <c r="AR122" s="62"/>
      <c r="AS122" s="143"/>
      <c r="AT122" s="1"/>
      <c r="AU122" s="1"/>
      <c r="AV122" s="1"/>
      <c r="AW122" s="1"/>
      <c r="AX122" s="1"/>
      <c r="AY122" s="1"/>
    </row>
    <row r="123" ht="11.25" customHeight="1">
      <c r="A123" s="1"/>
      <c r="B123" s="1"/>
      <c r="C123" s="1"/>
      <c r="D123" s="1"/>
      <c r="E123" s="1"/>
      <c r="F123" s="1"/>
      <c r="G123" s="1"/>
      <c r="H123" s="49"/>
      <c r="I123" s="49"/>
      <c r="J123" s="1"/>
      <c r="K123" s="49"/>
      <c r="L123" s="49"/>
      <c r="M123" s="1"/>
      <c r="N123" s="49"/>
      <c r="O123" s="4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143"/>
      <c r="AQ123" s="62"/>
      <c r="AR123" s="62"/>
      <c r="AS123" s="143"/>
      <c r="AT123" s="1"/>
      <c r="AU123" s="1"/>
      <c r="AV123" s="1"/>
      <c r="AW123" s="1"/>
      <c r="AX123" s="1"/>
      <c r="AY123" s="1"/>
    </row>
    <row r="124" ht="11.25" customHeight="1">
      <c r="A124" s="1"/>
      <c r="B124" s="1"/>
      <c r="C124" s="1"/>
      <c r="D124" s="1"/>
      <c r="E124" s="1"/>
      <c r="F124" s="1"/>
      <c r="G124" s="1"/>
      <c r="H124" s="49"/>
      <c r="I124" s="49"/>
      <c r="J124" s="1"/>
      <c r="K124" s="49"/>
      <c r="L124" s="49"/>
      <c r="M124" s="1"/>
      <c r="N124" s="49"/>
      <c r="O124" s="4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143"/>
      <c r="AQ124" s="62"/>
      <c r="AR124" s="62"/>
      <c r="AS124" s="143"/>
      <c r="AT124" s="1"/>
      <c r="AU124" s="1"/>
      <c r="AV124" s="1"/>
      <c r="AW124" s="1"/>
      <c r="AX124" s="1"/>
      <c r="AY124" s="1"/>
    </row>
    <row r="125" ht="1.5" customHeight="1">
      <c r="A125" s="1"/>
      <c r="B125" s="1"/>
      <c r="C125" s="1"/>
      <c r="D125" s="1"/>
      <c r="E125" s="49"/>
      <c r="F125" s="49"/>
      <c r="G125" s="49"/>
      <c r="H125" s="49"/>
      <c r="I125" s="49"/>
      <c r="J125" s="1"/>
      <c r="K125" s="49"/>
      <c r="L125" s="49"/>
      <c r="M125" s="49"/>
      <c r="N125" s="49"/>
      <c r="O125" s="49"/>
      <c r="P125" s="4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143"/>
      <c r="AQ125" s="62"/>
      <c r="AR125" s="62"/>
      <c r="AS125" s="143"/>
      <c r="AT125" s="1"/>
      <c r="AU125" s="1"/>
      <c r="AV125" s="1"/>
      <c r="AW125" s="1"/>
      <c r="AX125" s="1"/>
      <c r="AY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143"/>
      <c r="AQ126" s="62"/>
      <c r="AR126" s="62"/>
      <c r="AS126" s="143"/>
      <c r="AT126" s="1"/>
      <c r="AU126" s="1"/>
      <c r="AV126" s="1"/>
      <c r="AW126" s="1"/>
      <c r="AX126" s="1"/>
      <c r="AY126" s="1"/>
    </row>
    <row r="127" ht="11.25" customHeight="1">
      <c r="A127" s="1"/>
      <c r="B127" s="49"/>
      <c r="C127" s="49"/>
      <c r="D127" s="49"/>
      <c r="E127" s="49"/>
      <c r="F127" s="49"/>
      <c r="G127" s="49"/>
      <c r="H127" s="49"/>
      <c r="I127" s="49"/>
      <c r="J127" s="1"/>
      <c r="K127" s="49"/>
      <c r="L127" s="49"/>
      <c r="M127" s="49"/>
      <c r="N127" s="49"/>
      <c r="O127" s="49"/>
      <c r="P127" s="49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143"/>
      <c r="AQ127" s="62"/>
      <c r="AR127" s="62"/>
      <c r="AS127" s="143"/>
      <c r="AT127" s="1"/>
      <c r="AU127" s="1"/>
      <c r="AV127" s="1"/>
      <c r="AW127" s="1"/>
      <c r="AX127" s="1"/>
      <c r="AY127" s="1"/>
    </row>
    <row r="128" ht="11.25" customHeight="1">
      <c r="A128" s="1"/>
      <c r="B128" s="1"/>
      <c r="C128" s="1"/>
      <c r="D128" s="1"/>
      <c r="E128" s="69"/>
      <c r="F128" s="69"/>
      <c r="G128" s="6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143"/>
      <c r="AQ128" s="62"/>
      <c r="AR128" s="62"/>
      <c r="AS128" s="143"/>
      <c r="AT128" s="1"/>
      <c r="AU128" s="1"/>
      <c r="AV128" s="1"/>
      <c r="AW128" s="1"/>
      <c r="AX128" s="1"/>
      <c r="AY128" s="1"/>
    </row>
    <row r="129" ht="2.25" customHeight="1">
      <c r="A129" s="1"/>
      <c r="B129" s="1"/>
      <c r="C129" s="1"/>
      <c r="D129" s="1"/>
      <c r="E129" s="1"/>
      <c r="F129" s="1"/>
      <c r="G129" s="1"/>
      <c r="H129" s="49"/>
      <c r="I129" s="4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143"/>
      <c r="AQ129" s="62"/>
      <c r="AR129" s="62"/>
      <c r="AS129" s="143"/>
      <c r="AT129" s="1"/>
      <c r="AU129" s="1"/>
      <c r="AV129" s="1"/>
      <c r="AW129" s="1"/>
      <c r="AX129" s="1"/>
      <c r="AY129" s="1"/>
    </row>
    <row r="130" ht="11.25" customHeight="1">
      <c r="A130" s="1"/>
      <c r="B130" s="1"/>
      <c r="C130" s="1"/>
      <c r="D130" s="1"/>
      <c r="E130" s="1"/>
      <c r="F130" s="1"/>
      <c r="G130" s="1"/>
      <c r="H130" s="49"/>
      <c r="I130" s="49"/>
      <c r="J130" s="1"/>
      <c r="K130" s="49"/>
      <c r="L130" s="49"/>
      <c r="M130" s="1"/>
      <c r="N130" s="49"/>
      <c r="O130" s="4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143"/>
      <c r="AQ130" s="62"/>
      <c r="AR130" s="62"/>
      <c r="AS130" s="143"/>
      <c r="AT130" s="1"/>
      <c r="AU130" s="1"/>
      <c r="AV130" s="1"/>
      <c r="AW130" s="1"/>
      <c r="AX130" s="1"/>
      <c r="AY130" s="1"/>
    </row>
    <row r="131" ht="11.25" customHeight="1">
      <c r="A131" s="1"/>
      <c r="B131" s="1"/>
      <c r="C131" s="1"/>
      <c r="D131" s="1"/>
      <c r="E131" s="1"/>
      <c r="F131" s="1"/>
      <c r="G131" s="1"/>
      <c r="H131" s="49"/>
      <c r="I131" s="49"/>
      <c r="J131" s="1"/>
      <c r="K131" s="49"/>
      <c r="L131" s="49"/>
      <c r="M131" s="1"/>
      <c r="N131" s="49"/>
      <c r="O131" s="4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143"/>
      <c r="AQ131" s="62"/>
      <c r="AR131" s="62"/>
      <c r="AS131" s="143"/>
      <c r="AT131" s="1"/>
      <c r="AU131" s="1"/>
      <c r="AV131" s="1"/>
      <c r="AW131" s="1"/>
      <c r="AX131" s="1"/>
      <c r="AY131" s="1"/>
    </row>
    <row r="132" ht="11.25" customHeight="1">
      <c r="A132" s="1"/>
      <c r="B132" s="1"/>
      <c r="C132" s="1"/>
      <c r="D132" s="1"/>
      <c r="E132" s="1"/>
      <c r="F132" s="1"/>
      <c r="G132" s="1"/>
      <c r="H132" s="49"/>
      <c r="I132" s="49"/>
      <c r="J132" s="1"/>
      <c r="K132" s="49"/>
      <c r="L132" s="49"/>
      <c r="M132" s="1"/>
      <c r="N132" s="49"/>
      <c r="O132" s="4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143"/>
      <c r="AQ132" s="62"/>
      <c r="AR132" s="62"/>
      <c r="AS132" s="143"/>
      <c r="AT132" s="1"/>
      <c r="AU132" s="1"/>
      <c r="AV132" s="1"/>
      <c r="AW132" s="1"/>
      <c r="AX132" s="1"/>
      <c r="AY132" s="1"/>
    </row>
    <row r="133" ht="11.25" customHeight="1">
      <c r="A133" s="1"/>
      <c r="B133" s="1"/>
      <c r="C133" s="1"/>
      <c r="D133" s="1"/>
      <c r="E133" s="1"/>
      <c r="F133" s="1"/>
      <c r="G133" s="1"/>
      <c r="H133" s="49"/>
      <c r="I133" s="49"/>
      <c r="J133" s="1"/>
      <c r="K133" s="49"/>
      <c r="L133" s="49"/>
      <c r="M133" s="1"/>
      <c r="N133" s="49"/>
      <c r="O133" s="4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143"/>
      <c r="AQ133" s="62"/>
      <c r="AR133" s="62"/>
      <c r="AS133" s="143"/>
      <c r="AT133" s="1"/>
      <c r="AU133" s="1"/>
      <c r="AV133" s="1"/>
      <c r="AW133" s="1"/>
      <c r="AX133" s="1"/>
      <c r="AY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3"/>
      <c r="AR134" s="143"/>
      <c r="AS134" s="143"/>
      <c r="AT134" s="1"/>
      <c r="AU134" s="1"/>
      <c r="AV134" s="1"/>
      <c r="AW134" s="1"/>
      <c r="AX134" s="1"/>
      <c r="AY134" s="1"/>
    </row>
    <row r="135" ht="11.25" customHeight="1">
      <c r="A135" s="1"/>
      <c r="B135" s="1"/>
      <c r="C135" s="1"/>
      <c r="D135" s="1"/>
      <c r="E135" s="69"/>
      <c r="F135" s="69"/>
      <c r="G135" s="6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"/>
      <c r="AU135" s="1"/>
      <c r="AV135" s="1"/>
      <c r="AW135" s="1"/>
      <c r="AX135" s="1"/>
      <c r="AY135" s="1"/>
    </row>
    <row r="136" ht="11.25" customHeight="1">
      <c r="A136" s="49"/>
      <c r="B136" s="1"/>
      <c r="C136" s="1"/>
      <c r="D136" s="1"/>
      <c r="E136" s="69"/>
      <c r="F136" s="69"/>
      <c r="G136" s="69"/>
      <c r="H136" s="1"/>
      <c r="I136" s="1"/>
      <c r="J136" s="1"/>
      <c r="K136" s="1"/>
      <c r="L136" s="1"/>
      <c r="M136" s="1"/>
      <c r="N136" s="1"/>
      <c r="O136" s="1"/>
      <c r="P136" s="1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49"/>
      <c r="AR136" s="49"/>
      <c r="AS136" s="49"/>
      <c r="AT136" s="49"/>
      <c r="AU136" s="49"/>
      <c r="AV136" s="49"/>
      <c r="AW136" s="49"/>
      <c r="AX136" s="49"/>
      <c r="AY136" s="49"/>
    </row>
    <row r="137" ht="1.5" customHeight="1">
      <c r="A137" s="49"/>
      <c r="B137" s="1"/>
      <c r="C137" s="1"/>
      <c r="D137" s="1"/>
      <c r="E137" s="1"/>
      <c r="F137" s="1"/>
      <c r="G137" s="1"/>
      <c r="H137" s="1"/>
      <c r="I137" s="49"/>
      <c r="J137" s="1"/>
      <c r="K137" s="1"/>
      <c r="L137" s="49"/>
      <c r="M137" s="1"/>
      <c r="N137" s="1"/>
      <c r="O137" s="49"/>
      <c r="P137" s="1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49"/>
      <c r="AR137" s="49"/>
      <c r="AS137" s="49"/>
      <c r="AT137" s="49"/>
      <c r="AU137" s="49"/>
      <c r="AV137" s="49"/>
      <c r="AW137" s="49"/>
      <c r="AX137" s="49"/>
      <c r="AY137" s="49"/>
    </row>
    <row r="138" ht="18.0" customHeight="1">
      <c r="A138" s="4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9"/>
      <c r="M138" s="1"/>
      <c r="N138" s="1"/>
      <c r="O138" s="49"/>
      <c r="P138" s="1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49"/>
      <c r="AR138" s="49"/>
      <c r="AS138" s="49"/>
      <c r="AT138" s="49"/>
      <c r="AU138" s="49"/>
      <c r="AV138" s="49"/>
      <c r="AW138" s="49"/>
      <c r="AX138" s="49"/>
      <c r="AY138" s="49"/>
    </row>
    <row r="139" ht="11.25" customHeight="1">
      <c r="A139" s="4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9"/>
      <c r="M139" s="1"/>
      <c r="N139" s="1"/>
      <c r="O139" s="49"/>
      <c r="P139" s="1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49"/>
      <c r="AR139" s="49"/>
      <c r="AS139" s="49"/>
      <c r="AT139" s="49"/>
      <c r="AU139" s="49"/>
      <c r="AV139" s="49"/>
      <c r="AW139" s="49"/>
      <c r="AX139" s="49"/>
      <c r="AY139" s="49"/>
    </row>
    <row r="140" ht="11.25" customHeight="1">
      <c r="A140" s="4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9"/>
      <c r="M140" s="1"/>
      <c r="N140" s="1"/>
      <c r="O140" s="49"/>
      <c r="P140" s="1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49"/>
      <c r="AR140" s="49"/>
      <c r="AS140" s="49"/>
      <c r="AT140" s="49"/>
      <c r="AU140" s="49"/>
      <c r="AV140" s="49"/>
      <c r="AW140" s="49"/>
      <c r="AX140" s="49"/>
      <c r="AY140" s="49"/>
    </row>
    <row r="141" ht="11.25" customHeight="1">
      <c r="A141" s="4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9"/>
      <c r="M141" s="1"/>
      <c r="N141" s="1"/>
      <c r="O141" s="49"/>
      <c r="P141" s="1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49"/>
      <c r="AR141" s="49"/>
      <c r="AS141" s="49"/>
      <c r="AT141" s="49"/>
      <c r="AU141" s="49"/>
      <c r="AV141" s="49"/>
      <c r="AW141" s="49"/>
      <c r="AX141" s="49"/>
      <c r="AY141" s="49"/>
    </row>
    <row r="142" ht="11.25" customHeight="1">
      <c r="A142" s="4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9"/>
      <c r="M142" s="1"/>
      <c r="N142" s="1"/>
      <c r="O142" s="49"/>
      <c r="P142" s="1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49"/>
      <c r="AR142" s="49"/>
      <c r="AS142" s="49"/>
      <c r="AT142" s="49"/>
      <c r="AU142" s="49"/>
      <c r="AV142" s="49"/>
      <c r="AW142" s="49"/>
      <c r="AX142" s="49"/>
      <c r="AY142" s="49"/>
    </row>
    <row r="143" ht="11.25" customHeight="1">
      <c r="A143" s="4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9"/>
      <c r="M143" s="1"/>
      <c r="N143" s="1"/>
      <c r="O143" s="49"/>
      <c r="P143" s="1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49"/>
      <c r="AR143" s="49"/>
      <c r="AS143" s="49"/>
      <c r="AT143" s="49"/>
      <c r="AU143" s="49"/>
      <c r="AV143" s="49"/>
      <c r="AW143" s="49"/>
      <c r="AX143" s="49"/>
      <c r="AY143" s="49"/>
    </row>
    <row r="144" ht="11.25" customHeight="1">
      <c r="A144" s="49"/>
      <c r="C144" s="1"/>
      <c r="D144" s="1"/>
      <c r="E144" s="1"/>
      <c r="F144" s="1"/>
      <c r="G144" s="1"/>
      <c r="H144" s="1"/>
      <c r="I144" s="1"/>
      <c r="J144" s="1"/>
      <c r="K144" s="1"/>
      <c r="L144" s="49"/>
      <c r="M144" s="1"/>
      <c r="N144" s="1"/>
      <c r="O144" s="49"/>
      <c r="P144" s="1"/>
      <c r="Q144" s="49"/>
      <c r="R144" s="144"/>
      <c r="S144" s="80" t="s">
        <v>132</v>
      </c>
      <c r="T144" s="9"/>
      <c r="U144" s="9"/>
      <c r="V144" s="10"/>
      <c r="W144" s="49"/>
      <c r="X144" s="80" t="s">
        <v>78</v>
      </c>
      <c r="Y144" s="9"/>
      <c r="Z144" s="9"/>
      <c r="AA144" s="9"/>
      <c r="AB144" s="10"/>
      <c r="AC144" s="145"/>
      <c r="AD144" s="62"/>
      <c r="AE144" s="62"/>
      <c r="AF144" s="62"/>
      <c r="AG144" s="62"/>
      <c r="AH144" s="62"/>
      <c r="AI144" s="62"/>
      <c r="AJ144" s="62"/>
      <c r="AK144" s="62"/>
      <c r="AL144" s="144"/>
      <c r="AM144" s="62"/>
      <c r="AN144" s="62"/>
      <c r="AO144" s="145"/>
      <c r="AP144" s="122"/>
      <c r="AQ144" s="122"/>
      <c r="AR144" s="122"/>
      <c r="AS144" s="122"/>
      <c r="AT144" s="49"/>
      <c r="AU144" s="49"/>
      <c r="AV144" s="49"/>
      <c r="AW144" s="49"/>
      <c r="AX144" s="146" t="s">
        <v>91</v>
      </c>
      <c r="AY144" s="49" t="s">
        <v>133</v>
      </c>
    </row>
    <row r="145" ht="2.25" customHeight="1">
      <c r="A145" s="49"/>
      <c r="B145" s="1"/>
      <c r="C145" s="1"/>
      <c r="D145" s="1"/>
      <c r="E145" s="1"/>
      <c r="F145" s="1"/>
      <c r="G145" s="1"/>
      <c r="H145" s="1"/>
      <c r="I145" s="49"/>
      <c r="J145" s="1"/>
      <c r="K145" s="1"/>
      <c r="L145" s="49"/>
      <c r="M145" s="1"/>
      <c r="N145" s="1"/>
      <c r="O145" s="49"/>
      <c r="P145" s="1"/>
      <c r="Q145" s="49"/>
      <c r="R145" s="147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62"/>
      <c r="AD145" s="62"/>
      <c r="AE145" s="62"/>
      <c r="AF145" s="62"/>
      <c r="AG145" s="62"/>
      <c r="AH145" s="62"/>
      <c r="AI145" s="62"/>
      <c r="AJ145" s="62"/>
      <c r="AK145" s="62"/>
      <c r="AL145" s="147"/>
      <c r="AM145" s="62"/>
      <c r="AN145" s="62"/>
      <c r="AO145" s="62"/>
      <c r="AP145" s="62"/>
      <c r="AQ145" s="49"/>
      <c r="AR145" s="49"/>
      <c r="AS145" s="49"/>
      <c r="AT145" s="49"/>
      <c r="AU145" s="49"/>
      <c r="AV145" s="49"/>
      <c r="AW145" s="49"/>
      <c r="AX145" s="148"/>
      <c r="AY145" s="49"/>
    </row>
    <row r="146" ht="9.75" customHeight="1">
      <c r="A146" s="49"/>
      <c r="B146" s="1"/>
      <c r="C146" s="1"/>
      <c r="D146" s="1"/>
      <c r="E146" s="1"/>
      <c r="F146" s="1"/>
      <c r="G146" s="1"/>
      <c r="H146" s="49"/>
      <c r="I146" s="49"/>
      <c r="J146" s="1"/>
      <c r="K146" s="49"/>
      <c r="L146" s="49"/>
      <c r="M146" s="1"/>
      <c r="N146" s="49"/>
      <c r="O146" s="49"/>
      <c r="P146" s="1"/>
      <c r="Q146" s="49"/>
      <c r="R146" s="149"/>
      <c r="S146" s="150" t="s">
        <v>53</v>
      </c>
      <c r="T146" s="151" t="s">
        <v>55</v>
      </c>
      <c r="U146" s="150" t="s">
        <v>80</v>
      </c>
      <c r="V146" s="99" t="s">
        <v>81</v>
      </c>
      <c r="W146" s="49"/>
      <c r="X146" s="150" t="s">
        <v>53</v>
      </c>
      <c r="Y146" s="102" t="s">
        <v>55</v>
      </c>
      <c r="Z146" s="102" t="s">
        <v>80</v>
      </c>
      <c r="AA146" s="102" t="s">
        <v>81</v>
      </c>
      <c r="AB146" s="99" t="s">
        <v>82</v>
      </c>
      <c r="AC146" s="152"/>
      <c r="AD146" s="152"/>
      <c r="AE146" s="152"/>
      <c r="AF146" s="152"/>
      <c r="AG146" s="152"/>
      <c r="AH146" s="152"/>
      <c r="AI146" s="152"/>
      <c r="AJ146" s="122"/>
      <c r="AK146" s="62"/>
      <c r="AL146" s="144"/>
      <c r="AM146" s="62"/>
      <c r="AN146" s="62"/>
      <c r="AO146" s="62"/>
      <c r="AP146" s="108" t="s">
        <v>83</v>
      </c>
      <c r="AQ146" s="153" t="s">
        <v>84</v>
      </c>
      <c r="AR146" s="108" t="s">
        <v>85</v>
      </c>
      <c r="AS146" s="108" t="s">
        <v>86</v>
      </c>
      <c r="AT146" s="98" t="s">
        <v>87</v>
      </c>
      <c r="AU146" s="98" t="s">
        <v>88</v>
      </c>
      <c r="AV146" s="98" t="s">
        <v>89</v>
      </c>
      <c r="AW146" s="98" t="s">
        <v>90</v>
      </c>
      <c r="AX146" s="154" t="s">
        <v>53</v>
      </c>
      <c r="AY146" s="49"/>
    </row>
    <row r="147" ht="9.75" customHeight="1">
      <c r="A147" s="49"/>
      <c r="B147" s="1"/>
      <c r="C147" s="1"/>
      <c r="D147" s="1"/>
      <c r="E147" s="1"/>
      <c r="F147" s="1"/>
      <c r="G147" s="1"/>
      <c r="H147" s="49"/>
      <c r="I147" s="49"/>
      <c r="J147" s="1"/>
      <c r="K147" s="49"/>
      <c r="L147" s="49"/>
      <c r="M147" s="1"/>
      <c r="N147" s="49"/>
      <c r="O147" s="49"/>
      <c r="P147" s="1"/>
      <c r="Q147" s="49"/>
      <c r="R147" s="155" t="s">
        <v>94</v>
      </c>
      <c r="S147" s="156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53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100">
        <f t="shared" ref="U147:U148" si="64">S147*2+T147</f>
        <v>0</v>
      </c>
      <c r="V147" s="153">
        <f>COUNTIF($D$156:$P$157,"*원석*")+COUNTIF($D$180:$P$181,"*원석*")</f>
        <v>0</v>
      </c>
      <c r="W147" s="122"/>
      <c r="X147" s="156" t="str">
        <f t="shared" ref="X147:AA147" si="63">X86</f>
        <v/>
      </c>
      <c r="Y147" s="153" t="str">
        <f t="shared" si="63"/>
        <v/>
      </c>
      <c r="Z147" s="101" t="str">
        <f t="shared" si="63"/>
        <v/>
      </c>
      <c r="AA147" s="153" t="str">
        <f t="shared" si="63"/>
        <v/>
      </c>
      <c r="AB147" s="15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58"/>
      <c r="AM147" s="122"/>
      <c r="AN147" s="122"/>
      <c r="AO147" s="108" t="s">
        <v>94</v>
      </c>
      <c r="AP147" s="108">
        <f>COUNTIF($D$69:$P$76,"*원석*")</f>
        <v>0</v>
      </c>
      <c r="AQ147" s="108">
        <f>COUNTIF($D$83:$P$100,"*원석*")</f>
        <v>0</v>
      </c>
      <c r="AR147" s="108">
        <f>COUNTIF($D$107:$P$124,"*원석*")</f>
        <v>0</v>
      </c>
      <c r="AS147" s="108">
        <f>COUNTIF($D$131:$P$132,"*원석*")+COUNTIF($D$146:$P$158,"*원석*")</f>
        <v>0</v>
      </c>
      <c r="AT147" s="108">
        <f>COUNTIF($D$165:$P$182,"*원석*")</f>
        <v>0</v>
      </c>
      <c r="AU147" s="108">
        <f>COUNTIF($D$189:$P$206,"*원석*")</f>
        <v>0</v>
      </c>
      <c r="AV147" s="108">
        <f>COUNTIF($D$213:$P$230,"*원석*")</f>
        <v>0</v>
      </c>
      <c r="AW147" s="108">
        <f t="shared" ref="AW147:AW148" si="66">SUM(AO147:AV147)</f>
        <v>0</v>
      </c>
      <c r="AX147" s="154" t="s">
        <v>55</v>
      </c>
      <c r="AY147" s="49"/>
    </row>
    <row r="148" ht="9.75" customHeight="1">
      <c r="A148" s="49"/>
      <c r="B148" s="1"/>
      <c r="C148" s="1"/>
      <c r="D148" s="1"/>
      <c r="E148" s="1"/>
      <c r="F148" s="1"/>
      <c r="G148" s="1"/>
      <c r="H148" s="49"/>
      <c r="I148" s="49"/>
      <c r="J148" s="1"/>
      <c r="K148" s="49"/>
      <c r="L148" s="49"/>
      <c r="M148" s="1"/>
      <c r="N148" s="49"/>
      <c r="O148" s="49"/>
      <c r="P148" s="1"/>
      <c r="Q148" s="49"/>
      <c r="R148" s="159" t="s">
        <v>96</v>
      </c>
      <c r="S148" s="52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84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110">
        <f t="shared" si="64"/>
        <v>0</v>
      </c>
      <c r="V148" s="84">
        <f>COUNTIF($D$156:$P$157,"*성진*")+COUNTIF($D$180:$P$181,"*성진*")</f>
        <v>0</v>
      </c>
      <c r="W148" s="49"/>
      <c r="X148" s="52">
        <f t="shared" ref="X148:AA148" si="65">X88</f>
        <v>0</v>
      </c>
      <c r="Y148" s="84">
        <f t="shared" si="65"/>
        <v>1</v>
      </c>
      <c r="Z148" s="111">
        <f t="shared" si="65"/>
        <v>1</v>
      </c>
      <c r="AA148" s="84">
        <f t="shared" si="65"/>
        <v>0</v>
      </c>
      <c r="AB148" s="16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161"/>
      <c r="AD148" s="62"/>
      <c r="AE148" s="62"/>
      <c r="AF148" s="62"/>
      <c r="AG148" s="62"/>
      <c r="AH148" s="62"/>
      <c r="AI148" s="62"/>
      <c r="AJ148" s="62"/>
      <c r="AK148" s="62"/>
      <c r="AL148" s="144"/>
      <c r="AM148" s="62"/>
      <c r="AN148" s="62"/>
      <c r="AO148" s="115" t="s">
        <v>96</v>
      </c>
      <c r="AP148" s="115">
        <f>COUNTIF($D$69:$P$76,"*성진*")</f>
        <v>0</v>
      </c>
      <c r="AQ148" s="115">
        <f>COUNTIF($D$83:$P$100,"*성진*")</f>
        <v>0</v>
      </c>
      <c r="AR148" s="115">
        <f>COUNTIF($D$107:$P$124,"*성진*")</f>
        <v>1</v>
      </c>
      <c r="AS148" s="115">
        <f>COUNTIF($D$131:$P$132,"*성진*")+COUNTIF($D$146:$P$158,"*성진*")</f>
        <v>0</v>
      </c>
      <c r="AT148" s="109">
        <f>COUNTIF($D$165:$P$182,"*성진*")</f>
        <v>0</v>
      </c>
      <c r="AU148" s="109">
        <f>COUNTIF($D$189:$P$206,"*성진*")</f>
        <v>0</v>
      </c>
      <c r="AV148" s="109">
        <f>COUNTIF($D$213:$P$230,"*성진*")</f>
        <v>0</v>
      </c>
      <c r="AW148" s="109">
        <f t="shared" si="66"/>
        <v>1</v>
      </c>
      <c r="AX148" s="154" t="s">
        <v>134</v>
      </c>
      <c r="AY148" s="49"/>
    </row>
    <row r="149" ht="2.25" customHeight="1">
      <c r="A149" s="49"/>
      <c r="B149" s="1"/>
      <c r="C149" s="1"/>
      <c r="D149" s="1"/>
      <c r="E149" s="1"/>
      <c r="F149" s="1"/>
      <c r="G149" s="1"/>
      <c r="H149" s="49"/>
      <c r="I149" s="49"/>
      <c r="J149" s="1"/>
      <c r="K149" s="49"/>
      <c r="L149" s="49"/>
      <c r="M149" s="1"/>
      <c r="N149" s="49"/>
      <c r="O149" s="49"/>
      <c r="P149" s="1"/>
      <c r="Q149" s="49"/>
      <c r="R149" s="109"/>
      <c r="S149" s="52"/>
      <c r="T149" s="84"/>
      <c r="U149" s="52"/>
      <c r="V149" s="84"/>
      <c r="W149" s="49"/>
      <c r="X149" s="52"/>
      <c r="Y149" s="84"/>
      <c r="Z149" s="52"/>
      <c r="AA149" s="84"/>
      <c r="AB149" s="160"/>
      <c r="AC149" s="49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128"/>
      <c r="AP149" s="128"/>
      <c r="AQ149" s="109"/>
      <c r="AR149" s="109"/>
      <c r="AS149" s="109"/>
      <c r="AT149" s="109"/>
      <c r="AU149" s="109"/>
      <c r="AV149" s="109"/>
      <c r="AW149" s="109"/>
      <c r="AX149" s="49"/>
      <c r="AY149" s="49"/>
    </row>
    <row r="150" ht="9.75" customHeight="1">
      <c r="A150" s="49"/>
      <c r="B150" s="1"/>
      <c r="C150" s="1"/>
      <c r="D150" s="1"/>
      <c r="E150" s="1"/>
      <c r="F150" s="1"/>
      <c r="G150" s="1"/>
      <c r="H150" s="49"/>
      <c r="I150" s="49"/>
      <c r="J150" s="1"/>
      <c r="K150" s="49"/>
      <c r="L150" s="49"/>
      <c r="M150" s="1"/>
      <c r="N150" s="49"/>
      <c r="O150" s="49"/>
      <c r="P150" s="1"/>
      <c r="Q150" s="49"/>
      <c r="R150" s="109" t="s">
        <v>68</v>
      </c>
      <c r="S150" s="52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84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110">
        <f t="shared" ref="U150:U153" si="68">S150*2+T150</f>
        <v>0</v>
      </c>
      <c r="V150" s="84">
        <f>COUNTIF($D$156:$P$157,"*종섭*")+COUNTIF($D$180:$P$181,"*종섭*")</f>
        <v>0</v>
      </c>
      <c r="W150" s="49"/>
      <c r="X150" s="52">
        <f t="shared" ref="X150:AA150" si="67">X89</f>
        <v>0</v>
      </c>
      <c r="Y150" s="84">
        <f t="shared" si="67"/>
        <v>0</v>
      </c>
      <c r="Z150" s="111">
        <f t="shared" si="67"/>
        <v>0</v>
      </c>
      <c r="AA150" s="84">
        <f t="shared" si="67"/>
        <v>0</v>
      </c>
      <c r="AB150" s="16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161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115" t="s">
        <v>68</v>
      </c>
      <c r="AP150" s="115">
        <f>COUNTIF($D$69:$P$76,"*종섭*")</f>
        <v>0</v>
      </c>
      <c r="AQ150" s="115">
        <f>COUNTIF($D$83:$P$100,"*종섭*")</f>
        <v>0</v>
      </c>
      <c r="AR150" s="115">
        <f>COUNTIF($D$107:$P$124,"*종섭*")</f>
        <v>0</v>
      </c>
      <c r="AS150" s="115">
        <f>COUNTIF($D$131:$P$132,"*종섭*")+COUNTIF($D$146:$P$158,"*종섭*")</f>
        <v>0</v>
      </c>
      <c r="AT150" s="109">
        <f>COUNTIF($D$165:$P$182,"*종섭*")</f>
        <v>0</v>
      </c>
      <c r="AU150" s="109">
        <f>COUNTIF($D$189:$P$206,"*종섭*")</f>
        <v>0</v>
      </c>
      <c r="AV150" s="109">
        <f>COUNTIF($D$213:$P$230,"*종섭*")</f>
        <v>0</v>
      </c>
      <c r="AW150" s="109">
        <f t="shared" ref="AW150:AW153" si="70">SUM(AO150:AV150)</f>
        <v>0</v>
      </c>
      <c r="AX150" s="49"/>
      <c r="AY150" s="49"/>
    </row>
    <row r="151" ht="9.75" customHeight="1">
      <c r="A151" s="49"/>
      <c r="B151" s="1"/>
      <c r="C151" s="1"/>
      <c r="D151" s="1"/>
      <c r="E151" s="1"/>
      <c r="F151" s="1"/>
      <c r="G151" s="1"/>
      <c r="H151" s="49"/>
      <c r="I151" s="49"/>
      <c r="J151" s="1"/>
      <c r="K151" s="49"/>
      <c r="L151" s="49"/>
      <c r="M151" s="1"/>
      <c r="N151" s="49"/>
      <c r="O151" s="49"/>
      <c r="P151" s="1"/>
      <c r="Q151" s="49"/>
      <c r="R151" s="109" t="s">
        <v>98</v>
      </c>
      <c r="S151" s="52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84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110">
        <f t="shared" si="68"/>
        <v>0</v>
      </c>
      <c r="V151" s="84">
        <f>COUNTIF($D$156:$P$157,"*형민*")+COUNTIF($D$180:$P$181,"*형민*")</f>
        <v>0</v>
      </c>
      <c r="W151" s="49"/>
      <c r="X151" s="52">
        <f t="shared" ref="X151:AA151" si="69">X90</f>
        <v>1</v>
      </c>
      <c r="Y151" s="84">
        <f t="shared" si="69"/>
        <v>1</v>
      </c>
      <c r="Z151" s="111">
        <f t="shared" si="69"/>
        <v>3</v>
      </c>
      <c r="AA151" s="84">
        <f t="shared" si="69"/>
        <v>0</v>
      </c>
      <c r="AB151" s="16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97"/>
      <c r="AD151" s="62"/>
      <c r="AE151" s="62"/>
      <c r="AF151" s="49"/>
      <c r="AG151" s="62"/>
      <c r="AH151" s="62"/>
      <c r="AI151" s="62"/>
      <c r="AJ151" s="62"/>
      <c r="AK151" s="62"/>
      <c r="AL151" s="62"/>
      <c r="AM151" s="62"/>
      <c r="AN151" s="62"/>
      <c r="AO151" s="109" t="s">
        <v>98</v>
      </c>
      <c r="AP151" s="115">
        <f>COUNTIF($D$69:$P$76,"*형민*")</f>
        <v>0</v>
      </c>
      <c r="AQ151" s="115">
        <f>COUNTIF($D$83:$P$100,"*형민*")</f>
        <v>1</v>
      </c>
      <c r="AR151" s="115">
        <f>COUNTIF($D$107:$P$124,"*형민*")</f>
        <v>1</v>
      </c>
      <c r="AS151" s="115">
        <f>COUNTIF($D$131:$P$132,"*형민*")+COUNTIF($D$146:$P$158,"*형민*")</f>
        <v>0</v>
      </c>
      <c r="AT151" s="115">
        <f>COUNTIF($D$165:$P$182,"*형민*")</f>
        <v>0</v>
      </c>
      <c r="AU151" s="115">
        <f>COUNTIF($D$189:$P$206,"*형민*")</f>
        <v>0</v>
      </c>
      <c r="AV151" s="115">
        <f>COUNTIF($D$213:$P$230,"*형민*")</f>
        <v>0</v>
      </c>
      <c r="AW151" s="109">
        <f t="shared" si="70"/>
        <v>2</v>
      </c>
      <c r="AX151" s="49"/>
      <c r="AY151" s="49"/>
    </row>
    <row r="152" ht="9.75" customHeight="1">
      <c r="A152" s="49"/>
      <c r="B152" s="1"/>
      <c r="C152" s="1"/>
      <c r="D152" s="1"/>
      <c r="E152" s="1"/>
      <c r="F152" s="1"/>
      <c r="G152" s="1"/>
      <c r="H152" s="49"/>
      <c r="I152" s="49"/>
      <c r="J152" s="1"/>
      <c r="K152" s="49"/>
      <c r="L152" s="49"/>
      <c r="M152" s="1"/>
      <c r="N152" s="49"/>
      <c r="O152" s="49"/>
      <c r="P152" s="1"/>
      <c r="Q152" s="49"/>
      <c r="R152" s="109" t="s">
        <v>62</v>
      </c>
      <c r="S152" s="52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84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110">
        <f t="shared" si="68"/>
        <v>0</v>
      </c>
      <c r="V152" s="84">
        <f>COUNTIF($D$156:$P$157,"*효동*")+COUNTIF($D$180:$P$181,"*효동*")</f>
        <v>0</v>
      </c>
      <c r="W152" s="49"/>
      <c r="X152" s="52">
        <f t="shared" ref="X152:AA152" si="71">X92</f>
        <v>1</v>
      </c>
      <c r="Y152" s="84">
        <f t="shared" si="71"/>
        <v>0</v>
      </c>
      <c r="Z152" s="111">
        <f t="shared" si="71"/>
        <v>2</v>
      </c>
      <c r="AA152" s="84">
        <f t="shared" si="71"/>
        <v>1</v>
      </c>
      <c r="AB152" s="16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97"/>
      <c r="AD152" s="62"/>
      <c r="AE152" s="62"/>
      <c r="AF152" s="49"/>
      <c r="AG152" s="62"/>
      <c r="AH152" s="62"/>
      <c r="AI152" s="62"/>
      <c r="AJ152" s="62"/>
      <c r="AK152" s="62"/>
      <c r="AL152" s="62"/>
      <c r="AM152" s="62"/>
      <c r="AN152" s="62"/>
      <c r="AO152" s="109" t="s">
        <v>62</v>
      </c>
      <c r="AP152" s="115">
        <f>COUNTIF($D$69:$P$76,"*효동*")</f>
        <v>1</v>
      </c>
      <c r="AQ152" s="115">
        <f>COUNTIF($D$83:$P$100,"*효동*")</f>
        <v>0</v>
      </c>
      <c r="AR152" s="115">
        <f>COUNTIF($D$107:$P$124,"*효동*")</f>
        <v>0</v>
      </c>
      <c r="AS152" s="115">
        <f>COUNTIF($D$131:$P$132,"*효동*")+COUNTIF($D$146:$P$158,"*효동*")</f>
        <v>0</v>
      </c>
      <c r="AT152" s="115">
        <f>COUNTIF($D$165:$P$182,"*효동*")</f>
        <v>0</v>
      </c>
      <c r="AU152" s="115">
        <f>COUNTIF($D$189:$P$206,"*효동*")</f>
        <v>0</v>
      </c>
      <c r="AV152" s="115">
        <f>COUNTIF($D$213:$P$230,"*효동*")</f>
        <v>0</v>
      </c>
      <c r="AW152" s="109">
        <f t="shared" si="70"/>
        <v>1</v>
      </c>
      <c r="AX152" s="49"/>
      <c r="AY152" s="49"/>
    </row>
    <row r="153" ht="9.75" customHeight="1">
      <c r="A153" s="49"/>
      <c r="B153" s="1"/>
      <c r="C153" s="1"/>
      <c r="D153" s="1"/>
      <c r="E153" s="1"/>
      <c r="F153" s="1"/>
      <c r="G153" s="1"/>
      <c r="H153" s="49"/>
      <c r="I153" s="49"/>
      <c r="J153" s="1"/>
      <c r="K153" s="49"/>
      <c r="L153" s="49"/>
      <c r="M153" s="1"/>
      <c r="N153" s="49"/>
      <c r="O153" s="49"/>
      <c r="P153" s="1"/>
      <c r="Q153" s="49"/>
      <c r="R153" s="109" t="s">
        <v>102</v>
      </c>
      <c r="S153" s="52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84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110">
        <f t="shared" si="68"/>
        <v>0</v>
      </c>
      <c r="V153" s="84">
        <f>COUNTIF($D$156:$P$157,"*상은*")+COUNTIF($D$180:$P$181,"*상은*")</f>
        <v>0</v>
      </c>
      <c r="W153" s="49"/>
      <c r="X153" s="52">
        <f t="shared" ref="X153:AA153" si="72">X93</f>
        <v>1</v>
      </c>
      <c r="Y153" s="84">
        <f t="shared" si="72"/>
        <v>0</v>
      </c>
      <c r="Z153" s="111">
        <f t="shared" si="72"/>
        <v>2</v>
      </c>
      <c r="AA153" s="84">
        <f t="shared" si="72"/>
        <v>1</v>
      </c>
      <c r="AB153" s="16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97"/>
      <c r="AD153" s="62"/>
      <c r="AE153" s="62"/>
      <c r="AF153" s="49"/>
      <c r="AG153" s="62"/>
      <c r="AH153" s="62"/>
      <c r="AI153" s="62"/>
      <c r="AJ153" s="62"/>
      <c r="AK153" s="62"/>
      <c r="AL153" s="62"/>
      <c r="AM153" s="62"/>
      <c r="AN153" s="62"/>
      <c r="AO153" s="109" t="s">
        <v>102</v>
      </c>
      <c r="AP153" s="115">
        <f>COUNTIF($D$69:$P$76,"*상은*")</f>
        <v>0</v>
      </c>
      <c r="AQ153" s="115">
        <f>COUNTIF($D$83:$P$100,"*상은*")</f>
        <v>1</v>
      </c>
      <c r="AR153" s="115">
        <f>COUNTIF($D$107:$P$124,"*상은*")</f>
        <v>0</v>
      </c>
      <c r="AS153" s="115">
        <f>COUNTIF($D$131:$P$132,"*상은*")+COUNTIF($D$146:$P$158,"*상은*")</f>
        <v>0</v>
      </c>
      <c r="AT153" s="115">
        <f>COUNTIF($D$165:$P$182,"*상은*")</f>
        <v>0</v>
      </c>
      <c r="AU153" s="115">
        <f>COUNTIF($D$189:$P$206,"*상은*")</f>
        <v>0</v>
      </c>
      <c r="AV153" s="115">
        <f>COUNTIF($D$213:$P$230,"*상은*")</f>
        <v>0</v>
      </c>
      <c r="AW153" s="109">
        <f t="shared" si="70"/>
        <v>1</v>
      </c>
      <c r="AX153" s="49"/>
      <c r="AY153" s="49"/>
    </row>
    <row r="154" ht="1.5" customHeight="1">
      <c r="A154" s="49"/>
      <c r="B154" s="1"/>
      <c r="C154" s="1"/>
      <c r="D154" s="1"/>
      <c r="E154" s="1"/>
      <c r="F154" s="1"/>
      <c r="G154" s="1"/>
      <c r="H154" s="49"/>
      <c r="I154" s="49"/>
      <c r="J154" s="1"/>
      <c r="K154" s="49"/>
      <c r="L154" s="49"/>
      <c r="M154" s="1"/>
      <c r="N154" s="49"/>
      <c r="O154" s="49"/>
      <c r="P154" s="1"/>
      <c r="Q154" s="49"/>
      <c r="R154" s="109"/>
      <c r="S154" s="52"/>
      <c r="T154" s="84"/>
      <c r="U154" s="110"/>
      <c r="V154" s="84"/>
      <c r="W154" s="49"/>
      <c r="X154" s="52"/>
      <c r="Y154" s="84"/>
      <c r="Z154" s="111"/>
      <c r="AA154" s="84"/>
      <c r="AB154" s="160"/>
      <c r="AC154" s="97"/>
      <c r="AD154" s="62"/>
      <c r="AE154" s="62"/>
      <c r="AF154" s="49"/>
      <c r="AG154" s="62"/>
      <c r="AH154" s="62"/>
      <c r="AI154" s="62"/>
      <c r="AJ154" s="62"/>
      <c r="AK154" s="62"/>
      <c r="AL154" s="62"/>
      <c r="AM154" s="62"/>
      <c r="AN154" s="62"/>
      <c r="AO154" s="109"/>
      <c r="AP154" s="128"/>
      <c r="AQ154" s="109"/>
      <c r="AR154" s="109"/>
      <c r="AS154" s="109"/>
      <c r="AT154" s="109"/>
      <c r="AU154" s="109"/>
      <c r="AV154" s="109"/>
      <c r="AW154" s="109"/>
      <c r="AX154" s="49"/>
      <c r="AY154" s="49"/>
    </row>
    <row r="155" ht="9.75" customHeight="1">
      <c r="A155" s="49"/>
      <c r="B155" s="1"/>
      <c r="C155" s="1"/>
      <c r="D155" s="1"/>
      <c r="E155" s="1"/>
      <c r="F155" s="1"/>
      <c r="G155" s="1"/>
      <c r="H155" s="49"/>
      <c r="I155" s="49"/>
      <c r="J155" s="1"/>
      <c r="K155" s="49"/>
      <c r="L155" s="49"/>
      <c r="M155" s="1"/>
      <c r="N155" s="49"/>
      <c r="O155" s="49"/>
      <c r="P155" s="1"/>
      <c r="Q155" s="49"/>
      <c r="R155" s="109" t="s">
        <v>104</v>
      </c>
      <c r="S155" s="52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84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110">
        <f t="shared" ref="U155:U158" si="74">S155*2+T155</f>
        <v>0</v>
      </c>
      <c r="V155" s="84">
        <f>COUNTIF($D$156:$P$157,"*준범*")+COUNTIF($D$180:$P$181,"*준범*")</f>
        <v>0</v>
      </c>
      <c r="W155" s="49"/>
      <c r="X155" s="52">
        <f t="shared" ref="X155:AA155" si="73">X94</f>
        <v>0</v>
      </c>
      <c r="Y155" s="84">
        <f t="shared" si="73"/>
        <v>0</v>
      </c>
      <c r="Z155" s="111">
        <f t="shared" si="73"/>
        <v>0</v>
      </c>
      <c r="AA155" s="84">
        <f t="shared" si="73"/>
        <v>0</v>
      </c>
      <c r="AB155" s="16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97"/>
      <c r="AD155" s="62"/>
      <c r="AE155" s="62"/>
      <c r="AF155" s="49"/>
      <c r="AG155" s="62"/>
      <c r="AH155" s="62"/>
      <c r="AI155" s="62"/>
      <c r="AJ155" s="62"/>
      <c r="AK155" s="62"/>
      <c r="AL155" s="62"/>
      <c r="AM155" s="62"/>
      <c r="AN155" s="62"/>
      <c r="AO155" s="109" t="s">
        <v>104</v>
      </c>
      <c r="AP155" s="115">
        <f>COUNTIF($D$69:$P$76,"*준범*")</f>
        <v>0</v>
      </c>
      <c r="AQ155" s="115">
        <f>COUNTIF($D$83:$P$100,"*준범*")</f>
        <v>0</v>
      </c>
      <c r="AR155" s="115">
        <f>COUNTIF($D$107:$P$124,"*준범*")</f>
        <v>0</v>
      </c>
      <c r="AS155" s="115">
        <f>COUNTIF($D$131:$P$132,"*준범*")+COUNTIF($D$146:$P$158,"*준범*")</f>
        <v>0</v>
      </c>
      <c r="AT155" s="115">
        <f>COUNTIF($D$165:$P$182,"*준범*")</f>
        <v>0</v>
      </c>
      <c r="AU155" s="115">
        <f>COUNTIF($D$189:$P$206,"*준범*")</f>
        <v>0</v>
      </c>
      <c r="AV155" s="115">
        <f>COUNTIF($D$213:$P$230,"*준범*")</f>
        <v>0</v>
      </c>
      <c r="AW155" s="109">
        <f t="shared" ref="AW155:AW158" si="76">SUM(AO155:AV155)</f>
        <v>0</v>
      </c>
      <c r="AX155" s="49"/>
      <c r="AY155" s="49"/>
    </row>
    <row r="156" ht="9.75" customHeight="1">
      <c r="A156" s="49"/>
      <c r="B156" s="1"/>
      <c r="C156" s="1"/>
      <c r="D156" s="1"/>
      <c r="E156" s="1"/>
      <c r="F156" s="1"/>
      <c r="G156" s="1"/>
      <c r="H156" s="49"/>
      <c r="I156" s="49"/>
      <c r="J156" s="1"/>
      <c r="K156" s="49"/>
      <c r="L156" s="49"/>
      <c r="M156" s="1"/>
      <c r="N156" s="49"/>
      <c r="O156" s="49"/>
      <c r="P156" s="1"/>
      <c r="Q156" s="49"/>
      <c r="R156" s="109" t="s">
        <v>105</v>
      </c>
      <c r="S156" s="52">
        <f>COUNTIF($D$146:$P$146,"*aaa*")+COUNTIF($D$151:$P$151,"*aaa*")+COUNTIF($D$156:$P$156,"*aaa*")+COUNTIF($D$165:$P$165,"*aaa*")+COUNTIF($D$170:$P$170,"*aaa*")+COUNTIF($D$175:$P$175,"*aaa*")+COUNTIF($D$180:$P$180,"*aaa*")</f>
        <v>0</v>
      </c>
      <c r="T156" s="116">
        <f>COUNTIF($D$147:$P$147,"*aaa*")+COUNTIF($D$152:$P$152,"*aaa*")+COUNTIF($D$157:$P$157,"*aaa*")+COUNTIF($D$166:$P$166,"*aaa*")+COUNTIF($D$171:$P$171,"*aaa*")+COUNTIF($D$176:$P$176,"*aaa*")+COUNTIF($D$181:$P$181,"*aaa*")</f>
        <v>0</v>
      </c>
      <c r="U156" s="110">
        <f t="shared" si="74"/>
        <v>0</v>
      </c>
      <c r="V156" s="84">
        <f>COUNTIF($D$156:$P$157,"*aaa*")+COUNTIF($D$180:$P$181,"*aaa*")</f>
        <v>0</v>
      </c>
      <c r="W156" s="49"/>
      <c r="X156" s="52">
        <f t="shared" ref="X156:AA156" si="75">X95</f>
        <v>0</v>
      </c>
      <c r="Y156" s="84">
        <f t="shared" si="75"/>
        <v>0</v>
      </c>
      <c r="Z156" s="111">
        <f t="shared" si="75"/>
        <v>0</v>
      </c>
      <c r="AA156" s="84">
        <f t="shared" si="75"/>
        <v>0</v>
      </c>
      <c r="AB156" s="160">
        <f>COUNTIF($AC$54:$AO$54,"*aaa*")+COUNTIF($AC$56:$AO$56,"*aaa*")+COUNTIF($AC$57:$AO$57,"*aaa*")+COUNTIF($AC$58:$AO$58,"*aaa*")+COUNTIF($AC$59:$AO$59,"*aaa*")+COUNTIF($AC$60:$AO$60,"*aaa*")+COUNTIF($AC$61:$AO$61,"*aaa*")+COUNTIF($AC$62:$AO$62,"*aaa*")+COUNTIF($AC$64:$AO$64,"*aaa*")+COUNTIF($AC$65:$AO$65,"*aaa*")+COUNTIF($AC$66:$AO$66,"*aaa*")+COUNTIF($AC$68:$AO$68,"*aaa*")+COUNTIF($AC$69:$AO$69,"*aaa*")+COUNTIF($AC$70:$AO$70,"*aaa*")+COUNTIF($AC$71:$AO$71,"*aaa*")+COUNTIF($AC$73:$AO$73,"*aaa*")+COUNTIF($AC$74:$AO$74,"*aaa*")+COUNTIF($AC$75:$AO$75,"*aaa*")</f>
        <v>0</v>
      </c>
      <c r="AC156" s="97"/>
      <c r="AD156" s="62"/>
      <c r="AE156" s="62"/>
      <c r="AF156" s="49"/>
      <c r="AG156" s="62"/>
      <c r="AH156" s="62"/>
      <c r="AI156" s="62"/>
      <c r="AJ156" s="62"/>
      <c r="AK156" s="62"/>
      <c r="AL156" s="96"/>
      <c r="AM156" s="62"/>
      <c r="AN156" s="62"/>
      <c r="AO156" s="109" t="s">
        <v>105</v>
      </c>
      <c r="AP156" s="115">
        <f>COUNTIF($D$69:$P$76,"*aaa*")</f>
        <v>0</v>
      </c>
      <c r="AQ156" s="115">
        <f>COUNTIF($D$83:$P$100,"*aaa*")</f>
        <v>0</v>
      </c>
      <c r="AR156" s="115">
        <f>COUNTIF($D$107:$P$124,"*aaa*")</f>
        <v>0</v>
      </c>
      <c r="AS156" s="115">
        <f>COUNTIF($D$131:$P$132,"*aaa*")+COUNTIF($D$146:$P$158,"*aaa*")</f>
        <v>0</v>
      </c>
      <c r="AT156" s="115">
        <f>COUNTIF($D$165:$P$182,"*aaa*")</f>
        <v>0</v>
      </c>
      <c r="AU156" s="115">
        <f>COUNTIF($D$189:$P$206,"*aaa*")</f>
        <v>0</v>
      </c>
      <c r="AV156" s="115">
        <f>COUNTIF($D$213:$P$230,"*aaa*")</f>
        <v>0</v>
      </c>
      <c r="AW156" s="109">
        <f t="shared" si="76"/>
        <v>0</v>
      </c>
      <c r="AX156" s="49"/>
      <c r="AY156" s="49"/>
    </row>
    <row r="157" ht="9.75" customHeight="1">
      <c r="A157" s="49"/>
      <c r="B157" s="1"/>
      <c r="C157" s="1"/>
      <c r="D157" s="1"/>
      <c r="E157" s="1"/>
      <c r="F157" s="1"/>
      <c r="G157" s="1"/>
      <c r="H157" s="49"/>
      <c r="I157" s="49"/>
      <c r="J157" s="1"/>
      <c r="K157" s="49"/>
      <c r="L157" s="49"/>
      <c r="M157" s="1"/>
      <c r="N157" s="49"/>
      <c r="O157" s="49"/>
      <c r="P157" s="1"/>
      <c r="Q157" s="49"/>
      <c r="R157" s="109" t="s">
        <v>108</v>
      </c>
      <c r="S157" s="52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84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110">
        <f t="shared" si="74"/>
        <v>0</v>
      </c>
      <c r="V157" s="84">
        <f>COUNTIF($D$156:$P$157,"*최근*")+COUNTIF($D$180:$P$181,"*최근*")</f>
        <v>0</v>
      </c>
      <c r="W157" s="49"/>
      <c r="X157" s="52">
        <f t="shared" ref="X157:AA157" si="77">X97</f>
        <v>0</v>
      </c>
      <c r="Y157" s="84">
        <f t="shared" si="77"/>
        <v>0</v>
      </c>
      <c r="Z157" s="111">
        <f t="shared" si="77"/>
        <v>0</v>
      </c>
      <c r="AA157" s="84">
        <f t="shared" si="77"/>
        <v>0</v>
      </c>
      <c r="AB157" s="16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97"/>
      <c r="AD157" s="62"/>
      <c r="AE157" s="62"/>
      <c r="AF157" s="49"/>
      <c r="AG157" s="62"/>
      <c r="AH157" s="62"/>
      <c r="AI157" s="62"/>
      <c r="AJ157" s="62"/>
      <c r="AK157" s="62"/>
      <c r="AL157" s="96"/>
      <c r="AM157" s="62"/>
      <c r="AN157" s="62"/>
      <c r="AO157" s="109" t="s">
        <v>108</v>
      </c>
      <c r="AP157" s="115">
        <f>COUNTIF($D$69:$P$76,"*최근*")</f>
        <v>0</v>
      </c>
      <c r="AQ157" s="115">
        <f>COUNTIF($D$83:$P$100,"*최근*")</f>
        <v>0</v>
      </c>
      <c r="AR157" s="115">
        <f>COUNTIF($D$107:$P$124,"*최근*")</f>
        <v>0</v>
      </c>
      <c r="AS157" s="115">
        <f>COUNTIF($D$131:$P$132,"*최근*")+COUNTIF($D$146:$P$158,"*최근*")</f>
        <v>0</v>
      </c>
      <c r="AT157" s="115">
        <f>COUNTIF($D$165:$P$182,"*최근*")</f>
        <v>0</v>
      </c>
      <c r="AU157" s="115">
        <f>COUNTIF($D$189:$P$206,"*최근*")</f>
        <v>0</v>
      </c>
      <c r="AV157" s="115">
        <f>COUNTIF($D$213:$P$230,"*최근*")</f>
        <v>0</v>
      </c>
      <c r="AW157" s="109">
        <f t="shared" si="76"/>
        <v>0</v>
      </c>
      <c r="AX157" s="49"/>
      <c r="AY157" s="49"/>
    </row>
    <row r="158" ht="9.75" customHeight="1">
      <c r="A158" s="49"/>
      <c r="B158" s="1"/>
      <c r="C158" s="1"/>
      <c r="D158" s="1"/>
      <c r="E158" s="1"/>
      <c r="F158" s="1"/>
      <c r="G158" s="1"/>
      <c r="H158" s="49"/>
      <c r="I158" s="49"/>
      <c r="J158" s="1"/>
      <c r="K158" s="49"/>
      <c r="L158" s="49"/>
      <c r="M158" s="1"/>
      <c r="N158" s="49"/>
      <c r="O158" s="49"/>
      <c r="P158" s="1"/>
      <c r="Q158" s="49"/>
      <c r="R158" s="109" t="s">
        <v>95</v>
      </c>
      <c r="S158" s="52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84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110">
        <f t="shared" si="74"/>
        <v>0</v>
      </c>
      <c r="V158" s="84">
        <f>COUNTIF($D$156:$P$157,"*상록*")+COUNTIF($D$180:$P$181,"*상록*")</f>
        <v>0</v>
      </c>
      <c r="W158" s="49"/>
      <c r="X158" s="52">
        <f t="shared" ref="X158:AA158" si="78">X98</f>
        <v>1</v>
      </c>
      <c r="Y158" s="84">
        <f t="shared" si="78"/>
        <v>0</v>
      </c>
      <c r="Z158" s="111">
        <f t="shared" si="78"/>
        <v>2</v>
      </c>
      <c r="AA158" s="84">
        <f t="shared" si="78"/>
        <v>0</v>
      </c>
      <c r="AB158" s="16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97"/>
      <c r="AD158" s="62"/>
      <c r="AE158" s="62"/>
      <c r="AF158" s="49"/>
      <c r="AG158" s="62"/>
      <c r="AH158" s="62"/>
      <c r="AI158" s="62"/>
      <c r="AJ158" s="62"/>
      <c r="AK158" s="62"/>
      <c r="AL158" s="62"/>
      <c r="AM158" s="62"/>
      <c r="AN158" s="62"/>
      <c r="AO158" s="109" t="s">
        <v>95</v>
      </c>
      <c r="AP158" s="115">
        <f>COUNTIF($D$69:$P$76,"*상록*")</f>
        <v>0</v>
      </c>
      <c r="AQ158" s="115">
        <f>COUNTIF($D$83:$P$100,"*상록*")</f>
        <v>1</v>
      </c>
      <c r="AR158" s="115">
        <f>COUNTIF($D$107:$P$124,"*상록*")</f>
        <v>0</v>
      </c>
      <c r="AS158" s="115">
        <f>COUNTIF($D$131:$P$132,"*상록*")+COUNTIF($D$146:$P$158,"*상록*")</f>
        <v>0</v>
      </c>
      <c r="AT158" s="115">
        <f>COUNTIF($D$165:$P$182,"*상록*")</f>
        <v>0</v>
      </c>
      <c r="AU158" s="115">
        <f>COUNTIF($D$189:$P$206,"*상록*")</f>
        <v>0</v>
      </c>
      <c r="AV158" s="115">
        <f>COUNTIF($D$213:$P$230,"*상록*")</f>
        <v>0</v>
      </c>
      <c r="AW158" s="109">
        <f t="shared" si="76"/>
        <v>1</v>
      </c>
      <c r="AX158" s="49"/>
      <c r="AY158" s="49"/>
    </row>
    <row r="159" ht="1.5" customHeight="1">
      <c r="A159" s="49"/>
      <c r="B159" s="1"/>
      <c r="C159" s="1"/>
      <c r="D159" s="1"/>
      <c r="E159" s="1"/>
      <c r="F159" s="1"/>
      <c r="G159" s="1"/>
      <c r="H159" s="49"/>
      <c r="I159" s="49"/>
      <c r="J159" s="1"/>
      <c r="K159" s="49"/>
      <c r="L159" s="49"/>
      <c r="M159" s="49"/>
      <c r="N159" s="49"/>
      <c r="O159" s="49"/>
      <c r="P159" s="49"/>
      <c r="Q159" s="49"/>
      <c r="R159" s="109"/>
      <c r="S159" s="52"/>
      <c r="T159" s="84"/>
      <c r="U159" s="52"/>
      <c r="V159" s="84"/>
      <c r="W159" s="49"/>
      <c r="X159" s="52"/>
      <c r="Y159" s="84"/>
      <c r="Z159" s="52"/>
      <c r="AA159" s="84"/>
      <c r="AB159" s="160"/>
      <c r="AC159" s="97"/>
      <c r="AD159" s="62"/>
      <c r="AE159" s="62"/>
      <c r="AF159" s="49"/>
      <c r="AG159" s="62"/>
      <c r="AH159" s="62"/>
      <c r="AI159" s="62"/>
      <c r="AJ159" s="62"/>
      <c r="AK159" s="62"/>
      <c r="AL159" s="62"/>
      <c r="AM159" s="62"/>
      <c r="AN159" s="62"/>
      <c r="AO159" s="109"/>
      <c r="AP159" s="128"/>
      <c r="AQ159" s="109"/>
      <c r="AR159" s="109"/>
      <c r="AS159" s="109"/>
      <c r="AT159" s="109"/>
      <c r="AU159" s="109"/>
      <c r="AV159" s="109"/>
      <c r="AW159" s="109"/>
      <c r="AX159" s="49"/>
      <c r="AY159" s="49"/>
    </row>
    <row r="160" ht="9.75" customHeight="1">
      <c r="A160" s="4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9"/>
      <c r="R160" s="109" t="s">
        <v>74</v>
      </c>
      <c r="S160" s="52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84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110">
        <f t="shared" ref="U160:U162" si="80">S160*2+T160</f>
        <v>0</v>
      </c>
      <c r="V160" s="84">
        <f>COUNTIF($D$156:$P$157,"*신우*")+COUNTIF($D$180:$P$181,"*신우*")</f>
        <v>0</v>
      </c>
      <c r="W160" s="49"/>
      <c r="X160" s="52">
        <f t="shared" ref="X160:AA160" si="79">X99</f>
        <v>1</v>
      </c>
      <c r="Y160" s="84">
        <f t="shared" si="79"/>
        <v>1</v>
      </c>
      <c r="Z160" s="111">
        <f t="shared" si="79"/>
        <v>3</v>
      </c>
      <c r="AA160" s="84">
        <f t="shared" si="79"/>
        <v>1</v>
      </c>
      <c r="AB160" s="16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97"/>
      <c r="AD160" s="62"/>
      <c r="AE160" s="62"/>
      <c r="AF160" s="49"/>
      <c r="AG160" s="62"/>
      <c r="AH160" s="62"/>
      <c r="AI160" s="62"/>
      <c r="AJ160" s="62"/>
      <c r="AK160" s="62"/>
      <c r="AL160" s="62"/>
      <c r="AM160" s="62"/>
      <c r="AN160" s="62"/>
      <c r="AO160" s="109" t="s">
        <v>74</v>
      </c>
      <c r="AP160" s="115">
        <f>COUNTIF($D$69:$P$76,"*신우*")</f>
        <v>0</v>
      </c>
      <c r="AQ160" s="115">
        <f>COUNTIF($D$83:$P$100,"*신우*")</f>
        <v>2</v>
      </c>
      <c r="AR160" s="115">
        <f>COUNTIF($D$107:$P$124,"*신우*")</f>
        <v>0</v>
      </c>
      <c r="AS160" s="115">
        <f>COUNTIF($D$131:$P$132,"*신우*")+COUNTIF($D$146:$P$158,"*신우*")</f>
        <v>0</v>
      </c>
      <c r="AT160" s="115">
        <f>COUNTIF($D$165:$P$182,"*신우*")</f>
        <v>0</v>
      </c>
      <c r="AU160" s="115">
        <f>COUNTIF($D$189:$P$206,"*신우*")</f>
        <v>0</v>
      </c>
      <c r="AV160" s="115">
        <f>COUNTIF($D$213:$P$230,"*신우*")</f>
        <v>0</v>
      </c>
      <c r="AW160" s="109">
        <f t="shared" ref="AW160:AW162" si="82">SUM(AO160:AV160)</f>
        <v>2</v>
      </c>
      <c r="AX160" s="49"/>
      <c r="AY160" s="49"/>
    </row>
    <row r="161" ht="9.75" customHeight="1">
      <c r="A161" s="49"/>
      <c r="B161" s="1"/>
      <c r="C161" s="1"/>
      <c r="D161" s="1"/>
      <c r="E161" s="1"/>
      <c r="F161" s="1"/>
      <c r="G161" s="1"/>
      <c r="H161" s="49"/>
      <c r="I161" s="49"/>
      <c r="J161" s="1"/>
      <c r="K161" s="49"/>
      <c r="L161" s="49"/>
      <c r="M161" s="49"/>
      <c r="N161" s="49"/>
      <c r="O161" s="49"/>
      <c r="P161" s="49"/>
      <c r="Q161" s="49"/>
      <c r="R161" s="109" t="s">
        <v>54</v>
      </c>
      <c r="S161" s="52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84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110">
        <f t="shared" si="80"/>
        <v>0</v>
      </c>
      <c r="V161" s="84">
        <f>COUNTIF($D$156:$P$157,"*다운*")+COUNTIF($D$180:$P$181,"*다운*")</f>
        <v>0</v>
      </c>
      <c r="W161" s="49"/>
      <c r="X161" s="52">
        <f t="shared" ref="X161:AA161" si="81">X100</f>
        <v>1</v>
      </c>
      <c r="Y161" s="84">
        <f t="shared" si="81"/>
        <v>0</v>
      </c>
      <c r="Z161" s="111">
        <f t="shared" si="81"/>
        <v>2</v>
      </c>
      <c r="AA161" s="84">
        <f t="shared" si="81"/>
        <v>0</v>
      </c>
      <c r="AB161" s="16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97"/>
      <c r="AD161" s="62"/>
      <c r="AE161" s="62"/>
      <c r="AF161" s="49"/>
      <c r="AG161" s="62"/>
      <c r="AH161" s="62"/>
      <c r="AI161" s="62"/>
      <c r="AJ161" s="62"/>
      <c r="AK161" s="62"/>
      <c r="AL161" s="62"/>
      <c r="AM161" s="62"/>
      <c r="AN161" s="62"/>
      <c r="AO161" s="109" t="s">
        <v>54</v>
      </c>
      <c r="AP161" s="115">
        <f>COUNTIF($D$69:$P$76,"*다운*")</f>
        <v>1</v>
      </c>
      <c r="AQ161" s="115">
        <f>COUNTIF($D$83:$P$100,"*다운*")</f>
        <v>0</v>
      </c>
      <c r="AR161" s="115">
        <f>COUNTIF($D$107:$P$124,"*다운*")</f>
        <v>0</v>
      </c>
      <c r="AS161" s="115">
        <f>COUNTIF($D$131:$P$132,"*다운*")+COUNTIF($D$146:$P$158,"*다운*")</f>
        <v>0</v>
      </c>
      <c r="AT161" s="115">
        <f>COUNTIF($D$165:$P$182,"*다운*")</f>
        <v>0</v>
      </c>
      <c r="AU161" s="115">
        <f>COUNTIF($D$189:$P$206,"*다운*")</f>
        <v>0</v>
      </c>
      <c r="AV161" s="115">
        <f>COUNTIF($D$213:$P$230,"*다운*")</f>
        <v>0</v>
      </c>
      <c r="AW161" s="109">
        <f t="shared" si="82"/>
        <v>1</v>
      </c>
      <c r="AX161" s="49"/>
      <c r="AY161" s="49"/>
    </row>
    <row r="162" ht="9.75" customHeight="1">
      <c r="A162" s="49"/>
      <c r="B162" s="1"/>
      <c r="C162" s="1"/>
      <c r="D162" s="1"/>
      <c r="E162" s="69"/>
      <c r="F162" s="69"/>
      <c r="G162" s="69"/>
      <c r="H162" s="1"/>
      <c r="I162" s="1"/>
      <c r="J162" s="1"/>
      <c r="K162" s="1"/>
      <c r="L162" s="1"/>
      <c r="M162" s="1"/>
      <c r="N162" s="1"/>
      <c r="O162" s="1"/>
      <c r="P162" s="1"/>
      <c r="Q162" s="49"/>
      <c r="R162" s="109" t="s">
        <v>100</v>
      </c>
      <c r="S162" s="52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84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110">
        <f t="shared" si="80"/>
        <v>0</v>
      </c>
      <c r="V162" s="84">
        <f>COUNTIF($D$156:$P$157,"*지성*")+COUNTIF($D$180:$P$181,"*지성*")</f>
        <v>0</v>
      </c>
      <c r="W162" s="49"/>
      <c r="X162" s="52">
        <f t="shared" ref="X162:AA162" si="83">X102</f>
        <v>1</v>
      </c>
      <c r="Y162" s="84">
        <f t="shared" si="83"/>
        <v>0</v>
      </c>
      <c r="Z162" s="111">
        <f t="shared" si="83"/>
        <v>2</v>
      </c>
      <c r="AA162" s="84">
        <f t="shared" si="83"/>
        <v>0</v>
      </c>
      <c r="AB162" s="16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97"/>
      <c r="AD162" s="62"/>
      <c r="AE162" s="62"/>
      <c r="AF162" s="49"/>
      <c r="AG162" s="62"/>
      <c r="AH162" s="62"/>
      <c r="AI162" s="62"/>
      <c r="AJ162" s="62"/>
      <c r="AK162" s="62"/>
      <c r="AL162" s="62"/>
      <c r="AM162" s="62"/>
      <c r="AN162" s="62"/>
      <c r="AO162" s="109" t="s">
        <v>100</v>
      </c>
      <c r="AP162" s="115">
        <f>COUNTIF($D$69:$P$76,"*지성*")</f>
        <v>0</v>
      </c>
      <c r="AQ162" s="115">
        <f>COUNTIF($D$83:$P$100,"*지성*")</f>
        <v>1</v>
      </c>
      <c r="AR162" s="115">
        <f>COUNTIF($D$107:$P$124,"*지성*")</f>
        <v>0</v>
      </c>
      <c r="AS162" s="115">
        <f>COUNTIF($D$131:$P$132,"*지성*")+COUNTIF($D$146:$P$158,"*지성*")</f>
        <v>0</v>
      </c>
      <c r="AT162" s="115">
        <f>COUNTIF($D$165:$P$182,"*지성*")</f>
        <v>0</v>
      </c>
      <c r="AU162" s="115">
        <f>COUNTIF($D$189:$P$206,"*지성*")</f>
        <v>0</v>
      </c>
      <c r="AV162" s="115">
        <f>COUNTIF($D$213:$P$230,"*지성*")</f>
        <v>0</v>
      </c>
      <c r="AW162" s="109">
        <f t="shared" si="82"/>
        <v>1</v>
      </c>
      <c r="AX162" s="49"/>
      <c r="AY162" s="49"/>
    </row>
    <row r="163" ht="1.5" customHeight="1">
      <c r="A163" s="49"/>
      <c r="B163" s="1"/>
      <c r="C163" s="1"/>
      <c r="D163" s="1"/>
      <c r="E163" s="1"/>
      <c r="F163" s="1"/>
      <c r="G163" s="1"/>
      <c r="H163" s="49"/>
      <c r="I163" s="49"/>
      <c r="J163" s="1"/>
      <c r="K163" s="49"/>
      <c r="L163" s="49"/>
      <c r="M163" s="49"/>
      <c r="N163" s="49"/>
      <c r="O163" s="49"/>
      <c r="P163" s="49"/>
      <c r="Q163" s="49"/>
      <c r="R163" s="109"/>
      <c r="S163" s="52"/>
      <c r="T163" s="84"/>
      <c r="U163" s="110"/>
      <c r="V163" s="84"/>
      <c r="W163" s="49"/>
      <c r="X163" s="52"/>
      <c r="Y163" s="84"/>
      <c r="Z163" s="111"/>
      <c r="AA163" s="84"/>
      <c r="AB163" s="160"/>
      <c r="AC163" s="97"/>
      <c r="AD163" s="62"/>
      <c r="AE163" s="62"/>
      <c r="AF163" s="49"/>
      <c r="AG163" s="62"/>
      <c r="AH163" s="62"/>
      <c r="AI163" s="62"/>
      <c r="AJ163" s="62"/>
      <c r="AK163" s="62"/>
      <c r="AL163" s="62"/>
      <c r="AM163" s="62"/>
      <c r="AN163" s="62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49"/>
      <c r="AY163" s="49"/>
    </row>
    <row r="164" ht="9.75" customHeight="1">
      <c r="A164" s="49"/>
      <c r="B164" s="1"/>
      <c r="C164" s="1"/>
      <c r="D164" s="1"/>
      <c r="E164" s="1"/>
      <c r="F164" s="1"/>
      <c r="G164" s="1"/>
      <c r="H164" s="49"/>
      <c r="I164" s="49"/>
      <c r="J164" s="1"/>
      <c r="K164" s="49"/>
      <c r="L164" s="49"/>
      <c r="M164" s="1"/>
      <c r="N164" s="49"/>
      <c r="O164" s="49"/>
      <c r="P164" s="1"/>
      <c r="Q164" s="49"/>
      <c r="R164" s="109" t="s">
        <v>103</v>
      </c>
      <c r="S164" s="52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84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110">
        <f t="shared" ref="U164:U167" si="85">S164*2+T164</f>
        <v>0</v>
      </c>
      <c r="V164" s="84">
        <f>COUNTIF($D$156:$P$157,"*용철*")+COUNTIF($D$180:$P$181,"*용철*")</f>
        <v>0</v>
      </c>
      <c r="W164" s="49"/>
      <c r="X164" s="52">
        <f t="shared" ref="X164:AA164" si="84">X103</f>
        <v>1</v>
      </c>
      <c r="Y164" s="84">
        <f t="shared" si="84"/>
        <v>1</v>
      </c>
      <c r="Z164" s="111">
        <f t="shared" si="84"/>
        <v>3</v>
      </c>
      <c r="AA164" s="84">
        <f t="shared" si="84"/>
        <v>0</v>
      </c>
      <c r="AB164" s="16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97"/>
      <c r="AD164" s="62"/>
      <c r="AE164" s="62"/>
      <c r="AF164" s="49"/>
      <c r="AG164" s="62"/>
      <c r="AH164" s="62"/>
      <c r="AI164" s="62"/>
      <c r="AJ164" s="62"/>
      <c r="AK164" s="62"/>
      <c r="AL164" s="62"/>
      <c r="AM164" s="62"/>
      <c r="AN164" s="62"/>
      <c r="AO164" s="109" t="s">
        <v>103</v>
      </c>
      <c r="AP164" s="115">
        <f>COUNTIF($D$69:$P$76,"*용철*")</f>
        <v>0</v>
      </c>
      <c r="AQ164" s="115">
        <f>COUNTIF($D$83:$P$100,"*용철*")</f>
        <v>1</v>
      </c>
      <c r="AR164" s="115">
        <f>COUNTIF($D$107:$P$124,"*용철*")</f>
        <v>1</v>
      </c>
      <c r="AS164" s="115">
        <f>COUNTIF($D$131:$P$132,"*용철*")+COUNTIF($D$146:$P$158,"*용철*")</f>
        <v>0</v>
      </c>
      <c r="AT164" s="115">
        <f>COUNTIF($D$165:$P$182,"*용철*")</f>
        <v>0</v>
      </c>
      <c r="AU164" s="115">
        <f>COUNTIF($D$189:$P$206,"*용철*")</f>
        <v>0</v>
      </c>
      <c r="AV164" s="115">
        <f>COUNTIF($D$213:$P$230,"*용철*")</f>
        <v>0</v>
      </c>
      <c r="AW164" s="109">
        <f t="shared" ref="AW164:AW167" si="87">SUM(AO164:AV164)</f>
        <v>2</v>
      </c>
      <c r="AX164" s="49"/>
      <c r="AY164" s="49"/>
    </row>
    <row r="165" ht="9.75" customHeight="1">
      <c r="A165" s="49"/>
      <c r="B165" s="1"/>
      <c r="C165" s="1"/>
      <c r="D165" s="1"/>
      <c r="E165" s="1"/>
      <c r="F165" s="1"/>
      <c r="G165" s="1"/>
      <c r="H165" s="49"/>
      <c r="I165" s="49"/>
      <c r="J165" s="1"/>
      <c r="K165" s="49"/>
      <c r="L165" s="49"/>
      <c r="M165" s="1"/>
      <c r="N165" s="49"/>
      <c r="O165" s="49"/>
      <c r="P165" s="1"/>
      <c r="Q165" s="49"/>
      <c r="R165" s="109" t="s">
        <v>76</v>
      </c>
      <c r="S165" s="52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84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110">
        <f t="shared" si="85"/>
        <v>0</v>
      </c>
      <c r="V165" s="84">
        <f>COUNTIF($D$156:$P$157,"*윤호*")+COUNTIF($D$180:$P$181,"*윤호*")</f>
        <v>0</v>
      </c>
      <c r="W165" s="49"/>
      <c r="X165" s="52">
        <f t="shared" ref="X165:AA165" si="86">X104</f>
        <v>0</v>
      </c>
      <c r="Y165" s="84">
        <f t="shared" si="86"/>
        <v>1</v>
      </c>
      <c r="Z165" s="111">
        <f t="shared" si="86"/>
        <v>1</v>
      </c>
      <c r="AA165" s="84">
        <f t="shared" si="86"/>
        <v>0</v>
      </c>
      <c r="AB165" s="16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97"/>
      <c r="AD165" s="62"/>
      <c r="AE165" s="62"/>
      <c r="AF165" s="49"/>
      <c r="AG165" s="62"/>
      <c r="AH165" s="62"/>
      <c r="AI165" s="62"/>
      <c r="AJ165" s="62"/>
      <c r="AK165" s="62"/>
      <c r="AL165" s="62"/>
      <c r="AM165" s="62"/>
      <c r="AN165" s="62"/>
      <c r="AO165" s="109" t="s">
        <v>76</v>
      </c>
      <c r="AP165" s="115">
        <f>COUNTIF($D$69:$P$76,"*윤호*")</f>
        <v>0</v>
      </c>
      <c r="AQ165" s="115">
        <f>COUNTIF($D$83:$P$100,"*윤호*")</f>
        <v>1</v>
      </c>
      <c r="AR165" s="115">
        <f>COUNTIF($D$107:$P$124,"*윤호*")</f>
        <v>0</v>
      </c>
      <c r="AS165" s="115">
        <f>COUNTIF($D$131:$P$132,"*윤호*")+COUNTIF($D$146:$P$158,"*윤호*")</f>
        <v>0</v>
      </c>
      <c r="AT165" s="115">
        <f>COUNTIF($D$165:$P$182,"*윤호*")</f>
        <v>0</v>
      </c>
      <c r="AU165" s="115">
        <f>COUNTIF($D$189:$P$206,"*윤호*")</f>
        <v>0</v>
      </c>
      <c r="AV165" s="115">
        <f>COUNTIF($D$213:$P$230,"*윤호*")</f>
        <v>0</v>
      </c>
      <c r="AW165" s="109">
        <f t="shared" si="87"/>
        <v>1</v>
      </c>
      <c r="AX165" s="49"/>
      <c r="AY165" s="49"/>
    </row>
    <row r="166" ht="9.75" customHeight="1">
      <c r="A166" s="49"/>
      <c r="B166" s="1"/>
      <c r="C166" s="1"/>
      <c r="D166" s="1"/>
      <c r="E166" s="1"/>
      <c r="F166" s="1"/>
      <c r="G166" s="1"/>
      <c r="H166" s="49"/>
      <c r="I166" s="49"/>
      <c r="J166" s="1"/>
      <c r="K166" s="49"/>
      <c r="L166" s="49"/>
      <c r="M166" s="1"/>
      <c r="N166" s="49"/>
      <c r="O166" s="49"/>
      <c r="P166" s="1"/>
      <c r="Q166" s="49"/>
      <c r="R166" s="109" t="s">
        <v>117</v>
      </c>
      <c r="S166" s="52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17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110">
        <f t="shared" si="85"/>
        <v>0</v>
      </c>
      <c r="V166" s="84">
        <f>COUNTIF($D$156:$P$157,"*정은*")+COUNTIF($D$180:$P$181,"*정은*")</f>
        <v>0</v>
      </c>
      <c r="W166" s="49"/>
      <c r="X166" s="52">
        <f t="shared" ref="X166:AA166" si="88">X106</f>
        <v>1</v>
      </c>
      <c r="Y166" s="84">
        <f t="shared" si="88"/>
        <v>0</v>
      </c>
      <c r="Z166" s="111">
        <f t="shared" si="88"/>
        <v>2</v>
      </c>
      <c r="AA166" s="84">
        <f t="shared" si="88"/>
        <v>0</v>
      </c>
      <c r="AB166" s="16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97"/>
      <c r="AD166" s="62"/>
      <c r="AE166" s="62"/>
      <c r="AF166" s="49"/>
      <c r="AG166" s="62"/>
      <c r="AH166" s="62"/>
      <c r="AI166" s="62"/>
      <c r="AJ166" s="62"/>
      <c r="AK166" s="62"/>
      <c r="AL166" s="62"/>
      <c r="AM166" s="62"/>
      <c r="AN166" s="62"/>
      <c r="AO166" s="109" t="s">
        <v>117</v>
      </c>
      <c r="AP166" s="115">
        <f>COUNTIF($D$69:$P$76,"*정은*")</f>
        <v>0</v>
      </c>
      <c r="AQ166" s="115">
        <f>COUNTIF($D$83:$P$100,"*정은*")</f>
        <v>0</v>
      </c>
      <c r="AR166" s="115">
        <f>COUNTIF($D$107:$P$124,"*정은*")</f>
        <v>1</v>
      </c>
      <c r="AS166" s="115">
        <f>COUNTIF($D$131:$P$132,"*정은*")+COUNTIF($D$146:$P$158,"*정은*")</f>
        <v>0</v>
      </c>
      <c r="AT166" s="115">
        <f>COUNTIF($D$165:$P$182,"*정은*")</f>
        <v>0</v>
      </c>
      <c r="AU166" s="115">
        <f>COUNTIF($D$189:$P$206,"*정은*")</f>
        <v>0</v>
      </c>
      <c r="AV166" s="115">
        <f>COUNTIF($D$213:$P$230,"*정은*")</f>
        <v>0</v>
      </c>
      <c r="AW166" s="109">
        <f t="shared" si="87"/>
        <v>1</v>
      </c>
      <c r="AX166" s="49"/>
      <c r="AY166" s="49"/>
    </row>
    <row r="167" ht="9.75" customHeight="1">
      <c r="A167" s="49"/>
      <c r="B167" s="1"/>
      <c r="C167" s="1"/>
      <c r="D167" s="1"/>
      <c r="E167" s="1"/>
      <c r="F167" s="1"/>
      <c r="G167" s="1"/>
      <c r="H167" s="49"/>
      <c r="I167" s="49"/>
      <c r="J167" s="1"/>
      <c r="K167" s="49"/>
      <c r="L167" s="49"/>
      <c r="M167" s="1"/>
      <c r="N167" s="49"/>
      <c r="O167" s="49"/>
      <c r="P167" s="1"/>
      <c r="Q167" s="49"/>
      <c r="R167" s="109" t="s">
        <v>120</v>
      </c>
      <c r="S167" s="52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84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110">
        <f t="shared" si="85"/>
        <v>0</v>
      </c>
      <c r="V167" s="84">
        <f>COUNTIF($D$156:$P$157,"*지현*")+COUNTIF($D$180:$P$181,"*지현*")</f>
        <v>0</v>
      </c>
      <c r="W167" s="49"/>
      <c r="X167" s="52">
        <f t="shared" ref="X167:AA167" si="89">X107</f>
        <v>1</v>
      </c>
      <c r="Y167" s="84">
        <f t="shared" si="89"/>
        <v>0</v>
      </c>
      <c r="Z167" s="111">
        <f t="shared" si="89"/>
        <v>2</v>
      </c>
      <c r="AA167" s="84">
        <f t="shared" si="89"/>
        <v>0</v>
      </c>
      <c r="AB167" s="16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97"/>
      <c r="AD167" s="62"/>
      <c r="AE167" s="62"/>
      <c r="AF167" s="49"/>
      <c r="AG167" s="62"/>
      <c r="AH167" s="62"/>
      <c r="AI167" s="62"/>
      <c r="AJ167" s="62"/>
      <c r="AK167" s="62"/>
      <c r="AL167" s="62"/>
      <c r="AM167" s="62"/>
      <c r="AN167" s="62"/>
      <c r="AO167" s="109" t="s">
        <v>120</v>
      </c>
      <c r="AP167" s="115">
        <f>COUNTIF($D$69:$P$76,"*지현*")</f>
        <v>0</v>
      </c>
      <c r="AQ167" s="115">
        <f>COUNTIF($D$83:$P$100,"*지현*")</f>
        <v>0</v>
      </c>
      <c r="AR167" s="115">
        <f>COUNTIF($D$107:$P$124,"*지현*")</f>
        <v>1</v>
      </c>
      <c r="AS167" s="115">
        <f>COUNTIF($D$131:$P$132,"*지현*")+COUNTIF($D$146:$P$158,"*지현*")</f>
        <v>0</v>
      </c>
      <c r="AT167" s="115">
        <f>COUNTIF($D$165:$P$182,"*지현*")</f>
        <v>0</v>
      </c>
      <c r="AU167" s="115">
        <f>COUNTIF($D$189:$P$206,"*지현*")</f>
        <v>0</v>
      </c>
      <c r="AV167" s="115">
        <f>COUNTIF($D$213:$P$230,"*지현*")</f>
        <v>0</v>
      </c>
      <c r="AW167" s="109">
        <f t="shared" si="87"/>
        <v>1</v>
      </c>
      <c r="AX167" s="49"/>
      <c r="AY167" s="49"/>
    </row>
    <row r="168" ht="1.5" customHeight="1">
      <c r="A168" s="49"/>
      <c r="B168" s="1"/>
      <c r="C168" s="1"/>
      <c r="D168" s="1"/>
      <c r="E168" s="49"/>
      <c r="F168" s="49"/>
      <c r="G168" s="49"/>
      <c r="H168" s="49"/>
      <c r="I168" s="49"/>
      <c r="J168" s="1"/>
      <c r="K168" s="49"/>
      <c r="L168" s="49"/>
      <c r="M168" s="49"/>
      <c r="N168" s="49"/>
      <c r="O168" s="49"/>
      <c r="P168" s="1"/>
      <c r="Q168" s="49"/>
      <c r="R168" s="72"/>
      <c r="S168" s="123"/>
      <c r="T168" s="79"/>
      <c r="U168" s="110"/>
      <c r="V168" s="79"/>
      <c r="W168" s="1"/>
      <c r="X168" s="52"/>
      <c r="Y168" s="84"/>
      <c r="Z168" s="111"/>
      <c r="AA168" s="84"/>
      <c r="AB168" s="160"/>
      <c r="AC168" s="97"/>
      <c r="AD168" s="62"/>
      <c r="AE168" s="62"/>
      <c r="AF168" s="1"/>
      <c r="AG168" s="62"/>
      <c r="AH168" s="62"/>
      <c r="AI168" s="62"/>
      <c r="AJ168" s="62"/>
      <c r="AK168" s="62"/>
      <c r="AL168" s="62"/>
      <c r="AM168" s="62"/>
      <c r="AN168" s="62"/>
      <c r="AO168" s="72"/>
      <c r="AP168" s="128"/>
      <c r="AQ168" s="109"/>
      <c r="AR168" s="109"/>
      <c r="AS168" s="109"/>
      <c r="AT168" s="109"/>
      <c r="AU168" s="109"/>
      <c r="AV168" s="109"/>
      <c r="AW168" s="72"/>
      <c r="AX168" s="49"/>
      <c r="AY168" s="49"/>
    </row>
    <row r="169" ht="9.75" customHeight="1">
      <c r="A169" s="49"/>
      <c r="B169" s="1"/>
      <c r="C169" s="1"/>
      <c r="D169" s="1"/>
      <c r="E169" s="1"/>
      <c r="F169" s="1"/>
      <c r="G169" s="1"/>
      <c r="H169" s="49"/>
      <c r="I169" s="49"/>
      <c r="J169" s="1"/>
      <c r="K169" s="49"/>
      <c r="L169" s="49"/>
      <c r="M169" s="1"/>
      <c r="N169" s="49"/>
      <c r="O169" s="49"/>
      <c r="P169" s="1"/>
      <c r="Q169" s="49"/>
      <c r="R169" s="109" t="s">
        <v>122</v>
      </c>
      <c r="S169" s="52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84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110">
        <f t="shared" ref="U169:U172" si="91">S169*2+T169</f>
        <v>0</v>
      </c>
      <c r="V169" s="84">
        <f>COUNTIF($D$156:$P$157,"*태우*")+COUNTIF($D$180:$P$181,"*태우*")</f>
        <v>0</v>
      </c>
      <c r="W169" s="49"/>
      <c r="X169" s="52">
        <f t="shared" ref="X169:AA169" si="90">X108</f>
        <v>0</v>
      </c>
      <c r="Y169" s="84">
        <f t="shared" si="90"/>
        <v>0</v>
      </c>
      <c r="Z169" s="111">
        <f t="shared" si="90"/>
        <v>0</v>
      </c>
      <c r="AA169" s="84">
        <f t="shared" si="90"/>
        <v>0</v>
      </c>
      <c r="AB169" s="16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97"/>
      <c r="AD169" s="62"/>
      <c r="AE169" s="62"/>
      <c r="AF169" s="49"/>
      <c r="AG169" s="62"/>
      <c r="AH169" s="62"/>
      <c r="AI169" s="62"/>
      <c r="AJ169" s="62"/>
      <c r="AK169" s="62"/>
      <c r="AL169" s="62"/>
      <c r="AM169" s="62"/>
      <c r="AN169" s="62"/>
      <c r="AO169" s="109" t="s">
        <v>122</v>
      </c>
      <c r="AP169" s="115">
        <f>COUNTIF($D$69:$P$76,"*태우*")</f>
        <v>0</v>
      </c>
      <c r="AQ169" s="115">
        <f>COUNTIF($D$83:$P$100,"*태우*")</f>
        <v>0</v>
      </c>
      <c r="AR169" s="115">
        <f>COUNTIF($D$107:$P$124,"*태우*")</f>
        <v>0</v>
      </c>
      <c r="AS169" s="115">
        <f>COUNTIF($D$131:$P$132,"*태우*")+COUNTIF($D$146:$P$158,"*태우*")</f>
        <v>0</v>
      </c>
      <c r="AT169" s="115">
        <f>COUNTIF($D$165:$P$182,"*태우*")</f>
        <v>0</v>
      </c>
      <c r="AU169" s="115">
        <f>COUNTIF($D$189:$P$206,"*태우*")</f>
        <v>0</v>
      </c>
      <c r="AV169" s="115">
        <f>COUNTIF($D$213:$P$230,"*태우*")</f>
        <v>0</v>
      </c>
      <c r="AW169" s="109">
        <f t="shared" ref="AW169:AW172" si="93">SUM(AO169:AV169)</f>
        <v>0</v>
      </c>
      <c r="AX169" s="49"/>
      <c r="AY169" s="49"/>
    </row>
    <row r="170" ht="9.75" customHeight="1">
      <c r="A170" s="49"/>
      <c r="B170" s="1"/>
      <c r="C170" s="1"/>
      <c r="D170" s="1"/>
      <c r="E170" s="1"/>
      <c r="F170" s="1"/>
      <c r="G170" s="1"/>
      <c r="H170" s="49"/>
      <c r="I170" s="49"/>
      <c r="J170" s="1"/>
      <c r="K170" s="49"/>
      <c r="L170" s="49"/>
      <c r="M170" s="1"/>
      <c r="N170" s="49"/>
      <c r="O170" s="49"/>
      <c r="P170" s="1"/>
      <c r="Q170" s="49"/>
      <c r="R170" s="109" t="s">
        <v>124</v>
      </c>
      <c r="S170" s="52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84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110">
        <f t="shared" si="91"/>
        <v>0</v>
      </c>
      <c r="V170" s="84">
        <f>COUNTIF($D$156:$P$157,"*훈*")+COUNTIF($D$180:$P$181,"*훈*")</f>
        <v>0</v>
      </c>
      <c r="W170" s="49"/>
      <c r="X170" s="52">
        <f t="shared" ref="X170:AA170" si="92">X109</f>
        <v>0</v>
      </c>
      <c r="Y170" s="84">
        <f t="shared" si="92"/>
        <v>0</v>
      </c>
      <c r="Z170" s="111">
        <f t="shared" si="92"/>
        <v>0</v>
      </c>
      <c r="AA170" s="84">
        <f t="shared" si="92"/>
        <v>0</v>
      </c>
      <c r="AB170" s="16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97"/>
      <c r="AD170" s="62"/>
      <c r="AE170" s="62"/>
      <c r="AF170" s="49"/>
      <c r="AG170" s="62"/>
      <c r="AH170" s="62"/>
      <c r="AI170" s="62"/>
      <c r="AJ170" s="62"/>
      <c r="AK170" s="62"/>
      <c r="AL170" s="62"/>
      <c r="AM170" s="62"/>
      <c r="AN170" s="62"/>
      <c r="AO170" s="109" t="s">
        <v>124</v>
      </c>
      <c r="AP170" s="115">
        <f>COUNTIF($D$69:$P$76,"*훈*")</f>
        <v>0</v>
      </c>
      <c r="AQ170" s="115">
        <f>COUNTIF($D$83:$P$100,"*훈*")</f>
        <v>1</v>
      </c>
      <c r="AR170" s="115">
        <f>COUNTIF($D$107:$P$124,"*훈*")</f>
        <v>0</v>
      </c>
      <c r="AS170" s="115">
        <f>COUNTIF($D$131:$P$132,"*훈*")+COUNTIF($D$146:$P$158,"*훈*")</f>
        <v>0</v>
      </c>
      <c r="AT170" s="115">
        <f>COUNTIF($D$165:$P$182,"*훈*")</f>
        <v>0</v>
      </c>
      <c r="AU170" s="115">
        <f>COUNTIF($D$189:$P$206,"*훈*")</f>
        <v>0</v>
      </c>
      <c r="AV170" s="115">
        <f>COUNTIF($D$213:$P$230,"*훈*")</f>
        <v>0</v>
      </c>
      <c r="AW170" s="109">
        <f t="shared" si="93"/>
        <v>1</v>
      </c>
      <c r="AX170" s="49"/>
      <c r="AY170" s="49"/>
    </row>
    <row r="171" ht="9.75" customHeight="1">
      <c r="A171" s="49"/>
      <c r="B171" s="1"/>
      <c r="C171" s="1"/>
      <c r="D171" s="1"/>
      <c r="E171" s="1"/>
      <c r="F171" s="1"/>
      <c r="G171" s="1"/>
      <c r="H171" s="49"/>
      <c r="I171" s="49"/>
      <c r="J171" s="1"/>
      <c r="K171" s="49"/>
      <c r="L171" s="49"/>
      <c r="M171" s="1"/>
      <c r="N171" s="49"/>
      <c r="O171" s="49"/>
      <c r="P171" s="1"/>
      <c r="Q171" s="49"/>
      <c r="R171" s="109" t="s">
        <v>126</v>
      </c>
      <c r="S171" s="52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84">
        <f>COUNTIF($D$147:$P$147,"*누리*")+COUNTIF($D$152:$P$152,"*누리*")+COUNTIF($D$157:$P$157,"*누리*")+COUNTIF($D$166:$P$166,"*누리*")+COUNTIF($D$171:$P$171,"*누리*")+COUNTIF($D$176:$O$176,"*누리*")+COUNTIF($D$181:$P$181,"*누리*")</f>
        <v>0</v>
      </c>
      <c r="U171" s="110">
        <f t="shared" si="91"/>
        <v>0</v>
      </c>
      <c r="V171" s="84">
        <f>COUNTIF($D$156:$P$157,"*누리*")+COUNTIF($D$180:$P$181,"*누리*")</f>
        <v>0</v>
      </c>
      <c r="W171" s="49"/>
      <c r="X171" s="52">
        <f t="shared" ref="X171:AA171" si="94">X111</f>
        <v>0</v>
      </c>
      <c r="Y171" s="84">
        <f t="shared" si="94"/>
        <v>0</v>
      </c>
      <c r="Z171" s="111">
        <f t="shared" si="94"/>
        <v>0</v>
      </c>
      <c r="AA171" s="84">
        <f t="shared" si="94"/>
        <v>0</v>
      </c>
      <c r="AB171" s="16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97"/>
      <c r="AD171" s="62"/>
      <c r="AE171" s="62"/>
      <c r="AF171" s="49"/>
      <c r="AG171" s="62"/>
      <c r="AH171" s="62"/>
      <c r="AI171" s="62"/>
      <c r="AJ171" s="62"/>
      <c r="AK171" s="62"/>
      <c r="AL171" s="62"/>
      <c r="AM171" s="62"/>
      <c r="AN171" s="62"/>
      <c r="AO171" s="109" t="s">
        <v>126</v>
      </c>
      <c r="AP171" s="115">
        <f>COUNTIF($D$69:$P$76,"*누리*")</f>
        <v>0</v>
      </c>
      <c r="AQ171" s="115">
        <f>COUNTIF($D$83:$P$100,"*누리*")</f>
        <v>0</v>
      </c>
      <c r="AR171" s="115">
        <f>COUNTIF($D$107:$P$124,"*누리*")</f>
        <v>0</v>
      </c>
      <c r="AS171" s="115">
        <f>COUNTIF($D$131:$P$132,"*누리*")+COUNTIF($D$146:$P$158,"*누리*")</f>
        <v>0</v>
      </c>
      <c r="AT171" s="115">
        <f>COUNTIF($D$165:$P$182,"*누리*")</f>
        <v>0</v>
      </c>
      <c r="AU171" s="115">
        <f>COUNTIF($D$189:$P$206,"*누리*")</f>
        <v>0</v>
      </c>
      <c r="AV171" s="115">
        <f>COUNTIF($D$213:$P$230,"*누리*")</f>
        <v>0</v>
      </c>
      <c r="AW171" s="109">
        <f t="shared" si="93"/>
        <v>0</v>
      </c>
      <c r="AX171" s="49"/>
      <c r="AY171" s="49"/>
    </row>
    <row r="172" ht="9.75" customHeight="1">
      <c r="A172" s="49"/>
      <c r="B172" s="1"/>
      <c r="C172" s="1"/>
      <c r="D172" s="1"/>
      <c r="E172" s="1"/>
      <c r="F172" s="1"/>
      <c r="G172" s="1"/>
      <c r="H172" s="49"/>
      <c r="I172" s="49"/>
      <c r="J172" s="1"/>
      <c r="K172" s="49"/>
      <c r="L172" s="49"/>
      <c r="M172" s="1"/>
      <c r="N172" s="49"/>
      <c r="O172" s="49"/>
      <c r="P172" s="1"/>
      <c r="Q172" s="49"/>
      <c r="R172" s="109" t="s">
        <v>111</v>
      </c>
      <c r="S172" s="52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16">
        <f>COUNTIF($D$147:$P$147,"*미소*")+COUNTIF($D$152:$P$152,"*미소*")+COUNTIF($D$157:$P$157,"*미소*")+COUNTIF($D$166:$P$166,"*미소*")+COUNTIF($D$171:$P$171,"*미소*")+COUNTIF($D$176:$O$176,"*미소*")+COUNTIF($D$181:$P$181,"*미소*")</f>
        <v>0</v>
      </c>
      <c r="U172" s="110">
        <f t="shared" si="91"/>
        <v>0</v>
      </c>
      <c r="V172" s="84">
        <f>COUNTIF($D$156:$P$157,"*미소*")+COUNTIF($D$180:$P$181,"*미소*")</f>
        <v>0</v>
      </c>
      <c r="W172" s="49"/>
      <c r="X172" s="52">
        <f t="shared" ref="X172:AA172" si="95">X112</f>
        <v>0</v>
      </c>
      <c r="Y172" s="84">
        <f t="shared" si="95"/>
        <v>1</v>
      </c>
      <c r="Z172" s="111">
        <f t="shared" si="95"/>
        <v>1</v>
      </c>
      <c r="AA172" s="84">
        <f t="shared" si="95"/>
        <v>0</v>
      </c>
      <c r="AB172" s="16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97"/>
      <c r="AD172" s="62"/>
      <c r="AE172" s="62"/>
      <c r="AF172" s="49"/>
      <c r="AG172" s="62"/>
      <c r="AH172" s="62"/>
      <c r="AI172" s="62"/>
      <c r="AJ172" s="62"/>
      <c r="AK172" s="62"/>
      <c r="AL172" s="62"/>
      <c r="AM172" s="62"/>
      <c r="AN172" s="62"/>
      <c r="AO172" s="109" t="s">
        <v>111</v>
      </c>
      <c r="AP172" s="115">
        <f>COUNTIF($D$69:$P$76,"*미소*")</f>
        <v>1</v>
      </c>
      <c r="AQ172" s="115">
        <f>COUNTIF($D$83:$P$100,"*미소*")</f>
        <v>0</v>
      </c>
      <c r="AR172" s="115">
        <f>COUNTIF($D$107:$P$124,"*미소*")</f>
        <v>0</v>
      </c>
      <c r="AS172" s="115">
        <f>COUNTIF($D$131:$P$132,"*미소*")+COUNTIF($D$146:$P$158,"*미소*")</f>
        <v>0</v>
      </c>
      <c r="AT172" s="115">
        <f>COUNTIF($D$165:$P$182,"*미소*")</f>
        <v>0</v>
      </c>
      <c r="AU172" s="115">
        <f>COUNTIF($D$189:$P$206,"*미소*")</f>
        <v>0</v>
      </c>
      <c r="AV172" s="115">
        <f>COUNTIF($D$213:$P$230,"*미소*")</f>
        <v>0</v>
      </c>
      <c r="AW172" s="109">
        <f t="shared" si="93"/>
        <v>1</v>
      </c>
      <c r="AX172" s="49"/>
      <c r="AY172" s="49"/>
    </row>
    <row r="173" ht="1.5" customHeight="1">
      <c r="A173" s="49"/>
      <c r="B173" s="1"/>
      <c r="C173" s="1"/>
      <c r="D173" s="1"/>
      <c r="E173" s="49"/>
      <c r="F173" s="49"/>
      <c r="G173" s="49"/>
      <c r="H173" s="49"/>
      <c r="I173" s="49"/>
      <c r="J173" s="1"/>
      <c r="K173" s="49"/>
      <c r="L173" s="49"/>
      <c r="M173" s="49"/>
      <c r="N173" s="49"/>
      <c r="O173" s="49"/>
      <c r="P173" s="1"/>
      <c r="Q173" s="49"/>
      <c r="R173" s="109"/>
      <c r="S173" s="52"/>
      <c r="T173" s="84"/>
      <c r="U173" s="110"/>
      <c r="V173" s="84"/>
      <c r="W173" s="49"/>
      <c r="X173" s="52"/>
      <c r="Y173" s="84"/>
      <c r="Z173" s="111"/>
      <c r="AA173" s="84"/>
      <c r="AB173" s="160"/>
      <c r="AC173" s="97"/>
      <c r="AD173" s="62"/>
      <c r="AE173" s="62"/>
      <c r="AF173" s="49"/>
      <c r="AG173" s="62"/>
      <c r="AH173" s="62"/>
      <c r="AI173" s="62"/>
      <c r="AJ173" s="62"/>
      <c r="AK173" s="62"/>
      <c r="AL173" s="62"/>
      <c r="AM173" s="62"/>
      <c r="AN173" s="62"/>
      <c r="AO173" s="109"/>
      <c r="AP173" s="128"/>
      <c r="AQ173" s="109"/>
      <c r="AR173" s="109"/>
      <c r="AS173" s="109"/>
      <c r="AT173" s="109"/>
      <c r="AU173" s="109"/>
      <c r="AV173" s="109"/>
      <c r="AW173" s="109"/>
      <c r="AX173" s="49"/>
      <c r="AY173" s="49"/>
    </row>
    <row r="174" ht="9.75" customHeight="1">
      <c r="A174" s="49"/>
      <c r="B174" s="1"/>
      <c r="C174" s="1"/>
      <c r="D174" s="1"/>
      <c r="E174" s="1"/>
      <c r="F174" s="1"/>
      <c r="G174" s="1"/>
      <c r="H174" s="49"/>
      <c r="I174" s="49"/>
      <c r="J174" s="1"/>
      <c r="K174" s="49"/>
      <c r="L174" s="49"/>
      <c r="M174" s="1"/>
      <c r="N174" s="49"/>
      <c r="O174" s="49"/>
      <c r="P174" s="1"/>
      <c r="Q174" s="49"/>
      <c r="R174" s="109" t="s">
        <v>127</v>
      </c>
      <c r="S174" s="52">
        <f>COUNTIF($D$146:$P$146,"*범수*")+COUNTIF($D$151:$P$151,"*범수*")+COUNTIF($D$156:$P$156,"*범수*")+COUNTIF($D$165:$P$165,"*범수*")+COUNTIF($D$170:$P$170,"*범수*")+COUNTIF($D$175:$P$175,"*범수*")+COUNTIF($D$180:$P$180,"*범수*")</f>
        <v>0</v>
      </c>
      <c r="T174" s="84">
        <f>COUNTIF($D$147:$P$147,"*범수*")+COUNTIF($D$152:$P$152,"*범수*")+COUNTIF($D$157:$P$157,"*범수*")+COUNTIF($D$166:$P$166,"*범수*")+COUNTIF($D$171:$P$171,"*범수*")+COUNTIF($D$176:$O$176,"*범수*")+COUNTIF($D$181:$P$181,"*범수*")</f>
        <v>0</v>
      </c>
      <c r="U174" s="110">
        <f t="shared" ref="U174:U177" si="97">S174*2+T174</f>
        <v>0</v>
      </c>
      <c r="V174" s="84">
        <f>COUNTIF($D$156:$P$157,"*범수*")+COUNTIF($D$180:$P$181,"*범수*")</f>
        <v>0</v>
      </c>
      <c r="W174" s="49"/>
      <c r="X174" s="52">
        <f t="shared" ref="X174:AA174" si="96">X113</f>
        <v>0</v>
      </c>
      <c r="Y174" s="84">
        <f t="shared" si="96"/>
        <v>0</v>
      </c>
      <c r="Z174" s="111">
        <f t="shared" si="96"/>
        <v>0</v>
      </c>
      <c r="AA174" s="84">
        <f t="shared" si="96"/>
        <v>0</v>
      </c>
      <c r="AB174" s="160">
        <f>COUNTIF($AC$54:$AO$54,"*범수*")+COUNTIF($AC$56:$AO$56,"*범수*")+COUNTIF($AC$57:$AO$57,"*범수*")+COUNTIF($AC$58:$AO$58,"*범수*")+COUNTIF($AC$59:$AO$59,"*범수*")+COUNTIF($AC$60:$AO$60,"*범수*")+COUNTIF($AC$61:$AO$61,"*범수*")+COUNTIF($AC$62:$AO$62,"*범수*")+COUNTIF($AC$64:$AO$64,"*범수*")+COUNTIF($AC$65:$AO$65,"*범수*")+COUNTIF($AC$66:$AO$66,"*범수*")+COUNTIF($AC$68:$AO$68,"*범수*")+COUNTIF($AC$69:$AO$69,"*범수*")+COUNTIF($AC$70:$AO$70,"*범수*")+COUNTIF($AC$71:$AO$71,"*범수*")+COUNTIF($AC$73:$AO$73,"*범수*")+COUNTIF($AC$74:$AO$74,"*범수*")+COUNTIF($AC$75:$AO$75,"*범수*")</f>
        <v>0</v>
      </c>
      <c r="AC174" s="97"/>
      <c r="AD174" s="62"/>
      <c r="AE174" s="62"/>
      <c r="AF174" s="49"/>
      <c r="AG174" s="62"/>
      <c r="AH174" s="62"/>
      <c r="AI174" s="62"/>
      <c r="AJ174" s="62"/>
      <c r="AK174" s="62"/>
      <c r="AL174" s="62"/>
      <c r="AM174" s="62"/>
      <c r="AN174" s="62"/>
      <c r="AO174" s="109" t="s">
        <v>127</v>
      </c>
      <c r="AP174" s="115">
        <f>COUNTIF($D$69:$P$76,"*범수*")</f>
        <v>0</v>
      </c>
      <c r="AQ174" s="115">
        <f>COUNTIF($D$83:$P$100,"*범수*")</f>
        <v>0</v>
      </c>
      <c r="AR174" s="115">
        <f>COUNTIF($D$107:$P$124,"*범수*")</f>
        <v>0</v>
      </c>
      <c r="AS174" s="115">
        <f>COUNTIF($D$131:$P$132,"*범수*")+COUNTIF($D$146:$P$158,"*범수*")</f>
        <v>0</v>
      </c>
      <c r="AT174" s="115">
        <f>COUNTIF($D$165:$P$182,"*범수*")</f>
        <v>0</v>
      </c>
      <c r="AU174" s="115">
        <f>COUNTIF($D$189:$P$206,"*범수*")</f>
        <v>0</v>
      </c>
      <c r="AV174" s="115">
        <f>COUNTIF($D$213:$P$230,"*범수*")</f>
        <v>0</v>
      </c>
      <c r="AW174" s="109">
        <f t="shared" ref="AW174:AW177" si="99">SUM(AO174:AV174)</f>
        <v>0</v>
      </c>
      <c r="AX174" s="49"/>
      <c r="AY174" s="49"/>
    </row>
    <row r="175" ht="9.75" customHeight="1">
      <c r="A175" s="49"/>
      <c r="B175" s="1"/>
      <c r="C175" s="1"/>
      <c r="D175" s="1"/>
      <c r="E175" s="1"/>
      <c r="F175" s="1"/>
      <c r="G175" s="1"/>
      <c r="H175" s="49"/>
      <c r="I175" s="49"/>
      <c r="J175" s="1"/>
      <c r="K175" s="49"/>
      <c r="L175" s="49"/>
      <c r="M175" s="1"/>
      <c r="N175" s="49"/>
      <c r="O175" s="49"/>
      <c r="P175" s="1"/>
      <c r="Q175" s="49"/>
      <c r="R175" s="109" t="s">
        <v>128</v>
      </c>
      <c r="S175" s="52">
        <f>COUNTIF($D$146:$P$146,"*원혁*")+COUNTIF($D$151:$P$151,"*원혁*")+COUNTIF($D$156:$P$156,"*원혁*")+COUNTIF($D$165:$P$165,"*원혁*")+COUNTIF($D$170:$P$170,"*원혁*")+COUNTIF($D$175:$P$175,"*원혁*")+COUNTIF($D$180:$P$180,"*원혁*")</f>
        <v>0</v>
      </c>
      <c r="T175" s="84">
        <f>COUNTIF($D$147:$P$147,"*원혁*")+COUNTIF($D$152:$P$152,"*원혁*")+COUNTIF($D$157:$P$157,"*원혁*")+COUNTIF($D$166:$P$166,"*원혁*")+COUNTIF($D$171:$P$171,"*원혁*")+COUNTIF($D$176:$O$176,"*원혁*")+COUNTIF($D$181:$P$181,"*원혁*")</f>
        <v>0</v>
      </c>
      <c r="U175" s="110">
        <f t="shared" si="97"/>
        <v>0</v>
      </c>
      <c r="V175" s="84">
        <f>COUNTIF($D$156:$P$157,"*원혁*")+COUNTIF($D$180:$P$181,"*원혁*")</f>
        <v>0</v>
      </c>
      <c r="W175" s="49"/>
      <c r="X175" s="52">
        <f t="shared" ref="X175:AA175" si="98">X114</f>
        <v>0</v>
      </c>
      <c r="Y175" s="84">
        <f t="shared" si="98"/>
        <v>2</v>
      </c>
      <c r="Z175" s="111">
        <f t="shared" si="98"/>
        <v>2</v>
      </c>
      <c r="AA175" s="84">
        <f t="shared" si="98"/>
        <v>1</v>
      </c>
      <c r="AB175" s="160">
        <f>COUNTIF($AC$54:$AO$54,"*원혁*")+COUNTIF($AC$56:$AO$56,"*원혁*")+COUNTIF($AC$57:$AO$57,"*원혁*")+COUNTIF($AC$58:$AO$58,"*원혁*")+COUNTIF($AC$59:$AO$59,"*원혁*")+COUNTIF($AC$60:$AO$60,"*원혁*")+COUNTIF($AC$61:$AO$61,"*원혁*")+COUNTIF($AC$62:$AO$62,"*원혁*")+COUNTIF($AC$64:$AO$64,"*원혁*")+COUNTIF($AC$65:$AO$65,"*원혁*")+COUNTIF($AC$66:$AO$66,"*원혁*")+COUNTIF($AC$68:$AO$68,"*원혁*")+COUNTIF($AC$69:$AO$69,"*원혁*")+COUNTIF($AC$70:$AO$70,"*원혁*")+COUNTIF($AC$71:$AO$71,"*원혁*")+COUNTIF($AC$73:$AO$73,"*원혁*")+COUNTIF($AC$74:$AO$74,"*원혁*")+COUNTIF($AC$75:$AO$75,"*원혁*")</f>
        <v>0</v>
      </c>
      <c r="AC175" s="97"/>
      <c r="AD175" s="62"/>
      <c r="AE175" s="62"/>
      <c r="AF175" s="49"/>
      <c r="AG175" s="62"/>
      <c r="AH175" s="62"/>
      <c r="AI175" s="62"/>
      <c r="AJ175" s="62"/>
      <c r="AK175" s="62"/>
      <c r="AL175" s="62"/>
      <c r="AM175" s="62"/>
      <c r="AN175" s="62"/>
      <c r="AO175" s="109" t="s">
        <v>128</v>
      </c>
      <c r="AP175" s="115">
        <f>COUNTIF($D$69:$P$76,"*원혁*")</f>
        <v>1</v>
      </c>
      <c r="AQ175" s="115">
        <f>COUNTIF($D$83:$P$100,"*원혁*")</f>
        <v>1</v>
      </c>
      <c r="AR175" s="115">
        <f>COUNTIF($D$107:$P$124,"*원혁*")</f>
        <v>0</v>
      </c>
      <c r="AS175" s="115">
        <f>COUNTIF($D$131:$P$132,"*원혁*")+COUNTIF($D$146:$P$158,"*원혁*")</f>
        <v>0</v>
      </c>
      <c r="AT175" s="115">
        <f>COUNTIF($D$165:$P$182,"*원혁*")</f>
        <v>0</v>
      </c>
      <c r="AU175" s="115">
        <f>COUNTIF($D$189:$P$206,"*원혁*")</f>
        <v>0</v>
      </c>
      <c r="AV175" s="115">
        <f>COUNTIF($D$213:$P$230,"*원혁*")</f>
        <v>0</v>
      </c>
      <c r="AW175" s="109">
        <f t="shared" si="99"/>
        <v>2</v>
      </c>
      <c r="AX175" s="49"/>
      <c r="AY175" s="49"/>
    </row>
    <row r="176" ht="9.75" customHeight="1">
      <c r="A176" s="49"/>
      <c r="B176" s="1"/>
      <c r="C176" s="1"/>
      <c r="D176" s="1"/>
      <c r="E176" s="1"/>
      <c r="F176" s="1"/>
      <c r="G176" s="1"/>
      <c r="H176" s="49"/>
      <c r="I176" s="49"/>
      <c r="J176" s="1"/>
      <c r="K176" s="49"/>
      <c r="L176" s="49"/>
      <c r="M176" s="1"/>
      <c r="N176" s="49"/>
      <c r="O176" s="49"/>
      <c r="P176" s="1"/>
      <c r="Q176" s="49"/>
      <c r="R176" s="109" t="s">
        <v>129</v>
      </c>
      <c r="S176" s="52">
        <f>COUNTIF($D$146:$P$146,"*승환*")+COUNTIF($D$151:$P$151,"*승환*")+COUNTIF($D$156:$P$156,"*승환*")+COUNTIF($D$165:$P$165,"*승환*")+COUNTIF($D$170:$P$170,"*승환*")+COUNTIF($D$175:$P$175,"*승환*")+COUNTIF($D$180:$P$180,"*승환*")</f>
        <v>0</v>
      </c>
      <c r="T176" s="84">
        <f>COUNTIF($D$147:$P$147,"*승환*")+COUNTIF($D$152:$P$152,"*승환*")+COUNTIF($D$157:$P$157,"*승환*")+COUNTIF($D$166:$P$166,"*승환*")+COUNTIF($D$171:$P$171,"*승환*")+COUNTIF($D$176:$O$176,"*승환*")+COUNTIF($D$181:$P$181,"*승환*")</f>
        <v>0</v>
      </c>
      <c r="U176" s="110">
        <f t="shared" si="97"/>
        <v>0</v>
      </c>
      <c r="V176" s="84">
        <f>COUNTIF($D$156:$P$157,"*승환*")+COUNTIF($D$180:$P$181,"*승환*")</f>
        <v>0</v>
      </c>
      <c r="W176" s="49"/>
      <c r="X176" s="52">
        <f t="shared" ref="X176:AA176" si="100">X116</f>
        <v>0</v>
      </c>
      <c r="Y176" s="84">
        <f t="shared" si="100"/>
        <v>1</v>
      </c>
      <c r="Z176" s="111">
        <f t="shared" si="100"/>
        <v>1</v>
      </c>
      <c r="AA176" s="84">
        <f t="shared" si="100"/>
        <v>0</v>
      </c>
      <c r="AB176" s="160">
        <f>COUNTIF($AC$54:$AO$54,"*승환*")+COUNTIF($AC$56:$AO$56,"*승환*")+COUNTIF($AC$57:$AO$57,"*승환*")+COUNTIF($AC$58:$AO$58,"*승환*")+COUNTIF($AC$59:$AO$59,"*승환*")+COUNTIF($AC$60:$AO$60,"*승환*")+COUNTIF($AC$61:$AO$61,"*승환*")+COUNTIF($AC$62:$AO$62,"*승환*")+COUNTIF($AC$64:$AO$64,"*승환*")+COUNTIF($AC$65:$AO$65,"*승환*")+COUNTIF($AC$66:$AO$66,"*승환*")+COUNTIF($AC$68:$AO$68,"*승환*")+COUNTIF($AC$69:$AO$69,"*승환*")+COUNTIF($AC$70:$AO$70,"*승환*")+COUNTIF($AC$71:$AO$71,"*승환*")+COUNTIF($AC$73:$AO$73,"*승환*")+COUNTIF($AC$74:$AO$74,"*승환*")+COUNTIF($AC$75:$AO$75,"*승환*")</f>
        <v>0</v>
      </c>
      <c r="AC176" s="131"/>
      <c r="AD176" s="62"/>
      <c r="AE176" s="62"/>
      <c r="AF176" s="49"/>
      <c r="AG176" s="62"/>
      <c r="AH176" s="62"/>
      <c r="AI176" s="62"/>
      <c r="AJ176" s="62"/>
      <c r="AK176" s="62"/>
      <c r="AL176" s="62"/>
      <c r="AM176" s="62"/>
      <c r="AN176" s="62"/>
      <c r="AO176" s="109" t="s">
        <v>129</v>
      </c>
      <c r="AP176" s="115">
        <f>COUNTIF($D$69:$P$76,"*승환*")</f>
        <v>0</v>
      </c>
      <c r="AQ176" s="115">
        <f>COUNTIF($D$83:$P$100,"*승환*")</f>
        <v>1</v>
      </c>
      <c r="AR176" s="115">
        <f>COUNTIF($D$107:$P$124,"*승환*")</f>
        <v>0</v>
      </c>
      <c r="AS176" s="115">
        <f>COUNTIF($D$131:$P$132,"*승환*")+COUNTIF($D$146:$P$158,"*승환*")</f>
        <v>0</v>
      </c>
      <c r="AT176" s="115">
        <f>COUNTIF($D$165:$P$182,"*승환*")</f>
        <v>0</v>
      </c>
      <c r="AU176" s="115">
        <f>COUNTIF($D$189:$P$206,"*승환*")</f>
        <v>0</v>
      </c>
      <c r="AV176" s="115">
        <f>COUNTIF($D$213:$P$230,"*승환*")</f>
        <v>0</v>
      </c>
      <c r="AW176" s="109">
        <f t="shared" si="99"/>
        <v>1</v>
      </c>
      <c r="AX176" s="49"/>
      <c r="AY176" s="49"/>
    </row>
    <row r="177" ht="9.75" customHeight="1">
      <c r="A177" s="49"/>
      <c r="B177" s="1"/>
      <c r="C177" s="1"/>
      <c r="D177" s="1"/>
      <c r="E177" s="1"/>
      <c r="F177" s="1"/>
      <c r="G177" s="1"/>
      <c r="H177" s="49"/>
      <c r="I177" s="49"/>
      <c r="J177" s="1"/>
      <c r="K177" s="49"/>
      <c r="L177" s="49"/>
      <c r="M177" s="1"/>
      <c r="N177" s="49"/>
      <c r="O177" s="49"/>
      <c r="P177" s="1"/>
      <c r="Q177" s="49"/>
      <c r="R177" s="109" t="s">
        <v>130</v>
      </c>
      <c r="S177" s="52">
        <f>COUNTIF($D$146:$P$146,"*한솔*")+COUNTIF($D$151:$P$151,"*한솔*")+COUNTIF($D$156:$P$156,"*한솔*")+COUNTIF($D$165:$P$165,"*한솔*")+COUNTIF($D$170:$P$170,"*한솔*")+COUNTIF($D$175:$P$175,"*한솔*")+COUNTIF($D$180:$P$180,"*한솔*")</f>
        <v>0</v>
      </c>
      <c r="T177" s="84">
        <f>COUNTIF($D$147:$P$147,"*한솔*")+COUNTIF($D$152:$P$152,"*한솔*")+COUNTIF($D$157:$P$157,"*한솔*")+COUNTIF($D$166:$P$166,"*한솔*")+COUNTIF($D$171:$P$171,"*한솔*")+COUNTIF($D$176:$O$176,"*한솔*")+COUNTIF($D$181:$P$181,"*한솔*")</f>
        <v>0</v>
      </c>
      <c r="U177" s="110">
        <f t="shared" si="97"/>
        <v>0</v>
      </c>
      <c r="V177" s="84">
        <f>COUNTIF($D$156:$P$157,"*한솔*")+COUNTIF($D$180:$P$181,"*한솔*")</f>
        <v>0</v>
      </c>
      <c r="W177" s="49"/>
      <c r="X177" s="52">
        <f t="shared" ref="X177:AA177" si="101">X117</f>
        <v>0</v>
      </c>
      <c r="Y177" s="84">
        <f t="shared" si="101"/>
        <v>0</v>
      </c>
      <c r="Z177" s="111">
        <f t="shared" si="101"/>
        <v>0</v>
      </c>
      <c r="AA177" s="84">
        <f t="shared" si="101"/>
        <v>0</v>
      </c>
      <c r="AB177" s="160">
        <f>COUNTIF($AC$54:$AO$54,"*한솔*")+COUNTIF($AC$56:$AO$56,"*한솔*")+COUNTIF($AC$57:$AO$57,"*한솔*")+COUNTIF($AC$58:$AO$58,"*한솔*")+COUNTIF($AC$59:$AO$59,"*한솔*")+COUNTIF($AC$60:$AO$60,"*한솔*")+COUNTIF($AC$61:$AO$61,"*한솔*")+COUNTIF($AC$62:$AO$62,"*한솔*")+COUNTIF($AC$64:$AO$64,"*한솔*")+COUNTIF($AC$65:$AO$65,"*한솔*")+COUNTIF($AC$66:$AO$66,"*한솔*")+COUNTIF($AC$68:$AO$68,"*한솔*")+COUNTIF($AC$69:$AO$69,"*한솔*")+COUNTIF($AC$70:$AO$70,"*한솔*")+COUNTIF($AC$71:$AO$71,"*한솔*")+COUNTIF($AC$73:$AO$73,"*한솔*")+COUNTIF($AC$74:$AO$74,"*한솔*")+COUNTIF($AC$75:$AO$75,"*한솔*")</f>
        <v>0</v>
      </c>
      <c r="AC177" s="131"/>
      <c r="AD177" s="62"/>
      <c r="AE177" s="62"/>
      <c r="AF177" s="49"/>
      <c r="AG177" s="62"/>
      <c r="AH177" s="62"/>
      <c r="AI177" s="62"/>
      <c r="AJ177" s="62"/>
      <c r="AK177" s="62"/>
      <c r="AL177" s="62"/>
      <c r="AM177" s="62"/>
      <c r="AN177" s="62"/>
      <c r="AO177" s="109" t="s">
        <v>130</v>
      </c>
      <c r="AP177" s="115">
        <f>COUNTIF($D$69:$P$76,"*한솔*")</f>
        <v>0</v>
      </c>
      <c r="AQ177" s="115">
        <f>COUNTIF($D$83:$P$100,"*한솔*")</f>
        <v>0</v>
      </c>
      <c r="AR177" s="115">
        <f>COUNTIF($D$107:$P$124,"*한솔*")</f>
        <v>0</v>
      </c>
      <c r="AS177" s="115">
        <f>COUNTIF($D$131:$P$132,"*한솔*")+COUNTIF($D$146:$P$158,"*한솔*")</f>
        <v>0</v>
      </c>
      <c r="AT177" s="115">
        <f>COUNTIF($D$165:$P$182,"*한솔*")</f>
        <v>0</v>
      </c>
      <c r="AU177" s="115">
        <f>COUNTIF($D$189:$P$206,"*한솔*")</f>
        <v>0</v>
      </c>
      <c r="AV177" s="115">
        <f>COUNTIF($D$213:$P$230,"*한솔*")</f>
        <v>0</v>
      </c>
      <c r="AW177" s="109">
        <f t="shared" si="99"/>
        <v>0</v>
      </c>
      <c r="AX177" s="49"/>
      <c r="AY177" s="49"/>
    </row>
    <row r="178" ht="1.5" customHeight="1">
      <c r="A178" s="49"/>
      <c r="B178" s="1"/>
      <c r="C178" s="1"/>
      <c r="D178" s="1"/>
      <c r="E178" s="49"/>
      <c r="F178" s="49"/>
      <c r="G178" s="49"/>
      <c r="H178" s="49"/>
      <c r="I178" s="49"/>
      <c r="J178" s="1"/>
      <c r="K178" s="49"/>
      <c r="L178" s="49"/>
      <c r="M178" s="49"/>
      <c r="N178" s="49"/>
      <c r="O178" s="49"/>
      <c r="P178" s="1"/>
      <c r="Q178" s="49"/>
      <c r="R178" s="109"/>
      <c r="S178" s="52"/>
      <c r="T178" s="84"/>
      <c r="U178" s="52"/>
      <c r="V178" s="84"/>
      <c r="W178" s="49"/>
      <c r="X178" s="52"/>
      <c r="Y178" s="84"/>
      <c r="Z178" s="52"/>
      <c r="AA178" s="84"/>
      <c r="AB178" s="160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128"/>
      <c r="AP178" s="128"/>
      <c r="AQ178" s="109"/>
      <c r="AR178" s="109"/>
      <c r="AS178" s="109"/>
      <c r="AT178" s="109"/>
      <c r="AU178" s="109"/>
      <c r="AV178" s="109"/>
      <c r="AW178" s="109"/>
      <c r="AX178" s="49"/>
      <c r="AY178" s="49"/>
    </row>
    <row r="179" ht="9.75" customHeight="1">
      <c r="A179" s="49"/>
      <c r="B179" s="1"/>
      <c r="C179" s="1"/>
      <c r="D179" s="1"/>
      <c r="E179" s="1"/>
      <c r="F179" s="1"/>
      <c r="G179" s="1"/>
      <c r="H179" s="49"/>
      <c r="I179" s="49"/>
      <c r="J179" s="1"/>
      <c r="K179" s="49"/>
      <c r="L179" s="49"/>
      <c r="M179" s="1"/>
      <c r="N179" s="49"/>
      <c r="O179" s="49"/>
      <c r="P179" s="1"/>
      <c r="Q179" s="49"/>
      <c r="R179" s="109" t="s">
        <v>63</v>
      </c>
      <c r="S179" s="49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9" s="84">
        <f>COUNTIF($D$147:$P$147,"*소희*")+COUNTIF($D$152:$P$152,"*소희*")+COUNTIF($D$157:$P$157,"*소희*")+COUNTIF($D$166:$P$166,"*소희*")+COUNTIF($D$171:$P$171,"*소희*")+COUNTIF($D$176:$O$176,"*소희*")+COUNTIF($D$181:$P$181,"*소희*")</f>
        <v>0</v>
      </c>
      <c r="U179" s="95">
        <f t="shared" ref="U179:U180" si="103">S179*2+T179</f>
        <v>0</v>
      </c>
      <c r="V179" s="84">
        <f>COUNTIF($D$156:$P$157,"*소희*")+COUNTIF($D$180:$P$181,"*소희*")</f>
        <v>0</v>
      </c>
      <c r="W179" s="49"/>
      <c r="X179" s="52">
        <f t="shared" ref="X179:AA179" si="102">X118</f>
        <v>0</v>
      </c>
      <c r="Y179" s="84">
        <f t="shared" si="102"/>
        <v>1</v>
      </c>
      <c r="Z179" s="111">
        <f t="shared" si="102"/>
        <v>1</v>
      </c>
      <c r="AA179" s="84">
        <f t="shared" si="102"/>
        <v>1</v>
      </c>
      <c r="AB179" s="160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9" s="131"/>
      <c r="AD179" s="62"/>
      <c r="AE179" s="62"/>
      <c r="AF179" s="49"/>
      <c r="AG179" s="62"/>
      <c r="AH179" s="62"/>
      <c r="AI179" s="62"/>
      <c r="AJ179" s="62"/>
      <c r="AK179" s="62"/>
      <c r="AL179" s="62"/>
      <c r="AM179" s="62"/>
      <c r="AN179" s="62"/>
      <c r="AO179" s="109" t="s">
        <v>63</v>
      </c>
      <c r="AP179" s="115">
        <f>COUNTIF($D$69:$P$76,"*소희*")</f>
        <v>1</v>
      </c>
      <c r="AQ179" s="115">
        <f>COUNTIF($D$83:$P$100,"*소희*")</f>
        <v>0</v>
      </c>
      <c r="AR179" s="115">
        <f>COUNTIF($D$107:$P$124,"*소희*")</f>
        <v>0</v>
      </c>
      <c r="AS179" s="115">
        <f>COUNTIF($D$131:$P$132,"*소희*")+COUNTIF($D$146:$P$158,"*소희*")</f>
        <v>0</v>
      </c>
      <c r="AT179" s="115">
        <f>COUNTIF($D$165:$P$182,"*소희*")</f>
        <v>0</v>
      </c>
      <c r="AU179" s="115">
        <f>COUNTIF($D$189:$P$206,"*소희*")</f>
        <v>0</v>
      </c>
      <c r="AV179" s="115">
        <f>COUNTIF($D$213:$P$230,"*소희*")</f>
        <v>0</v>
      </c>
      <c r="AW179" s="109">
        <f t="shared" ref="AW179:AW180" si="105">SUM(AO179:AV179)</f>
        <v>1</v>
      </c>
      <c r="AX179" s="49"/>
      <c r="AY179" s="49"/>
    </row>
    <row r="180" ht="9.75" customHeight="1">
      <c r="A180" s="49"/>
      <c r="B180" s="1"/>
      <c r="C180" s="1"/>
      <c r="D180" s="1"/>
      <c r="E180" s="1"/>
      <c r="F180" s="1"/>
      <c r="G180" s="1"/>
      <c r="H180" s="49"/>
      <c r="I180" s="49"/>
      <c r="J180" s="1"/>
      <c r="K180" s="49"/>
      <c r="L180" s="49"/>
      <c r="M180" s="1"/>
      <c r="N180" s="49"/>
      <c r="O180" s="49"/>
      <c r="P180" s="1"/>
      <c r="Q180" s="49"/>
      <c r="R180" s="140" t="s">
        <v>131</v>
      </c>
      <c r="S180" s="134">
        <f>COUNTIF($D$146:$P$146,"*근용*")+COUNTIF($D$151:$P$151,"*근용*")+COUNTIF($D$156:$P$156,"*근용*")+COUNTIF($D$165:$P$165,"*근용*")+COUNTIF($D$170:$P$170,"*근용*")+COUNTIF($D$175:$P$175,"*근용*")+COUNTIF($D$180:$P$180,"*근용*")</f>
        <v>0</v>
      </c>
      <c r="T180" s="133">
        <f>COUNTIF($D$147:$P$147,"*근용*")+COUNTIF($D$152:$P$152,"*근용*")+COUNTIF($D$157:$P$157,"*근용*")+COUNTIF($D$166:$P$166,"*근용*")+COUNTIF($D$171:$P$171,"*근용*")+COUNTIF($D$176:$O$176,"*근용*")+COUNTIF($D$181:$P$181,"*근용*")</f>
        <v>0</v>
      </c>
      <c r="U180" s="162">
        <f t="shared" si="103"/>
        <v>0</v>
      </c>
      <c r="V180" s="133">
        <f>COUNTIF($D$156:$P$157,"*근용*")+COUNTIF($D$180:$P$181,"*근용*")</f>
        <v>0</v>
      </c>
      <c r="W180" s="134"/>
      <c r="X180" s="54">
        <f t="shared" ref="X180:AA180" si="104">X119</f>
        <v>0</v>
      </c>
      <c r="Y180" s="133">
        <f t="shared" si="104"/>
        <v>0</v>
      </c>
      <c r="Z180" s="135">
        <f t="shared" si="104"/>
        <v>0</v>
      </c>
      <c r="AA180" s="133">
        <f t="shared" si="104"/>
        <v>0</v>
      </c>
      <c r="AB180" s="163">
        <f>COUNTIF($AC$54:$AO$54,"*근용*")+COUNTIF($AC$56:$AO$56,"*근용*")+COUNTIF($AC$57:$AO$57,"*근용*")+COUNTIF($AC$58:$AO$58,"*근용*")+COUNTIF($AC$59:$AO$59,"*근용*")+COUNTIF($AC$60:$AO$60,"*근용*")+COUNTIF($AC$61:$AO$61,"*근용*")+COUNTIF($AC$62:$AO$62,"*근용*")+COUNTIF($AC$64:$AO$64,"*근용*")+COUNTIF($AC$65:$AO$65,"*근용*")+COUNTIF($AC$66:$AO$66,"*근용*")+COUNTIF($AC$68:$AO$68,"*근용*")+COUNTIF($AC$69:$AO$69,"*근용*")+COUNTIF($AC$70:$AO$70,"*근용*")+COUNTIF($AC$71:$AO$71,"*근용*")+COUNTIF($AC$73:$AO$73,"*근용*")+COUNTIF($AC$74:$AO$74,"*근용*")+COUNTIF($AC$75:$AO$75,"*근용*")</f>
        <v>0</v>
      </c>
      <c r="AC180" s="62"/>
      <c r="AD180" s="62"/>
      <c r="AE180" s="62"/>
      <c r="AF180" s="49"/>
      <c r="AG180" s="62"/>
      <c r="AH180" s="62"/>
      <c r="AI180" s="62"/>
      <c r="AJ180" s="62"/>
      <c r="AK180" s="62"/>
      <c r="AL180" s="62"/>
      <c r="AM180" s="62"/>
      <c r="AN180" s="62"/>
      <c r="AO180" s="139" t="s">
        <v>131</v>
      </c>
      <c r="AP180" s="139">
        <f>COUNTIF($D$69:$P$76,"*근용*")</f>
        <v>0</v>
      </c>
      <c r="AQ180" s="139">
        <f>COUNTIF($D$83:$P$100,"*근용*")</f>
        <v>0</v>
      </c>
      <c r="AR180" s="139">
        <f>COUNTIF($D$107:$P$124,"*근용*")</f>
        <v>0</v>
      </c>
      <c r="AS180" s="139">
        <f>COUNTIF($D$131:$P$132,"*근용*")+COUNTIF($D$146:$P$158,"*근용*")</f>
        <v>0</v>
      </c>
      <c r="AT180" s="139">
        <f>COUNTIF($D$165:$P$182,"*근용*")</f>
        <v>0</v>
      </c>
      <c r="AU180" s="139">
        <f>COUNTIF($D$189:$P$206,"*근용*")</f>
        <v>0</v>
      </c>
      <c r="AV180" s="139">
        <f>COUNTIF($D$213:$P$230,"*근용*")</f>
        <v>0</v>
      </c>
      <c r="AW180" s="140">
        <f t="shared" si="105"/>
        <v>0</v>
      </c>
      <c r="AX180" s="49"/>
      <c r="AY180" s="49"/>
    </row>
    <row r="181" ht="9.75" customHeight="1">
      <c r="A181" s="49"/>
      <c r="B181" s="1"/>
      <c r="C181" s="1"/>
      <c r="D181" s="1"/>
      <c r="E181" s="1"/>
      <c r="F181" s="1"/>
      <c r="G181" s="1"/>
      <c r="H181" s="49"/>
      <c r="I181" s="49"/>
      <c r="J181" s="1"/>
      <c r="K181" s="49"/>
      <c r="L181" s="49"/>
      <c r="M181" s="1"/>
      <c r="N181" s="49"/>
      <c r="O181" s="49"/>
      <c r="P181" s="1"/>
      <c r="Q181" s="49"/>
      <c r="R181" s="49"/>
      <c r="S181" s="49"/>
      <c r="T181" s="49"/>
      <c r="U181" s="49"/>
      <c r="V181" s="49"/>
      <c r="W181" s="49"/>
      <c r="X181" s="49"/>
      <c r="Y181" s="49"/>
      <c r="Z181" s="96"/>
      <c r="AA181" s="122"/>
      <c r="AB181" s="131"/>
      <c r="AC181" s="62"/>
      <c r="AD181" s="62"/>
      <c r="AE181" s="62"/>
      <c r="AF181" s="49"/>
      <c r="AG181" s="62"/>
      <c r="AH181" s="62"/>
      <c r="AI181" s="62"/>
      <c r="AJ181" s="62"/>
      <c r="AK181" s="62"/>
      <c r="AL181" s="62"/>
      <c r="AM181" s="62"/>
      <c r="AN181" s="62"/>
      <c r="AO181" s="122"/>
      <c r="AP181" s="122"/>
      <c r="AQ181" s="49"/>
      <c r="AR181" s="49"/>
      <c r="AS181" s="49"/>
      <c r="AT181" s="49"/>
      <c r="AU181" s="49"/>
      <c r="AV181" s="49"/>
      <c r="AW181" s="49"/>
      <c r="AX181" s="49"/>
      <c r="AY181" s="49"/>
    </row>
    <row r="182" ht="9.75" customHeight="1">
      <c r="A182" s="49"/>
      <c r="B182" s="1"/>
      <c r="C182" s="1"/>
      <c r="D182" s="1"/>
      <c r="E182" s="1"/>
      <c r="F182" s="1"/>
      <c r="G182" s="1"/>
      <c r="H182" s="49"/>
      <c r="I182" s="49"/>
      <c r="J182" s="1"/>
      <c r="K182" s="49"/>
      <c r="L182" s="49"/>
      <c r="M182" s="1"/>
      <c r="N182" s="49"/>
      <c r="O182" s="49"/>
      <c r="P182" s="1"/>
      <c r="Q182" s="49"/>
      <c r="R182" s="164" t="s">
        <v>135</v>
      </c>
      <c r="S182" s="85" t="s">
        <v>53</v>
      </c>
      <c r="T182" s="165" t="s">
        <v>55</v>
      </c>
      <c r="U182" s="85" t="s">
        <v>80</v>
      </c>
      <c r="V182" s="166" t="s">
        <v>81</v>
      </c>
      <c r="W182" s="166"/>
      <c r="X182" s="165" t="s">
        <v>82</v>
      </c>
      <c r="Y182" s="49"/>
      <c r="Z182" s="85" t="s">
        <v>136</v>
      </c>
      <c r="AA182" s="82" t="s">
        <v>136</v>
      </c>
      <c r="AB182" s="167" t="s">
        <v>136</v>
      </c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122"/>
      <c r="AP182" s="62"/>
      <c r="AQ182" s="49"/>
      <c r="AR182" s="49"/>
      <c r="AS182" s="49"/>
      <c r="AT182" s="49"/>
      <c r="AU182" s="49"/>
      <c r="AV182" s="49"/>
      <c r="AW182" s="49"/>
      <c r="AX182" s="49"/>
      <c r="AY182" s="49"/>
    </row>
    <row r="183" ht="1.5" customHeight="1">
      <c r="A183" s="49"/>
      <c r="B183" s="1"/>
      <c r="C183" s="1"/>
      <c r="D183" s="1"/>
      <c r="E183" s="49"/>
      <c r="F183" s="49"/>
      <c r="G183" s="49"/>
      <c r="H183" s="49"/>
      <c r="I183" s="49"/>
      <c r="J183" s="1"/>
      <c r="K183" s="49"/>
      <c r="L183" s="49"/>
      <c r="M183" s="49"/>
      <c r="N183" s="49"/>
      <c r="O183" s="49"/>
      <c r="P183" s="49"/>
      <c r="Q183" s="49"/>
      <c r="R183" s="109"/>
      <c r="S183" s="52"/>
      <c r="T183" s="84"/>
      <c r="U183" s="54"/>
      <c r="V183" s="134"/>
      <c r="W183" s="134"/>
      <c r="X183" s="133"/>
      <c r="Y183" s="49"/>
      <c r="Z183" s="111"/>
      <c r="AA183" s="120"/>
      <c r="AB183" s="168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49"/>
      <c r="AR183" s="49"/>
      <c r="AS183" s="49"/>
      <c r="AT183" s="49"/>
      <c r="AU183" s="49"/>
      <c r="AV183" s="49"/>
      <c r="AW183" s="49"/>
      <c r="AX183" s="49"/>
      <c r="AY183" s="49"/>
    </row>
    <row r="184" ht="9.75" customHeight="1">
      <c r="A184" s="4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9"/>
      <c r="R184" s="98" t="s">
        <v>94</v>
      </c>
      <c r="S184" s="46">
        <f>COUNTIF($D$189:$P$189,"*원석*")+COUNTIF($D$194:$P$194,"*원석*")+COUNTIF($D$199:$P$199,"*원석*")+COUNTIF($D$204:$P$204,"*원석*")+COUNTIF($D$213:$P$213,"*원석*")</f>
        <v>0</v>
      </c>
      <c r="T184" s="99">
        <f>COUNTIF($D$190:$P$190,"*원석*")+COUNTIF($D$195:$P$195,"*원석*")+COUNTIF($D$200:$P$200,"*원석*")+COUNTIF($D$205:$P$205,"*원석*")+COUNTIF($D$214:$P$214,"*원석*")</f>
        <v>0</v>
      </c>
      <c r="U184" s="46">
        <f t="shared" ref="U184:U186" si="107">S184*2+T184</f>
        <v>0</v>
      </c>
      <c r="V184" s="102">
        <f>COUNTIF($D$204:$P$205,"*원석*")</f>
        <v>0</v>
      </c>
      <c r="W184" s="102"/>
      <c r="X184" s="99">
        <f>COUNTIF($AC$76:$AO$76,"*원석*")+COUNTIF($AC$78:$AO$78,"*원석*")+COUNTIF($AC$79:$AO$79,"*원석*")+COUNTIF($AC$80:$AO$80,"*원석*")+COUNTIF($AC$82:$AO$82,"*원석*")</f>
        <v>0</v>
      </c>
      <c r="Y184" s="49"/>
      <c r="Z184" s="101">
        <f t="shared" ref="Z184:AA184" si="106">U184+Z147</f>
        <v>0</v>
      </c>
      <c r="AA184" s="153">
        <f t="shared" si="106"/>
        <v>0</v>
      </c>
      <c r="AB184" s="169">
        <f t="shared" ref="AB184:AB185" si="109">X184+AB147</f>
        <v>0</v>
      </c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122"/>
      <c r="AP184" s="62"/>
      <c r="AQ184" s="49"/>
      <c r="AR184" s="49"/>
      <c r="AS184" s="49"/>
      <c r="AT184" s="49"/>
      <c r="AU184" s="49"/>
      <c r="AV184" s="49"/>
      <c r="AW184" s="49"/>
      <c r="AX184" s="49"/>
      <c r="AY184" s="49"/>
    </row>
    <row r="185" ht="9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1"/>
      <c r="K185" s="49"/>
      <c r="L185" s="49"/>
      <c r="M185" s="49"/>
      <c r="N185" s="49"/>
      <c r="O185" s="49"/>
      <c r="P185" s="49"/>
      <c r="Q185" s="49"/>
      <c r="R185" s="109" t="s">
        <v>96</v>
      </c>
      <c r="S185" s="52">
        <f>COUNTIF($D$189:$P$189,"*성진*")+COUNTIF($D$194:$P$194,"*성진*")+COUNTIF($D$199:$P$199,"*성진*")+COUNTIF($D$204:$P$204,"*성진*")+COUNTIF($D$213:$P$213,"*성진*")</f>
        <v>0</v>
      </c>
      <c r="T185" s="84">
        <f>COUNTIF($D$190:$P$190,"*성진*")+COUNTIF($D$195:$P$195,"*성진*")+COUNTIF($D$200:$P$200,"*성진*")+COUNTIF($D$205:$P$205,"*성진*")+COUNTIF($D$214:$P$214,"*성진*")</f>
        <v>0</v>
      </c>
      <c r="U185" s="52">
        <f t="shared" si="107"/>
        <v>0</v>
      </c>
      <c r="V185" s="49">
        <f>COUNTIF($D$204:$P$205,"*성진*")</f>
        <v>0</v>
      </c>
      <c r="W185" s="49"/>
      <c r="X185" s="84">
        <f>COUNTIF($AC$76:$AO$76,"*성진*")+COUNTIF($AC$78:$AO$78,"*성진*")+COUNTIF($AC$79:$AO$79,"*성진*")+COUNTIF($AC$80:$AO$80,"*성진*")+COUNTIF($AC$82:$AO$82,"*성진*")</f>
        <v>0</v>
      </c>
      <c r="Y185" s="49"/>
      <c r="Z185" s="111">
        <f t="shared" ref="Z185:AA185" si="108">U185+Z148</f>
        <v>1</v>
      </c>
      <c r="AA185" s="120">
        <f t="shared" si="108"/>
        <v>0</v>
      </c>
      <c r="AB185" s="168">
        <f t="shared" si="109"/>
        <v>0</v>
      </c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122"/>
      <c r="AP185" s="62"/>
      <c r="AQ185" s="49"/>
      <c r="AR185" s="49"/>
      <c r="AS185" s="49"/>
      <c r="AT185" s="49"/>
      <c r="AU185" s="49"/>
      <c r="AV185" s="49"/>
      <c r="AW185" s="49"/>
      <c r="AX185" s="49"/>
      <c r="AY185" s="49"/>
    </row>
    <row r="186" ht="9.75" customHeight="1">
      <c r="A186" s="49"/>
      <c r="B186" s="1"/>
      <c r="C186" s="1"/>
      <c r="D186" s="141"/>
      <c r="E186" s="69"/>
      <c r="F186" s="69"/>
      <c r="G186" s="69"/>
      <c r="H186" s="1"/>
      <c r="I186" s="1"/>
      <c r="J186" s="1"/>
      <c r="K186" s="1"/>
      <c r="L186" s="1"/>
      <c r="M186" s="1"/>
      <c r="N186" s="1"/>
      <c r="O186" s="1"/>
      <c r="P186" s="1"/>
      <c r="Q186" s="49"/>
      <c r="R186" s="109" t="s">
        <v>68</v>
      </c>
      <c r="S186" s="52">
        <f>COUNTIF($D$189:$P$189,"*종섭*")+COUNTIF($D$194:$P$194,"*종섭*")+COUNTIF($D$199:$P$199,"*종섭*")+COUNTIF($D$204:$P$204,"*종섭*")+COUNTIF($D$213:$P$213,"*종섭*")</f>
        <v>0</v>
      </c>
      <c r="T186" s="84">
        <f>COUNTIF($D$190:$P$190,"*종섭*")+COUNTIF($D$195:$P$195,"*종섭*")+COUNTIF($D$200:$P$200,"*종섭*")+COUNTIF($D$205:$P$205,"*종섭*")+COUNTIF($D$214:$P$214,"*종섭*")</f>
        <v>0</v>
      </c>
      <c r="U186" s="52">
        <f t="shared" si="107"/>
        <v>0</v>
      </c>
      <c r="V186" s="49">
        <f>COUNTIF($D$204:$P$205,"*종섭*")</f>
        <v>0</v>
      </c>
      <c r="W186" s="49"/>
      <c r="X186" s="84">
        <f>COUNTIF($AC$76:$AO$76,"*종섭*")+COUNTIF($AC$78:$AO$78,"*종섭*")+COUNTIF($AC$79:$AO$79,"*종섭*")+COUNTIF($AC$80:$AO$80,"*종섭*")+COUNTIF($AC$82:$AO$82,"*종섭*")</f>
        <v>0</v>
      </c>
      <c r="Y186" s="49"/>
      <c r="Z186" s="111">
        <f t="shared" ref="Z186:AA186" si="110">U186+Z150</f>
        <v>0</v>
      </c>
      <c r="AA186" s="120">
        <f t="shared" si="110"/>
        <v>0</v>
      </c>
      <c r="AB186" s="168">
        <f>X186+AB150</f>
        <v>0</v>
      </c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49"/>
      <c r="AR186" s="49"/>
      <c r="AS186" s="49"/>
      <c r="AT186" s="49"/>
      <c r="AU186" s="49"/>
      <c r="AV186" s="49"/>
      <c r="AW186" s="49"/>
      <c r="AX186" s="49"/>
      <c r="AY186" s="49"/>
    </row>
    <row r="187" ht="1.5" customHeight="1">
      <c r="A187" s="1"/>
      <c r="B187" s="1"/>
      <c r="C187" s="1"/>
      <c r="D187" s="1"/>
      <c r="E187" s="1"/>
      <c r="F187" s="1"/>
      <c r="G187" s="1"/>
      <c r="H187" s="49"/>
      <c r="I187" s="49"/>
      <c r="J187" s="1"/>
      <c r="K187" s="1"/>
      <c r="L187" s="1"/>
      <c r="M187" s="1"/>
      <c r="N187" s="1"/>
      <c r="O187" s="1"/>
      <c r="P187" s="1"/>
      <c r="Q187" s="1"/>
      <c r="R187" s="109"/>
      <c r="S187" s="52"/>
      <c r="T187" s="84"/>
      <c r="U187" s="52"/>
      <c r="V187" s="1"/>
      <c r="W187" s="1"/>
      <c r="X187" s="84"/>
      <c r="Y187" s="49"/>
      <c r="Z187" s="111"/>
      <c r="AA187" s="120"/>
      <c r="AB187" s="168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143"/>
      <c r="AQ187" s="1"/>
      <c r="AR187" s="1"/>
      <c r="AS187" s="1"/>
      <c r="AT187" s="1"/>
      <c r="AU187" s="1"/>
      <c r="AV187" s="1"/>
      <c r="AW187" s="1"/>
      <c r="AX187" s="1"/>
      <c r="AY187" s="1"/>
    </row>
    <row r="188" ht="11.25" customHeight="1">
      <c r="A188" s="1"/>
      <c r="B188" s="1"/>
      <c r="C188" s="1"/>
      <c r="D188" s="1"/>
      <c r="E188" s="1"/>
      <c r="F188" s="1"/>
      <c r="G188" s="1"/>
      <c r="H188" s="49"/>
      <c r="I188" s="49"/>
      <c r="J188" s="1"/>
      <c r="K188" s="49"/>
      <c r="L188" s="49"/>
      <c r="M188" s="1"/>
      <c r="N188" s="49"/>
      <c r="O188" s="49"/>
      <c r="P188" s="1"/>
      <c r="Q188" s="1"/>
      <c r="R188" s="109" t="s">
        <v>98</v>
      </c>
      <c r="S188" s="52">
        <f>COUNTIF($D$189:$P$189,"*형민*")+COUNTIF($D$194:$P$194,"*형민*")+COUNTIF($D$199:$P$199,"*형민*")+COUNTIF($D$204:$P$204,"*형민*")+COUNTIF($D$213:$P$213,"*형민*")</f>
        <v>0</v>
      </c>
      <c r="T188" s="84">
        <f>COUNTIF($D$190:$P$190,"*형민*")+COUNTIF($D$195:$P$195,"*형민*")+COUNTIF($D$200:$P$200,"*형민*")+COUNTIF($D$205:$P$205,"*형민*")+COUNTIF($D$214:$P$214,"*형민*")</f>
        <v>0</v>
      </c>
      <c r="U188" s="52">
        <f t="shared" ref="U188:U191" si="112">S188*2+T188</f>
        <v>0</v>
      </c>
      <c r="V188" s="49">
        <f>COUNTIF($D$204:$P$205,"*형민*")</f>
        <v>0</v>
      </c>
      <c r="W188" s="49"/>
      <c r="X188" s="84">
        <f>COUNTIF($AC$76:$AO$76,"*형민*")+COUNTIF($AC$78:$AO$78,"*형민*")+COUNTIF($AC$79:$AO$79,"*형민*")+COUNTIF($AC$80:$AO$80,"*형민*")+COUNTIF($AC$82:$AO$82,"*형민*")</f>
        <v>0</v>
      </c>
      <c r="Y188" s="49"/>
      <c r="Z188" s="111">
        <f t="shared" ref="Z188:AA188" si="111">U188+Z151</f>
        <v>3</v>
      </c>
      <c r="AA188" s="120">
        <f t="shared" si="111"/>
        <v>0</v>
      </c>
      <c r="AB188" s="168">
        <f t="shared" ref="AB188:AB190" si="114">X188+AB151</f>
        <v>0</v>
      </c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143"/>
      <c r="AQ188" s="1"/>
      <c r="AR188" s="1"/>
      <c r="AS188" s="1"/>
      <c r="AT188" s="1"/>
      <c r="AU188" s="1"/>
      <c r="AV188" s="1"/>
      <c r="AW188" s="1"/>
      <c r="AX188" s="1"/>
      <c r="AY188" s="1"/>
    </row>
    <row r="189" ht="11.25" customHeight="1">
      <c r="A189" s="1"/>
      <c r="B189" s="1"/>
      <c r="C189" s="1"/>
      <c r="D189" s="1"/>
      <c r="E189" s="1"/>
      <c r="F189" s="1"/>
      <c r="G189" s="1"/>
      <c r="H189" s="49"/>
      <c r="I189" s="49"/>
      <c r="J189" s="1"/>
      <c r="K189" s="49"/>
      <c r="L189" s="49"/>
      <c r="M189" s="1"/>
      <c r="N189" s="49"/>
      <c r="O189" s="49"/>
      <c r="P189" s="1"/>
      <c r="Q189" s="1"/>
      <c r="R189" s="109" t="s">
        <v>62</v>
      </c>
      <c r="S189" s="52">
        <f>COUNTIF($D$189:$P$189,"*효동*")+COUNTIF($D$194:$P$194,"*효동*")+COUNTIF($D$199:$P$199,"*효동*")+COUNTIF($D$204:$P$204,"*효동*")+COUNTIF($D$213:$P$213,"*효동*")</f>
        <v>0</v>
      </c>
      <c r="T189" s="84">
        <f>COUNTIF($D$190:$P$190,"*효동*")+COUNTIF($D$195:$P$195,"*효동*")+COUNTIF($D$200:$P$200,"*효동*")+COUNTIF($D$205:$P$205,"*효동*")+COUNTIF($D$214:$P$214,"*효동*")</f>
        <v>0</v>
      </c>
      <c r="U189" s="52">
        <f t="shared" si="112"/>
        <v>0</v>
      </c>
      <c r="V189" s="49">
        <f>COUNTIF($D$204:$P$205,"*효동*")</f>
        <v>0</v>
      </c>
      <c r="W189" s="49"/>
      <c r="X189" s="84">
        <f>COUNTIF($AC$76:$AO$76,"*효동*")+COUNTIF($AC$78:$AO$78,"*효동*")+COUNTIF($AC$79:$AO$79,"*효동*")+COUNTIF($AC$80:$AO$80,"*효동*")+COUNTIF($AC$82:$AO$82,"*효동*")</f>
        <v>0</v>
      </c>
      <c r="Y189" s="49"/>
      <c r="Z189" s="111">
        <f t="shared" ref="Z189:AA189" si="113">U189+Z152</f>
        <v>2</v>
      </c>
      <c r="AA189" s="120">
        <f t="shared" si="113"/>
        <v>1</v>
      </c>
      <c r="AB189" s="168">
        <f t="shared" si="114"/>
        <v>0</v>
      </c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143"/>
      <c r="AQ189" s="1"/>
      <c r="AR189" s="1"/>
      <c r="AS189" s="1"/>
      <c r="AT189" s="1"/>
      <c r="AU189" s="1"/>
      <c r="AV189" s="1"/>
      <c r="AW189" s="1"/>
      <c r="AX189" s="1"/>
      <c r="AY189" s="1"/>
    </row>
    <row r="190" ht="11.25" customHeight="1">
      <c r="A190" s="1"/>
      <c r="B190" s="1"/>
      <c r="C190" s="1"/>
      <c r="D190" s="1"/>
      <c r="E190" s="1"/>
      <c r="F190" s="1"/>
      <c r="G190" s="1"/>
      <c r="H190" s="49"/>
      <c r="I190" s="49"/>
      <c r="J190" s="1"/>
      <c r="K190" s="49"/>
      <c r="L190" s="49"/>
      <c r="M190" s="1"/>
      <c r="N190" s="49"/>
      <c r="O190" s="49"/>
      <c r="P190" s="1"/>
      <c r="Q190" s="1"/>
      <c r="R190" s="109" t="s">
        <v>102</v>
      </c>
      <c r="S190" s="52">
        <f>COUNTIF($D$189:$P$189,"*상은*")+COUNTIF($D$194:$P$194,"*상은*")+COUNTIF($D$199:$P$199,"*상은*")+COUNTIF($D$204:$P$204,"*상은*")+COUNTIF($D$213:$P$213,"*상은*")</f>
        <v>0</v>
      </c>
      <c r="T190" s="84">
        <f>COUNTIF($D$190:$P$190,"*상은*")+COUNTIF($D$195:$P$195,"*상은*")+COUNTIF($D$200:$P$200,"*상은*")+COUNTIF($D$205:$P$205,"*상은*")+COUNTIF($D$214:$P$214,"*상은*")</f>
        <v>0</v>
      </c>
      <c r="U190" s="52">
        <f t="shared" si="112"/>
        <v>0</v>
      </c>
      <c r="V190" s="49">
        <f>COUNTIF($D$204:$P$205,"*상은*")</f>
        <v>0</v>
      </c>
      <c r="W190" s="49"/>
      <c r="X190" s="84">
        <f>COUNTIF($AC$76:$AO$76,"*상은*")+COUNTIF($AC$78:$AO$78,"*상은*")+COUNTIF($AC$79:$AO$79,"*상은*")+COUNTIF($AC$80:$AO$80,"*상은*")+COUNTIF($AC$82:$AO$82,"*상은*")</f>
        <v>0</v>
      </c>
      <c r="Y190" s="49"/>
      <c r="Z190" s="111">
        <f t="shared" ref="Z190:AA190" si="115">U190+Z153</f>
        <v>2</v>
      </c>
      <c r="AA190" s="120">
        <f t="shared" si="115"/>
        <v>1</v>
      </c>
      <c r="AB190" s="168">
        <f t="shared" si="114"/>
        <v>0</v>
      </c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143"/>
      <c r="AQ190" s="1"/>
      <c r="AR190" s="1"/>
      <c r="AS190" s="1"/>
      <c r="AT190" s="1"/>
      <c r="AU190" s="1"/>
      <c r="AV190" s="1"/>
      <c r="AW190" s="1"/>
      <c r="AX190" s="1"/>
      <c r="AY190" s="1"/>
    </row>
    <row r="191" ht="11.25" customHeight="1">
      <c r="A191" s="1"/>
      <c r="B191" s="1"/>
      <c r="C191" s="1"/>
      <c r="D191" s="1"/>
      <c r="E191" s="1"/>
      <c r="F191" s="1"/>
      <c r="G191" s="1"/>
      <c r="H191" s="49"/>
      <c r="I191" s="49"/>
      <c r="J191" s="1"/>
      <c r="K191" s="49"/>
      <c r="L191" s="49"/>
      <c r="M191" s="1"/>
      <c r="N191" s="49"/>
      <c r="O191" s="49"/>
      <c r="P191" s="1"/>
      <c r="Q191" s="1"/>
      <c r="R191" s="109" t="s">
        <v>104</v>
      </c>
      <c r="S191" s="52">
        <f>COUNTIF($D$189:$P$189,"*준범*")+COUNTIF($D$194:$P$194,"*준범*")+COUNTIF($D$199:$P$199,"*준범*")+COUNTIF($D$204:$P$204,"*준범*")+COUNTIF($D$213:$P$213,"*준범*")</f>
        <v>0</v>
      </c>
      <c r="T191" s="84">
        <f>COUNTIF($D$190:$P$190,"*준범*")+COUNTIF($D$195:$P$195,"*준범*")+COUNTIF($D$200:$P$200,"*준범*")+COUNTIF($D$205:$P$205,"*준범*")+COUNTIF($D$214:$P$214,"*준범*")</f>
        <v>0</v>
      </c>
      <c r="U191" s="52">
        <f t="shared" si="112"/>
        <v>0</v>
      </c>
      <c r="V191" s="49">
        <f>COUNTIF($D$204:$P$205,"*준범*")</f>
        <v>0</v>
      </c>
      <c r="W191" s="49"/>
      <c r="X191" s="84">
        <f>COUNTIF($AC$76:$AO$76,"*준범*")+COUNTIF($AC$78:$AO$78,"*준범*")+COUNTIF($AC$79:$AO$79,"*준범*")+COUNTIF($AC$80:$AO$80,"*준범*")+COUNTIF($AC$82:$AO$82,"*준범*")</f>
        <v>0</v>
      </c>
      <c r="Y191" s="49"/>
      <c r="Z191" s="111">
        <f t="shared" ref="Z191:AA191" si="116">U191+Z155</f>
        <v>0</v>
      </c>
      <c r="AA191" s="120">
        <f t="shared" si="116"/>
        <v>0</v>
      </c>
      <c r="AB191" s="168">
        <f>X191+AB155</f>
        <v>0</v>
      </c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143"/>
      <c r="AQ191" s="1"/>
      <c r="AR191" s="1"/>
      <c r="AS191" s="1"/>
      <c r="AT191" s="1"/>
      <c r="AU191" s="1"/>
      <c r="AV191" s="1"/>
      <c r="AW191" s="1"/>
      <c r="AX191" s="1"/>
      <c r="AY191" s="1"/>
    </row>
    <row r="192" ht="1.5" customHeight="1">
      <c r="A192" s="1"/>
      <c r="B192" s="1"/>
      <c r="C192" s="1"/>
      <c r="D192" s="1"/>
      <c r="E192" s="49"/>
      <c r="F192" s="49"/>
      <c r="G192" s="49"/>
      <c r="H192" s="49"/>
      <c r="I192" s="49"/>
      <c r="J192" s="1"/>
      <c r="K192" s="49"/>
      <c r="L192" s="49"/>
      <c r="M192" s="49"/>
      <c r="N192" s="49"/>
      <c r="O192" s="49"/>
      <c r="P192" s="1"/>
      <c r="Q192" s="1"/>
      <c r="R192" s="109"/>
      <c r="S192" s="52"/>
      <c r="T192" s="84"/>
      <c r="U192" s="52"/>
      <c r="V192" s="49"/>
      <c r="W192" s="49"/>
      <c r="X192" s="84"/>
      <c r="Y192" s="49"/>
      <c r="Z192" s="111"/>
      <c r="AA192" s="120"/>
      <c r="AB192" s="168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143"/>
      <c r="AQ192" s="1"/>
      <c r="AR192" s="1"/>
      <c r="AS192" s="1"/>
      <c r="AT192" s="1"/>
      <c r="AU192" s="1"/>
      <c r="AV192" s="1"/>
      <c r="AW192" s="1"/>
      <c r="AX192" s="1"/>
      <c r="AY192" s="1"/>
    </row>
    <row r="193" ht="11.25" customHeight="1">
      <c r="A193" s="1"/>
      <c r="B193" s="1"/>
      <c r="C193" s="1"/>
      <c r="D193" s="1"/>
      <c r="E193" s="1"/>
      <c r="F193" s="1"/>
      <c r="G193" s="1"/>
      <c r="H193" s="49"/>
      <c r="I193" s="49"/>
      <c r="J193" s="1"/>
      <c r="K193" s="49"/>
      <c r="L193" s="49"/>
      <c r="M193" s="1"/>
      <c r="N193" s="49"/>
      <c r="O193" s="49"/>
      <c r="P193" s="1"/>
      <c r="Q193" s="1"/>
      <c r="R193" s="109" t="s">
        <v>105</v>
      </c>
      <c r="S193" s="52">
        <f>COUNTIF($D$189:$P$189,"*aaa*")+COUNTIF($D$194:$P$194,"*aaa*")+COUNTIF($D$199:$P$199,"*aaa*")+COUNTIF($D$204:$P$204,"*aaa*")+COUNTIF($D$213:$P$213,"*aaa*")</f>
        <v>0</v>
      </c>
      <c r="T193" s="84">
        <f>COUNTIF($D$190:$P$190,"*aaa*")+COUNTIF($D$195:$P$195,"*aaa*")+COUNTIF($D$200:$P$200,"*aaa*")+COUNTIF($D$205:$P$205,"*aaa*")+COUNTIF($D$214:$P$214,"*aaa*")</f>
        <v>0</v>
      </c>
      <c r="U193" s="52">
        <f t="shared" ref="U193:U196" si="118">S193*2+T193</f>
        <v>0</v>
      </c>
      <c r="V193" s="49">
        <f>COUNTIF($D$204:$P$205,"*aaa*")</f>
        <v>0</v>
      </c>
      <c r="W193" s="49"/>
      <c r="X193" s="84">
        <f>COUNTIF($AC$76:$AO$76,"*aaa*")+COUNTIF($AC$78:$AO$78,"*aaa*")+COUNTIF($AC$79:$AO$79,"*aaa*")+COUNTIF($AC$80:$AO$80,"*aaa*")+COUNTIF($AC$82:$AO$82,"*aaa*")</f>
        <v>0</v>
      </c>
      <c r="Y193" s="49"/>
      <c r="Z193" s="111">
        <f t="shared" ref="Z193:AA193" si="117">U193+Z156</f>
        <v>0</v>
      </c>
      <c r="AA193" s="120">
        <f t="shared" si="117"/>
        <v>0</v>
      </c>
      <c r="AB193" s="168">
        <f t="shared" ref="AB193:AB195" si="120">X193+AB156</f>
        <v>0</v>
      </c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143"/>
      <c r="AQ193" s="1"/>
      <c r="AR193" s="1"/>
      <c r="AS193" s="1"/>
      <c r="AT193" s="1"/>
      <c r="AU193" s="1"/>
      <c r="AV193" s="1"/>
      <c r="AW193" s="1"/>
      <c r="AX193" s="1"/>
      <c r="AY193" s="1"/>
    </row>
    <row r="194" ht="11.25" customHeight="1">
      <c r="A194" s="1"/>
      <c r="B194" s="1"/>
      <c r="C194" s="1"/>
      <c r="D194" s="1"/>
      <c r="E194" s="1"/>
      <c r="F194" s="1"/>
      <c r="G194" s="1"/>
      <c r="H194" s="49"/>
      <c r="I194" s="49"/>
      <c r="J194" s="1"/>
      <c r="K194" s="49"/>
      <c r="L194" s="49"/>
      <c r="M194" s="1"/>
      <c r="N194" s="49"/>
      <c r="O194" s="49"/>
      <c r="P194" s="1"/>
      <c r="Q194" s="1"/>
      <c r="R194" s="109" t="s">
        <v>108</v>
      </c>
      <c r="S194" s="52">
        <f>COUNTIF($D$189:$P$189,"*최근*")+COUNTIF($D$194:$P$194,"*최근*")+COUNTIF($D$199:$P$199,"*최근*")+COUNTIF($D$204:$P$204,"*최근*")+COUNTIF($D$213:$P$213,"*최근*")</f>
        <v>0</v>
      </c>
      <c r="T194" s="84">
        <f>COUNTIF($D$190:$P$190,"*최근*")+COUNTIF($D$195:$P$195,"*최근*")+COUNTIF($D$200:$P$200,"*최근*")+COUNTIF($D$205:$P$205,"*최근*")+COUNTIF($D$214:$P$214,"*최근*")</f>
        <v>0</v>
      </c>
      <c r="U194" s="52">
        <f t="shared" si="118"/>
        <v>0</v>
      </c>
      <c r="V194" s="49">
        <f>COUNTIF($D$204:$P$205,"*최근*")</f>
        <v>0</v>
      </c>
      <c r="W194" s="49"/>
      <c r="X194" s="84">
        <f>COUNTIF($AC$76:$AO$76,"*최근*")+COUNTIF($AC$78:$AO$78,"*최근*")+COUNTIF($AC$79:$AO$79,"*최근*")+COUNTIF($AC$80:$AO$80,"*최근*")+COUNTIF($AC$82:$AO$82,"*최근*")</f>
        <v>0</v>
      </c>
      <c r="Y194" s="49"/>
      <c r="Z194" s="111">
        <f t="shared" ref="Z194:AA194" si="119">U194+Z157</f>
        <v>0</v>
      </c>
      <c r="AA194" s="120">
        <f t="shared" si="119"/>
        <v>0</v>
      </c>
      <c r="AB194" s="168">
        <f t="shared" si="120"/>
        <v>0</v>
      </c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143"/>
      <c r="AQ194" s="1"/>
      <c r="AR194" s="1"/>
      <c r="AS194" s="1"/>
      <c r="AT194" s="1"/>
      <c r="AU194" s="1"/>
      <c r="AV194" s="1"/>
      <c r="AW194" s="1"/>
      <c r="AX194" s="1"/>
      <c r="AY194" s="1"/>
    </row>
    <row r="195" ht="11.25" customHeight="1">
      <c r="A195" s="1"/>
      <c r="B195" s="1"/>
      <c r="C195" s="1"/>
      <c r="D195" s="1"/>
      <c r="E195" s="1"/>
      <c r="F195" s="1"/>
      <c r="G195" s="1"/>
      <c r="H195" s="49"/>
      <c r="I195" s="49"/>
      <c r="J195" s="1"/>
      <c r="K195" s="49"/>
      <c r="L195" s="49"/>
      <c r="M195" s="1"/>
      <c r="N195" s="49"/>
      <c r="O195" s="49"/>
      <c r="P195" s="1"/>
      <c r="Q195" s="1"/>
      <c r="R195" s="109" t="s">
        <v>95</v>
      </c>
      <c r="S195" s="52">
        <f>COUNTIF($D$189:$P$189,"*상록*")+COUNTIF($D$194:$P$194,"*상록*")+COUNTIF($D$199:$P$199,"*상록*")+COUNTIF($D$204:$P$204,"*상록*")+COUNTIF($D$213:$P$213,"*상록*")</f>
        <v>0</v>
      </c>
      <c r="T195" s="84">
        <f>COUNTIF($D$190:$P$190,"*상록*")+COUNTIF($D$195:$P$195,"*상록*")+COUNTIF($D$200:$P$200,"*상록*")+COUNTIF($D$205:$P$205,"*상록*")+COUNTIF($D$214:$P$214,"*상록*")</f>
        <v>0</v>
      </c>
      <c r="U195" s="52">
        <f t="shared" si="118"/>
        <v>0</v>
      </c>
      <c r="V195" s="49">
        <f>COUNTIF($D$204:$P$205,"*상록*")</f>
        <v>0</v>
      </c>
      <c r="W195" s="1"/>
      <c r="X195" s="84">
        <f>COUNTIF($AC$76:$AO$76,"*상록*")+COUNTIF($AC$78:$AO$78,"*상록*")+COUNTIF($AC$79:$AO$79,"*상록*")+COUNTIF($AC$80:$AO$80,"*상록*")+COUNTIF($AC$82:$AO$82,"*상록*")</f>
        <v>0</v>
      </c>
      <c r="Y195" s="1"/>
      <c r="Z195" s="111">
        <f t="shared" ref="Z195:AA195" si="121">U195+Z158</f>
        <v>2</v>
      </c>
      <c r="AA195" s="120">
        <f t="shared" si="121"/>
        <v>0</v>
      </c>
      <c r="AB195" s="168">
        <f t="shared" si="120"/>
        <v>0</v>
      </c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143"/>
      <c r="AQ195" s="1"/>
      <c r="AR195" s="1"/>
      <c r="AS195" s="1"/>
      <c r="AT195" s="1"/>
      <c r="AU195" s="1"/>
      <c r="AV195" s="1"/>
      <c r="AW195" s="1"/>
      <c r="AX195" s="1"/>
      <c r="AY195" s="1"/>
    </row>
    <row r="196" ht="11.25" customHeight="1">
      <c r="A196" s="1"/>
      <c r="B196" s="1"/>
      <c r="C196" s="1"/>
      <c r="D196" s="1"/>
      <c r="E196" s="1"/>
      <c r="F196" s="1"/>
      <c r="G196" s="1"/>
      <c r="H196" s="49"/>
      <c r="I196" s="49"/>
      <c r="J196" s="1"/>
      <c r="K196" s="49"/>
      <c r="L196" s="49"/>
      <c r="M196" s="1"/>
      <c r="N196" s="49"/>
      <c r="O196" s="49"/>
      <c r="P196" s="1"/>
      <c r="Q196" s="1"/>
      <c r="R196" s="109" t="s">
        <v>74</v>
      </c>
      <c r="S196" s="52">
        <f>COUNTIF($D$189:$P$189,"*신우*")+COUNTIF($D$194:$P$194,"*신우*")+COUNTIF($D$199:$P$199,"*신우*")+COUNTIF($D$204:$P$204,"*신우*")+COUNTIF($D$213:$P$213,"*신우*")</f>
        <v>0</v>
      </c>
      <c r="T196" s="84">
        <f>COUNTIF($D$190:$P$190,"*신우*")+COUNTIF($D$195:$P$195,"*신우*")+COUNTIF($D$200:$P$200,"*신우*")+COUNTIF($D$205:$P$205,"*신우*")+COUNTIF($D$214:$P$214,"*신우*")</f>
        <v>0</v>
      </c>
      <c r="U196" s="52">
        <f t="shared" si="118"/>
        <v>0</v>
      </c>
      <c r="V196" s="49">
        <f>COUNTIF($D$204:$P$205,"*신우*")</f>
        <v>0</v>
      </c>
      <c r="W196" s="1"/>
      <c r="X196" s="84">
        <f>COUNTIF($AC$76:$AO$76,"*신우*")+COUNTIF($AC$78:$AO$78,"*신우*")+COUNTIF($AC$79:$AO$79,"*신우*")+COUNTIF($AC$80:$AO$80,"*신우*")+COUNTIF($AC$82:$AO$82,"*신우*")</f>
        <v>0</v>
      </c>
      <c r="Y196" s="1"/>
      <c r="Z196" s="111">
        <f t="shared" ref="Z196:AA196" si="122">U196+Z160</f>
        <v>3</v>
      </c>
      <c r="AA196" s="120">
        <f t="shared" si="122"/>
        <v>1</v>
      </c>
      <c r="AB196" s="168">
        <f>X196+AB160</f>
        <v>0</v>
      </c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143"/>
      <c r="AQ196" s="1"/>
      <c r="AR196" s="1"/>
      <c r="AS196" s="1"/>
      <c r="AT196" s="1"/>
      <c r="AU196" s="1"/>
      <c r="AV196" s="1"/>
      <c r="AW196" s="1"/>
      <c r="AX196" s="1"/>
      <c r="AY196" s="1"/>
    </row>
    <row r="197" ht="1.5" customHeight="1">
      <c r="A197" s="1"/>
      <c r="B197" s="1"/>
      <c r="C197" s="1"/>
      <c r="D197" s="1"/>
      <c r="E197" s="49"/>
      <c r="F197" s="49"/>
      <c r="G197" s="49"/>
      <c r="H197" s="49"/>
      <c r="I197" s="49"/>
      <c r="J197" s="1"/>
      <c r="K197" s="49"/>
      <c r="L197" s="49"/>
      <c r="M197" s="49"/>
      <c r="N197" s="49"/>
      <c r="O197" s="49"/>
      <c r="P197" s="1"/>
      <c r="Q197" s="1"/>
      <c r="R197" s="109"/>
      <c r="S197" s="123"/>
      <c r="T197" s="79"/>
      <c r="U197" s="123"/>
      <c r="V197" s="1"/>
      <c r="W197" s="1"/>
      <c r="X197" s="84"/>
      <c r="Y197" s="1"/>
      <c r="Z197" s="111"/>
      <c r="AA197" s="120"/>
      <c r="AB197" s="168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143"/>
      <c r="AQ197" s="1"/>
      <c r="AR197" s="1"/>
      <c r="AS197" s="1"/>
      <c r="AT197" s="1"/>
      <c r="AU197" s="1"/>
      <c r="AV197" s="1"/>
      <c r="AW197" s="1"/>
      <c r="AX197" s="1"/>
      <c r="AY197" s="1"/>
    </row>
    <row r="198" ht="11.25" customHeight="1">
      <c r="A198" s="1"/>
      <c r="B198" s="1"/>
      <c r="C198" s="1"/>
      <c r="D198" s="1"/>
      <c r="E198" s="1"/>
      <c r="F198" s="1"/>
      <c r="G198" s="1"/>
      <c r="H198" s="49"/>
      <c r="I198" s="49"/>
      <c r="J198" s="1"/>
      <c r="K198" s="49"/>
      <c r="L198" s="49"/>
      <c r="M198" s="1"/>
      <c r="N198" s="49"/>
      <c r="O198" s="49"/>
      <c r="P198" s="1"/>
      <c r="Q198" s="1"/>
      <c r="R198" s="109" t="s">
        <v>54</v>
      </c>
      <c r="S198" s="52">
        <f>COUNTIF($D$189:$P$189,"*다운*")+COUNTIF($D$194:$P$194,"*다운*")+COUNTIF($D$199:$P$199,"*다운*")+COUNTIF($D$204:$P$204,"*다운*")+COUNTIF($D$213:$P$213,"*다운*")</f>
        <v>0</v>
      </c>
      <c r="T198" s="84">
        <f>COUNTIF($D$190:$P$190,"*다운*")+COUNTIF($D$195:$P$195,"*다운*")+COUNTIF($D$200:$P$200,"*다운*")+COUNTIF($D$205:$P$205,"*다운*")+COUNTIF($D$214:$P$214,"*다운*")</f>
        <v>0</v>
      </c>
      <c r="U198" s="52">
        <f t="shared" ref="U198:U201" si="124">S198*2+T198</f>
        <v>0</v>
      </c>
      <c r="V198" s="49">
        <f>COUNTIF($D$204:$P$205,"*다운*")</f>
        <v>0</v>
      </c>
      <c r="W198" s="1"/>
      <c r="X198" s="84">
        <f>COUNTIF($AC$76:$AO$76,"*다운*")+COUNTIF($AC$78:$AO$78,"*다운*")+COUNTIF($AC$79:$AO$79,"*다운*")+COUNTIF($AC$80:$AO$80,"*다운*")+COUNTIF($AC$82:$AO$82,"*다운*")</f>
        <v>0</v>
      </c>
      <c r="Y198" s="1"/>
      <c r="Z198" s="111">
        <f t="shared" ref="Z198:AA198" si="123">U198+Z161</f>
        <v>2</v>
      </c>
      <c r="AA198" s="120">
        <f t="shared" si="123"/>
        <v>0</v>
      </c>
      <c r="AB198" s="168">
        <f t="shared" ref="AB198:AB199" si="126">X198+AB161</f>
        <v>0</v>
      </c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143"/>
      <c r="AQ198" s="1"/>
      <c r="AR198" s="1"/>
      <c r="AS198" s="1"/>
      <c r="AT198" s="1"/>
      <c r="AU198" s="1"/>
      <c r="AV198" s="1"/>
      <c r="AW198" s="1"/>
      <c r="AX198" s="1"/>
      <c r="AY198" s="1"/>
    </row>
    <row r="199" ht="11.25" customHeight="1">
      <c r="A199" s="1"/>
      <c r="B199" s="1"/>
      <c r="C199" s="1"/>
      <c r="D199" s="1"/>
      <c r="E199" s="1"/>
      <c r="F199" s="1"/>
      <c r="G199" s="1"/>
      <c r="H199" s="49"/>
      <c r="I199" s="49"/>
      <c r="J199" s="1"/>
      <c r="K199" s="49"/>
      <c r="L199" s="49"/>
      <c r="M199" s="1"/>
      <c r="N199" s="49"/>
      <c r="O199" s="49"/>
      <c r="P199" s="1"/>
      <c r="Q199" s="1"/>
      <c r="R199" s="109" t="s">
        <v>100</v>
      </c>
      <c r="S199" s="52">
        <f>COUNTIF($D$189:$P$189,"*지성*")+COUNTIF($D$194:$P$194,"*지성*")+COUNTIF($D$199:$P$199,"*지성*")+COUNTIF($D$204:$P$204,"*지성*")+COUNTIF($D$213:$P$213,"*지성*")</f>
        <v>0</v>
      </c>
      <c r="T199" s="84">
        <f>COUNTIF($D$190:$P$190,"*지성*")+COUNTIF($D$195:$P$195,"*지성*")+COUNTIF($D$200:$P$200,"*지성*")+COUNTIF($D$205:$P$205,"*지성*")+COUNTIF($D$214:$P$214,"*지성*")</f>
        <v>0</v>
      </c>
      <c r="U199" s="52">
        <f t="shared" si="124"/>
        <v>0</v>
      </c>
      <c r="V199" s="49">
        <f>COUNTIF($D$204:$P$205,"*지성*")</f>
        <v>0</v>
      </c>
      <c r="W199" s="1"/>
      <c r="X199" s="84">
        <f>COUNTIF($AC$76:$AO$76,"*지성*")+COUNTIF($AC$78:$AO$78,"*지성*")+COUNTIF($AC$79:$AO$79,"*지성*")+COUNTIF($AC$80:$AO$80,"*지성*")+COUNTIF($AC$82:$AO$82,"*지성*")</f>
        <v>0</v>
      </c>
      <c r="Y199" s="1"/>
      <c r="Z199" s="111">
        <f t="shared" ref="Z199:AA199" si="125">U199+Z162</f>
        <v>2</v>
      </c>
      <c r="AA199" s="120">
        <f t="shared" si="125"/>
        <v>0</v>
      </c>
      <c r="AB199" s="168">
        <f t="shared" si="126"/>
        <v>0</v>
      </c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143"/>
      <c r="AQ199" s="1"/>
      <c r="AR199" s="1"/>
      <c r="AS199" s="1"/>
      <c r="AT199" s="1"/>
      <c r="AU199" s="1"/>
      <c r="AV199" s="1"/>
      <c r="AW199" s="1"/>
      <c r="AX199" s="1"/>
      <c r="AY199" s="1"/>
    </row>
    <row r="200" ht="11.25" customHeight="1">
      <c r="A200" s="1"/>
      <c r="B200" s="1"/>
      <c r="C200" s="1"/>
      <c r="D200" s="1"/>
      <c r="E200" s="1"/>
      <c r="F200" s="1"/>
      <c r="G200" s="1"/>
      <c r="H200" s="49"/>
      <c r="I200" s="49"/>
      <c r="J200" s="1"/>
      <c r="K200" s="49"/>
      <c r="L200" s="49"/>
      <c r="M200" s="1"/>
      <c r="N200" s="49"/>
      <c r="O200" s="49"/>
      <c r="P200" s="1"/>
      <c r="Q200" s="1"/>
      <c r="R200" s="109" t="s">
        <v>103</v>
      </c>
      <c r="S200" s="52">
        <f>COUNTIF($D$189:$P$189,"*용철*")+COUNTIF($D$194:$P$194,"*용철*")+COUNTIF($D$199:$P$199,"*용철*")+COUNTIF($D$204:$P$204,"*용철*")+COUNTIF($D$213:$P$213,"*용철*")</f>
        <v>0</v>
      </c>
      <c r="T200" s="84">
        <f>COUNTIF($D$190:$P$190,"*용철*")+COUNTIF($D$195:$P$195,"*용철*")+COUNTIF($D$200:$P$200,"*용철*")+COUNTIF($D$205:$P$205,"*용철*")+COUNTIF($D$214:$P$214,"*용철*")</f>
        <v>0</v>
      </c>
      <c r="U200" s="52">
        <f t="shared" si="124"/>
        <v>0</v>
      </c>
      <c r="V200" s="49">
        <f>COUNTIF($D$204:$P$205,"*용철*")</f>
        <v>0</v>
      </c>
      <c r="W200" s="1"/>
      <c r="X200" s="84">
        <f>COUNTIF($AC$76:$AO$76,"*용철*")+COUNTIF($AC$78:$AO$78,"*용철*")+COUNTIF($AC$79:$AO$79,"*용철*")+COUNTIF($AC$80:$AO$80,"*용철*")+COUNTIF($AC$82:$AO$82,"*용철*")</f>
        <v>0</v>
      </c>
      <c r="Y200" s="1"/>
      <c r="Z200" s="111">
        <f t="shared" ref="Z200:AA200" si="127">U200+Z164</f>
        <v>3</v>
      </c>
      <c r="AA200" s="120">
        <f t="shared" si="127"/>
        <v>0</v>
      </c>
      <c r="AB200" s="168">
        <f t="shared" ref="AB200:AB201" si="129">X200+AB164</f>
        <v>0</v>
      </c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143"/>
      <c r="AQ200" s="1"/>
      <c r="AR200" s="1"/>
      <c r="AS200" s="1"/>
      <c r="AT200" s="1"/>
      <c r="AU200" s="1"/>
      <c r="AV200" s="1"/>
      <c r="AW200" s="1"/>
      <c r="AX200" s="1"/>
      <c r="AY200" s="1"/>
    </row>
    <row r="201" ht="11.25" customHeight="1">
      <c r="A201" s="1"/>
      <c r="B201" s="1"/>
      <c r="C201" s="1"/>
      <c r="D201" s="1"/>
      <c r="E201" s="1"/>
      <c r="F201" s="1"/>
      <c r="G201" s="1"/>
      <c r="H201" s="49"/>
      <c r="I201" s="49"/>
      <c r="J201" s="1"/>
      <c r="K201" s="49"/>
      <c r="L201" s="49"/>
      <c r="M201" s="1"/>
      <c r="N201" s="49"/>
      <c r="O201" s="49"/>
      <c r="P201" s="1"/>
      <c r="Q201" s="1"/>
      <c r="R201" s="109" t="s">
        <v>76</v>
      </c>
      <c r="S201" s="52">
        <f>COUNTIF($D$189:$P$189,"*윤호*")+COUNTIF($D$194:$P$194,"*윤호*")+COUNTIF($D$199:$P$199,"*윤호*")+COUNTIF($D$204:$P$204,"*윤호*")+COUNTIF($D$213:$P$213,"*윤호*")</f>
        <v>0</v>
      </c>
      <c r="T201" s="84">
        <f>COUNTIF($D$190:$P$190,"*윤호*")+COUNTIF($D$195:$P$195,"*윤호*")+COUNTIF($D$200:$P$200,"*윤호*")+COUNTIF($D$205:$P$205,"*윤호*")+COUNTIF($D$214:$P$214,"*윤호*")</f>
        <v>0</v>
      </c>
      <c r="U201" s="52">
        <f t="shared" si="124"/>
        <v>0</v>
      </c>
      <c r="V201" s="49">
        <f>COUNTIF($D$204:$P$205,"*윤호*")</f>
        <v>0</v>
      </c>
      <c r="W201" s="1"/>
      <c r="X201" s="84">
        <f>COUNTIF($AC$76:$AO$76,"*윤호*")+COUNTIF($AC$78:$AO$78,"*윤호*")+COUNTIF($AC$79:$AO$79,"*윤호*")+COUNTIF($AC$80:$AO$80,"*윤호*")+COUNTIF($AC$82:$AO$82,"*윤호*")</f>
        <v>0</v>
      </c>
      <c r="Y201" s="1"/>
      <c r="Z201" s="111">
        <f t="shared" ref="Z201:AA201" si="128">U201+Z165</f>
        <v>1</v>
      </c>
      <c r="AA201" s="120">
        <f t="shared" si="128"/>
        <v>0</v>
      </c>
      <c r="AB201" s="168">
        <f t="shared" si="129"/>
        <v>0</v>
      </c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143"/>
      <c r="AQ201" s="1"/>
      <c r="AR201" s="1"/>
      <c r="AS201" s="1"/>
      <c r="AT201" s="1"/>
      <c r="AU201" s="1"/>
      <c r="AV201" s="1"/>
      <c r="AW201" s="1"/>
      <c r="AX201" s="1"/>
      <c r="AY201" s="1"/>
    </row>
    <row r="202" ht="1.5" customHeight="1">
      <c r="A202" s="1"/>
      <c r="B202" s="1"/>
      <c r="C202" s="1"/>
      <c r="D202" s="1"/>
      <c r="E202" s="49"/>
      <c r="F202" s="49"/>
      <c r="G202" s="49"/>
      <c r="H202" s="49"/>
      <c r="I202" s="49"/>
      <c r="J202" s="1"/>
      <c r="K202" s="49"/>
      <c r="L202" s="49"/>
      <c r="M202" s="49"/>
      <c r="N202" s="49"/>
      <c r="O202" s="49"/>
      <c r="P202" s="1"/>
      <c r="Q202" s="1"/>
      <c r="R202" s="109"/>
      <c r="S202" s="123"/>
      <c r="T202" s="79"/>
      <c r="U202" s="123"/>
      <c r="V202" s="1"/>
      <c r="W202" s="1"/>
      <c r="X202" s="84"/>
      <c r="Y202" s="1"/>
      <c r="Z202" s="111"/>
      <c r="AA202" s="120"/>
      <c r="AB202" s="168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143"/>
      <c r="AQ202" s="1"/>
      <c r="AR202" s="1"/>
      <c r="AS202" s="1"/>
      <c r="AT202" s="1"/>
      <c r="AU202" s="1"/>
      <c r="AV202" s="1"/>
      <c r="AW202" s="1"/>
      <c r="AX202" s="1"/>
      <c r="AY202" s="1"/>
    </row>
    <row r="203" ht="11.25" customHeight="1">
      <c r="A203" s="1"/>
      <c r="B203" s="1"/>
      <c r="C203" s="1"/>
      <c r="D203" s="1"/>
      <c r="E203" s="1"/>
      <c r="F203" s="1"/>
      <c r="G203" s="1"/>
      <c r="H203" s="49"/>
      <c r="I203" s="49"/>
      <c r="J203" s="1"/>
      <c r="K203" s="49"/>
      <c r="L203" s="49"/>
      <c r="M203" s="1"/>
      <c r="N203" s="49"/>
      <c r="O203" s="49"/>
      <c r="P203" s="1"/>
      <c r="Q203" s="1"/>
      <c r="R203" s="109" t="s">
        <v>117</v>
      </c>
      <c r="S203" s="52">
        <f>COUNTIF($D$189:$P$189,"*정은*")+COUNTIF($D$194:$P$194,"*정은*")+COUNTIF($D$199:$P$199,"*정은*")+COUNTIF($D$204:$P$204,"*정은*")+COUNTIF($D$213:$P$213,"*정은*")</f>
        <v>0</v>
      </c>
      <c r="T203" s="84">
        <f>COUNTIF($D$190:$P$190,"*정은*")+COUNTIF($D$195:$P$195,"*정은*")+COUNTIF($D$200:$P$200,"*정은*")+COUNTIF($D$205:$P$205,"*정은*")+COUNTIF($D$214:$P$214,"*정은*")</f>
        <v>0</v>
      </c>
      <c r="U203" s="52">
        <f t="shared" ref="U203:U206" si="131">S203*2+T203</f>
        <v>0</v>
      </c>
      <c r="V203" s="49">
        <f>COUNTIF($D$204:$P$205,"*정은*")</f>
        <v>0</v>
      </c>
      <c r="W203" s="1"/>
      <c r="X203" s="84">
        <f>COUNTIF($AC$76:$AO$76,"*정은*")+COUNTIF($AC$78:$AO$78,"*정은*")+COUNTIF($AC$79:$AO$79,"*정은*")+COUNTIF($AC$80:$AO$80,"*정은*")+COUNTIF($AC$82:$AO$82,"*정은*")</f>
        <v>0</v>
      </c>
      <c r="Y203" s="1"/>
      <c r="Z203" s="111">
        <f t="shared" ref="Z203:AA203" si="130">U203+Z166</f>
        <v>2</v>
      </c>
      <c r="AA203" s="120">
        <f t="shared" si="130"/>
        <v>0</v>
      </c>
      <c r="AB203" s="168">
        <f t="shared" ref="AB203:AB204" si="133">X203+AB166</f>
        <v>0</v>
      </c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143"/>
      <c r="AQ203" s="1"/>
      <c r="AR203" s="1"/>
      <c r="AS203" s="1"/>
      <c r="AT203" s="1"/>
      <c r="AU203" s="1"/>
      <c r="AV203" s="1"/>
      <c r="AW203" s="1"/>
      <c r="AX203" s="1"/>
      <c r="AY203" s="1"/>
    </row>
    <row r="204" ht="11.25" customHeight="1">
      <c r="A204" s="1"/>
      <c r="B204" s="1"/>
      <c r="C204" s="1"/>
      <c r="D204" s="1"/>
      <c r="E204" s="1"/>
      <c r="F204" s="1"/>
      <c r="G204" s="1"/>
      <c r="H204" s="49"/>
      <c r="I204" s="49"/>
      <c r="J204" s="1"/>
      <c r="K204" s="49"/>
      <c r="L204" s="49"/>
      <c r="M204" s="1"/>
      <c r="N204" s="49"/>
      <c r="O204" s="49"/>
      <c r="P204" s="1"/>
      <c r="Q204" s="1"/>
      <c r="R204" s="109" t="s">
        <v>120</v>
      </c>
      <c r="S204" s="52">
        <f>COUNTIF($D$189:$P$189,"*지현*")+COUNTIF($D$194:$P$194,"*지현*")+COUNTIF($D$199:$P$199,"*지현*")+COUNTIF($D$204:$P$204,"*지현*")+COUNTIF($D$213:$P$213,"*지현*")</f>
        <v>0</v>
      </c>
      <c r="T204" s="84">
        <f>COUNTIF($D$190:$P$190,"*지현*")+COUNTIF($D$195:$P$195,"*지현*")+COUNTIF($D$200:$P$200,"*지현*")+COUNTIF($D$205:$P$205,"*지현*")+COUNTIF($D$214:$P$214,"*지현*")</f>
        <v>0</v>
      </c>
      <c r="U204" s="52">
        <f t="shared" si="131"/>
        <v>0</v>
      </c>
      <c r="V204" s="49">
        <f>COUNTIF($D$204:$P$205,"*지현*")</f>
        <v>0</v>
      </c>
      <c r="W204" s="1"/>
      <c r="X204" s="84">
        <f>COUNTIF($AC$76:$AO$76,"*지현*")+COUNTIF($AC$78:$AO$78,"*지현*")+COUNTIF($AC$79:$AO$79,"*지현*")+COUNTIF($AC$80:$AO$80,"*지현*")+COUNTIF($AC$82:$AO$82,"*지현*")</f>
        <v>0</v>
      </c>
      <c r="Y204" s="1"/>
      <c r="Z204" s="111">
        <f t="shared" ref="Z204:AA204" si="132">U204+Z167</f>
        <v>2</v>
      </c>
      <c r="AA204" s="120">
        <f t="shared" si="132"/>
        <v>0</v>
      </c>
      <c r="AB204" s="168">
        <f t="shared" si="133"/>
        <v>0</v>
      </c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143"/>
      <c r="AQ204" s="1"/>
      <c r="AR204" s="1"/>
      <c r="AS204" s="1"/>
      <c r="AT204" s="1"/>
      <c r="AU204" s="1"/>
      <c r="AV204" s="1"/>
      <c r="AW204" s="1"/>
      <c r="AX204" s="1"/>
      <c r="AY204" s="1"/>
    </row>
    <row r="205" ht="11.25" customHeight="1">
      <c r="A205" s="1"/>
      <c r="B205" s="1"/>
      <c r="C205" s="1"/>
      <c r="D205" s="1"/>
      <c r="E205" s="1"/>
      <c r="F205" s="1"/>
      <c r="G205" s="1"/>
      <c r="H205" s="49"/>
      <c r="I205" s="49"/>
      <c r="J205" s="1"/>
      <c r="K205" s="49"/>
      <c r="L205" s="49"/>
      <c r="M205" s="1"/>
      <c r="N205" s="49"/>
      <c r="O205" s="49"/>
      <c r="P205" s="1"/>
      <c r="Q205" s="1"/>
      <c r="R205" s="109" t="s">
        <v>122</v>
      </c>
      <c r="S205" s="52">
        <f>COUNTIF($D$189:$P$189,"*태우*")+COUNTIF($D$194:$P$194,"*태우*")+COUNTIF($D$199:$P$199,"*태우*")+COUNTIF($D$204:$P$204,"*태우*")+COUNTIF($D$213:$P$213,"*태우*")</f>
        <v>0</v>
      </c>
      <c r="T205" s="84">
        <f>COUNTIF($D$190:$P$190,"*태우*")+COUNTIF($D$195:$P$195,"*태우*")+COUNTIF($D$200:$P$200,"*태우*")+COUNTIF($D$205:$P$205,"*태우*")+COUNTIF($D$214:$P$214,"*태우*")</f>
        <v>0</v>
      </c>
      <c r="U205" s="52">
        <f t="shared" si="131"/>
        <v>0</v>
      </c>
      <c r="V205" s="49">
        <f>COUNTIF($D$204:$P$205,"*태우*")</f>
        <v>0</v>
      </c>
      <c r="W205" s="1"/>
      <c r="X205" s="84">
        <f>COUNTIF($AC$76:$AO$76,"*태우*")+COUNTIF($AC$78:$AO$78,"*태우*")+COUNTIF($AC$79:$AO$79,"*태우*")+COUNTIF($AC$80:$AO$80,"*태우*")+COUNTIF($AC$82:$AO$82,"*태우*")</f>
        <v>0</v>
      </c>
      <c r="Y205" s="1"/>
      <c r="Z205" s="111">
        <f t="shared" ref="Z205:AA205" si="134">U205+Z169</f>
        <v>0</v>
      </c>
      <c r="AA205" s="120">
        <f t="shared" si="134"/>
        <v>0</v>
      </c>
      <c r="AB205" s="168">
        <f t="shared" ref="AB205:AB206" si="135">X205+AB169</f>
        <v>0</v>
      </c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143"/>
      <c r="AQ205" s="1"/>
      <c r="AR205" s="1"/>
      <c r="AS205" s="1"/>
      <c r="AT205" s="1"/>
      <c r="AU205" s="1"/>
      <c r="AV205" s="1"/>
      <c r="AW205" s="1"/>
      <c r="AX205" s="1"/>
      <c r="AY205" s="1"/>
    </row>
    <row r="206" ht="11.25" customHeight="1">
      <c r="A206" s="1"/>
      <c r="B206" s="1"/>
      <c r="C206" s="1"/>
      <c r="D206" s="1"/>
      <c r="E206" s="1"/>
      <c r="F206" s="1"/>
      <c r="G206" s="1"/>
      <c r="H206" s="49"/>
      <c r="I206" s="49"/>
      <c r="J206" s="1"/>
      <c r="K206" s="49"/>
      <c r="L206" s="49"/>
      <c r="M206" s="1"/>
      <c r="N206" s="49"/>
      <c r="O206" s="49"/>
      <c r="P206" s="1"/>
      <c r="Q206" s="1"/>
      <c r="R206" s="109" t="s">
        <v>124</v>
      </c>
      <c r="S206" s="52">
        <f>COUNTIF($D$189:$P$189,"*훈*")+COUNTIF($D$194:$P$194,"*훈*")+COUNTIF($D$199:$P$199,"*훈*")+COUNTIF($D$204:$P$204,"*훈*")+COUNTIF($D$213:$P$213,"*훈*")</f>
        <v>0</v>
      </c>
      <c r="T206" s="84">
        <f>COUNTIF($D$190:$P$190,"*훈*")+COUNTIF($D$195:$P$195,"*훈*")+COUNTIF($D$200:$P$200,"*훈*")+COUNTIF($D$205:$P$205,"*훈*")+COUNTIF($D$214:$P$214,"*훈*")</f>
        <v>0</v>
      </c>
      <c r="U206" s="52">
        <f t="shared" si="131"/>
        <v>0</v>
      </c>
      <c r="V206" s="49">
        <f>COUNTIF($D$204:$P$205,"*훈*")</f>
        <v>0</v>
      </c>
      <c r="W206" s="49"/>
      <c r="X206" s="84">
        <f>COUNTIF($AC$76:$AO$76,"*훈*")+COUNTIF($AC$78:$AO$78,"*훈*")+COUNTIF($AC$79:$AO$79,"*훈*")+COUNTIF($AC$80:$AO$80,"*훈*")+COUNTIF($AC$82:$AO$82,"*훈*")</f>
        <v>0</v>
      </c>
      <c r="Y206" s="49"/>
      <c r="Z206" s="111">
        <f>U206+Z169</f>
        <v>0</v>
      </c>
      <c r="AA206" s="120">
        <f>V206+AA170</f>
        <v>0</v>
      </c>
      <c r="AB206" s="168">
        <f t="shared" si="135"/>
        <v>0</v>
      </c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143"/>
      <c r="AQ206" s="1"/>
      <c r="AR206" s="1"/>
      <c r="AS206" s="1"/>
      <c r="AT206" s="1"/>
      <c r="AU206" s="1"/>
      <c r="AV206" s="1"/>
      <c r="AW206" s="1"/>
      <c r="AX206" s="1"/>
      <c r="AY206" s="1"/>
    </row>
    <row r="207" ht="1.5" customHeight="1">
      <c r="A207" s="1"/>
      <c r="B207" s="1"/>
      <c r="C207" s="1"/>
      <c r="D207" s="1"/>
      <c r="E207" s="49"/>
      <c r="F207" s="49"/>
      <c r="G207" s="49"/>
      <c r="H207" s="49"/>
      <c r="I207" s="49"/>
      <c r="J207" s="1"/>
      <c r="K207" s="49"/>
      <c r="L207" s="49"/>
      <c r="M207" s="49"/>
      <c r="N207" s="49"/>
      <c r="O207" s="49"/>
      <c r="P207" s="49"/>
      <c r="Q207" s="1"/>
      <c r="R207" s="109"/>
      <c r="S207" s="52"/>
      <c r="T207" s="84"/>
      <c r="U207" s="52"/>
      <c r="V207" s="49"/>
      <c r="W207" s="49"/>
      <c r="X207" s="84"/>
      <c r="Y207" s="49"/>
      <c r="Z207" s="111"/>
      <c r="AA207" s="120"/>
      <c r="AB207" s="168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143"/>
      <c r="AQ207" s="1"/>
      <c r="AR207" s="1"/>
      <c r="AS207" s="1"/>
      <c r="AT207" s="1"/>
      <c r="AU207" s="1"/>
      <c r="AV207" s="1"/>
      <c r="AW207" s="1"/>
      <c r="AX207" s="1"/>
      <c r="AY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09" t="s">
        <v>126</v>
      </c>
      <c r="S208" s="52">
        <f>COUNTIF($D$189:$P$189,"*누리*")+COUNTIF($D$194:$P$194,"*누리*")+COUNTIF($D$199:$P$199,"*누리*")+COUNTIF($D$204:$P$204,"*누리*")+COUNTIF($D$213:$P$213,"*누리*")</f>
        <v>0</v>
      </c>
      <c r="T208" s="84">
        <f>COUNTIF($D$190:$P$190,"*누리*")+COUNTIF($D$195:$P$195,"*누리*")+COUNTIF($D$200:$P$200,"*누리*")+COUNTIF($D$205:$P$205,"*누리*")+COUNTIF($D$214:$P$214,"*누리*")</f>
        <v>0</v>
      </c>
      <c r="U208" s="52">
        <f t="shared" ref="U208:U210" si="137">S208*2+T208</f>
        <v>0</v>
      </c>
      <c r="V208" s="49">
        <f>COUNTIF($D$204:$P$205,"*누리*")</f>
        <v>0</v>
      </c>
      <c r="W208" s="49"/>
      <c r="X208" s="84">
        <f>COUNTIF($AC$76:$AO$76,"*누리*")+COUNTIF($AC$78:$AO$78,"*누리*")+COUNTIF($AC$79:$AO$79,"*누리*")+COUNTIF($AC$80:$AO$80,"*누리*")+COUNTIF($AC$82:$AO$82,"*누리*")</f>
        <v>0</v>
      </c>
      <c r="Y208" s="49"/>
      <c r="Z208" s="111">
        <f t="shared" ref="Z208:AA208" si="136">U208+Z171</f>
        <v>0</v>
      </c>
      <c r="AA208" s="120">
        <f t="shared" si="136"/>
        <v>0</v>
      </c>
      <c r="AB208" s="168">
        <f t="shared" ref="AB208:AB209" si="139">X208+AB171</f>
        <v>0</v>
      </c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143"/>
      <c r="AQ208" s="1"/>
      <c r="AR208" s="1"/>
      <c r="AS208" s="1"/>
      <c r="AT208" s="1"/>
      <c r="AU208" s="1"/>
      <c r="AV208" s="1"/>
      <c r="AW208" s="1"/>
      <c r="AX208" s="1"/>
      <c r="AY208" s="1"/>
    </row>
    <row r="209" ht="11.25" customHeight="1">
      <c r="A209" s="1"/>
      <c r="B209" s="49"/>
      <c r="C209" s="49"/>
      <c r="D209" s="49"/>
      <c r="E209" s="49"/>
      <c r="F209" s="49"/>
      <c r="G209" s="49"/>
      <c r="H209" s="49"/>
      <c r="I209" s="49"/>
      <c r="J209" s="1"/>
      <c r="K209" s="49"/>
      <c r="L209" s="49"/>
      <c r="M209" s="49"/>
      <c r="N209" s="49"/>
      <c r="O209" s="49"/>
      <c r="P209" s="49"/>
      <c r="Q209" s="1"/>
      <c r="R209" s="109" t="s">
        <v>111</v>
      </c>
      <c r="S209" s="52">
        <f>COUNTIF($D$189:$P$189,"*미소*")+COUNTIF($D$194:$P$194,"*미소*")+COUNTIF($D$199:$P$199,"*미소*")+COUNTIF($D$204:$P$204,"*미소*")+COUNTIF($D$213:$P$213,"*미소*")</f>
        <v>0</v>
      </c>
      <c r="T209" s="84">
        <f>COUNTIF($D$190:$P$190,"*미소*")+COUNTIF($D$195:$P$195,"*미소*")+COUNTIF($D$200:$P$200,"*미소*")+COUNTIF($D$205:$P$205,"*미소*")+COUNTIF($D$214:$P$214,"*미소*")</f>
        <v>0</v>
      </c>
      <c r="U209" s="52">
        <f t="shared" si="137"/>
        <v>0</v>
      </c>
      <c r="V209" s="49">
        <f>COUNTIF($D$204:$P$205,"*미소*")</f>
        <v>0</v>
      </c>
      <c r="W209" s="49"/>
      <c r="X209" s="84">
        <f>COUNTIF($AC$76:$AO$76,"*미소*")+COUNTIF($AC$78:$AO$78,"*미소*")+COUNTIF($AC$79:$AO$79,"*미소*")+COUNTIF($AC$80:$AO$80,"*미소*")+COUNTIF($AC$82:$AO$82,"*미소*")</f>
        <v>0</v>
      </c>
      <c r="Y209" s="49"/>
      <c r="Z209" s="111">
        <f t="shared" ref="Z209:AA209" si="138">U209+Z172</f>
        <v>1</v>
      </c>
      <c r="AA209" s="120">
        <f t="shared" si="138"/>
        <v>0</v>
      </c>
      <c r="AB209" s="168">
        <f t="shared" si="139"/>
        <v>0</v>
      </c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143"/>
      <c r="AQ209" s="1"/>
      <c r="AR209" s="1"/>
      <c r="AS209" s="1"/>
      <c r="AT209" s="1"/>
      <c r="AU209" s="1"/>
      <c r="AV209" s="1"/>
      <c r="AW209" s="1"/>
      <c r="AX209" s="1"/>
      <c r="AY209" s="1"/>
    </row>
    <row r="210" ht="11.25" customHeight="1">
      <c r="A210" s="1"/>
      <c r="B210" s="1"/>
      <c r="C210" s="1"/>
      <c r="D210" s="141"/>
      <c r="E210" s="69"/>
      <c r="F210" s="69"/>
      <c r="G210" s="6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09" t="s">
        <v>127</v>
      </c>
      <c r="S210" s="52">
        <f>COUNTIF($D$189:$P$189,"*범수*")+COUNTIF($D$194:$P$194,"*범수*")+COUNTIF($D$199:$P$199,"*범수*")+COUNTIF($D$204:$P$204,"*범수*")+COUNTIF($D$213:$P$213,"*범수*")</f>
        <v>0</v>
      </c>
      <c r="T210" s="84">
        <f>COUNTIF($D$190:$P$190,"*범수*")+COUNTIF($D$195:$P$195,"*범수*")+COUNTIF($D$200:$P$200,"*범수*")+COUNTIF($D$205:$P$205,"*범수*")+COUNTIF($D$214:$P$214,"*범수*")</f>
        <v>0</v>
      </c>
      <c r="U210" s="52">
        <f t="shared" si="137"/>
        <v>0</v>
      </c>
      <c r="V210" s="49">
        <f>COUNTIF($D$204:$P$205,"*범수*")</f>
        <v>0</v>
      </c>
      <c r="W210" s="49"/>
      <c r="X210" s="84">
        <f>COUNTIF($AC$76:$AO$76,"*범수*")+COUNTIF($AC$78:$AO$78,"*범수*")+COUNTIF($AC$79:$AO$79,"*범수*")+COUNTIF($AC$80:$AO$80,"*범수*")+COUNTIF($AC$82:$AO$82,"*범수*")</f>
        <v>0</v>
      </c>
      <c r="Y210" s="49"/>
      <c r="Z210" s="111">
        <f t="shared" ref="Z210:AA210" si="140">U210+Z174</f>
        <v>0</v>
      </c>
      <c r="AA210" s="120">
        <f t="shared" si="140"/>
        <v>0</v>
      </c>
      <c r="AB210" s="168">
        <f>X210+AB174</f>
        <v>0</v>
      </c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143"/>
      <c r="AQ210" s="1"/>
      <c r="AR210" s="1"/>
      <c r="AS210" s="1"/>
      <c r="AT210" s="1"/>
      <c r="AU210" s="1"/>
      <c r="AV210" s="1"/>
      <c r="AW210" s="1"/>
      <c r="AX210" s="1"/>
      <c r="AY210" s="1"/>
    </row>
    <row r="211" ht="2.25" customHeight="1">
      <c r="A211" s="1"/>
      <c r="B211" s="1"/>
      <c r="C211" s="1"/>
      <c r="D211" s="1"/>
      <c r="E211" s="1"/>
      <c r="F211" s="1"/>
      <c r="G211" s="1"/>
      <c r="H211" s="49"/>
      <c r="I211" s="49"/>
      <c r="J211" s="1"/>
      <c r="K211" s="1"/>
      <c r="L211" s="1"/>
      <c r="M211" s="1"/>
      <c r="N211" s="1"/>
      <c r="O211" s="1"/>
      <c r="P211" s="1"/>
      <c r="Q211" s="1"/>
      <c r="R211" s="72"/>
      <c r="S211" s="123"/>
      <c r="T211" s="79"/>
      <c r="U211" s="123"/>
      <c r="V211" s="1"/>
      <c r="W211" s="1"/>
      <c r="X211" s="79"/>
      <c r="Y211" s="1"/>
      <c r="Z211" s="111"/>
      <c r="AA211" s="120"/>
      <c r="AB211" s="168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143"/>
      <c r="AQ211" s="1"/>
      <c r="AR211" s="1"/>
      <c r="AS211" s="1"/>
      <c r="AT211" s="1"/>
      <c r="AU211" s="1"/>
      <c r="AV211" s="1"/>
      <c r="AW211" s="1"/>
      <c r="AX211" s="1"/>
      <c r="AY211" s="1"/>
    </row>
    <row r="212" ht="11.25" customHeight="1">
      <c r="A212" s="1"/>
      <c r="B212" s="1"/>
      <c r="C212" s="1"/>
      <c r="D212" s="1"/>
      <c r="E212" s="1"/>
      <c r="F212" s="1"/>
      <c r="G212" s="1"/>
      <c r="H212" s="49"/>
      <c r="I212" s="49"/>
      <c r="J212" s="1"/>
      <c r="K212" s="49"/>
      <c r="L212" s="49"/>
      <c r="M212" s="1"/>
      <c r="N212" s="49"/>
      <c r="O212" s="49"/>
      <c r="P212" s="1"/>
      <c r="Q212" s="1"/>
      <c r="R212" s="109" t="s">
        <v>128</v>
      </c>
      <c r="S212" s="52">
        <f>COUNTIF($D$189:$P$189,"*원혁*")+COUNTIF($D$194:$P$194,"*원혁*")+COUNTIF($D$199:$P$199,"*원혁*")+COUNTIF($D$204:$P$204,"*원혁*")+COUNTIF($D$213:$P$213,"*원혁*")</f>
        <v>0</v>
      </c>
      <c r="T212" s="84">
        <f>COUNTIF($D$190:$P$190,"*원혁*")+COUNTIF($D$195:$P$195,"*원혁*")+COUNTIF($D$200:$P$200,"*원혁*")+COUNTIF($D$205:$P$205,"*원혁*")+COUNTIF($D$214:$P$214,"*원혁*")</f>
        <v>0</v>
      </c>
      <c r="U212" s="52">
        <f t="shared" ref="U212:U216" si="142">S212*2+T212</f>
        <v>0</v>
      </c>
      <c r="V212" s="49">
        <f>COUNTIF($D$204:$P$205,"*원혁*")</f>
        <v>0</v>
      </c>
      <c r="W212" s="49"/>
      <c r="X212" s="84">
        <f>COUNTIF($AC$76:$AO$76,"*원혁*")+COUNTIF($AC$78:$AO$78,"*원혁*")+COUNTIF($AC$79:$AO$79,"*원혁*")+COUNTIF($AC$80:$AO$80,"*원혁*")+COUNTIF($AC$82:$AO$82,"*원혁*")</f>
        <v>0</v>
      </c>
      <c r="Y212" s="49"/>
      <c r="Z212" s="111">
        <f t="shared" ref="Z212:AA212" si="141">U212+Z175</f>
        <v>2</v>
      </c>
      <c r="AA212" s="120">
        <f t="shared" si="141"/>
        <v>1</v>
      </c>
      <c r="AB212" s="168">
        <f t="shared" ref="AB212:AB214" si="144">X212+AB175</f>
        <v>0</v>
      </c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143"/>
      <c r="AQ212" s="1"/>
      <c r="AR212" s="1"/>
      <c r="AS212" s="1"/>
      <c r="AT212" s="1"/>
      <c r="AU212" s="1"/>
      <c r="AV212" s="1"/>
      <c r="AW212" s="1"/>
      <c r="AX212" s="1"/>
      <c r="AY212" s="1"/>
    </row>
    <row r="213" ht="11.25" customHeight="1">
      <c r="A213" s="1"/>
      <c r="B213" s="1"/>
      <c r="C213" s="1"/>
      <c r="D213" s="1"/>
      <c r="E213" s="1"/>
      <c r="F213" s="1"/>
      <c r="G213" s="1"/>
      <c r="H213" s="49"/>
      <c r="I213" s="49"/>
      <c r="J213" s="1"/>
      <c r="K213" s="49"/>
      <c r="L213" s="49"/>
      <c r="M213" s="1"/>
      <c r="N213" s="49"/>
      <c r="O213" s="49"/>
      <c r="P213" s="1"/>
      <c r="Q213" s="1"/>
      <c r="R213" s="109" t="s">
        <v>129</v>
      </c>
      <c r="S213" s="52">
        <f>COUNTIF($D$189:$P$189,"*승환*")+COUNTIF($D$194:$P$194,"*승환*")+COUNTIF($D$199:$P$199,"*승환*")+COUNTIF($D$204:$P$204,"*승환*")+COUNTIF($D$213:$P$213,"*승환*")</f>
        <v>0</v>
      </c>
      <c r="T213" s="84">
        <f>COUNTIF($D$190:$P$190,"*승환*")+COUNTIF($D$195:$P$195,"*승환*")+COUNTIF($D$200:$P$200,"*승환*")+COUNTIF($D$205:$P$205,"*승환*")+COUNTIF($D$214:$P$214,"*승환*")</f>
        <v>0</v>
      </c>
      <c r="U213" s="52">
        <f t="shared" si="142"/>
        <v>0</v>
      </c>
      <c r="V213" s="49">
        <f>COUNTIF($D$204:$P$205,"*승환*")</f>
        <v>0</v>
      </c>
      <c r="W213" s="49"/>
      <c r="X213" s="84">
        <f>COUNTIF($AC$76:$AO$76,"*승환*")+COUNTIF($AC$78:$AO$78,"*승환*")+COUNTIF($AC$79:$AO$79,"*승환*")+COUNTIF($AC$80:$AO$80,"*승환*")+COUNTIF($AC$82:$AO$82,"*승환*")</f>
        <v>0</v>
      </c>
      <c r="Y213" s="1"/>
      <c r="Z213" s="111">
        <f t="shared" ref="Z213:AA213" si="143">U213+Z176</f>
        <v>1</v>
      </c>
      <c r="AA213" s="120">
        <f t="shared" si="143"/>
        <v>0</v>
      </c>
      <c r="AB213" s="168">
        <f t="shared" si="144"/>
        <v>0</v>
      </c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143"/>
      <c r="AQ213" s="1"/>
      <c r="AR213" s="1"/>
      <c r="AS213" s="1"/>
      <c r="AT213" s="1"/>
      <c r="AU213" s="1"/>
      <c r="AV213" s="1"/>
      <c r="AW213" s="1"/>
      <c r="AX213" s="1"/>
      <c r="AY213" s="1"/>
    </row>
    <row r="214" ht="11.25" customHeight="1">
      <c r="A214" s="1"/>
      <c r="B214" s="1"/>
      <c r="C214" s="1"/>
      <c r="D214" s="1"/>
      <c r="E214" s="1"/>
      <c r="F214" s="1"/>
      <c r="G214" s="1"/>
      <c r="H214" s="49"/>
      <c r="I214" s="49"/>
      <c r="J214" s="1"/>
      <c r="K214" s="49"/>
      <c r="L214" s="49"/>
      <c r="M214" s="1"/>
      <c r="N214" s="49"/>
      <c r="O214" s="49"/>
      <c r="P214" s="1"/>
      <c r="Q214" s="1"/>
      <c r="R214" s="109" t="s">
        <v>130</v>
      </c>
      <c r="S214" s="52">
        <f>COUNTIF($D$189:$P$189,"*한솔*")+COUNTIF($D$194:$P$194,"*한솔*")+COUNTIF($D$199:$P$199,"*한솔*")+COUNTIF($D$204:$P$204,"*한솔*")+COUNTIF($D$213:$P$213,"*한솔*")</f>
        <v>0</v>
      </c>
      <c r="T214" s="84">
        <f>COUNTIF($D$190:$P$190,"*한솔*")+COUNTIF($D$195:$P$195,"*한솔*")+COUNTIF($D$200:$P$200,"*한솔*")+COUNTIF($D$205:$P$205,"*한솔*")+COUNTIF($D$214:$P$214,"*한솔*")</f>
        <v>0</v>
      </c>
      <c r="U214" s="52">
        <f t="shared" si="142"/>
        <v>0</v>
      </c>
      <c r="V214" s="49">
        <f>COUNTIF($D$204:$P$205,"*한솔*")</f>
        <v>0</v>
      </c>
      <c r="W214" s="49"/>
      <c r="X214" s="84">
        <f>COUNTIF($AC$76:$AO$76,"*한솔*")+COUNTIF($AC$78:$AO$78,"*한솔*")+COUNTIF($AC$79:$AO$79,"*한솔*")+COUNTIF($AC$80:$AO$80,"*한솔*")+COUNTIF($AC$82:$AO$82,"*한솔*")</f>
        <v>0</v>
      </c>
      <c r="Y214" s="1"/>
      <c r="Z214" s="111">
        <f t="shared" ref="Z214:AA214" si="145">U214+Z177</f>
        <v>0</v>
      </c>
      <c r="AA214" s="120">
        <f t="shared" si="145"/>
        <v>0</v>
      </c>
      <c r="AB214" s="168">
        <f t="shared" si="144"/>
        <v>0</v>
      </c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143"/>
      <c r="AQ214" s="1"/>
      <c r="AR214" s="1"/>
      <c r="AS214" s="1"/>
      <c r="AT214" s="1"/>
      <c r="AU214" s="1"/>
      <c r="AV214" s="1"/>
      <c r="AW214" s="1"/>
      <c r="AX214" s="1"/>
      <c r="AY214" s="1"/>
    </row>
    <row r="215" ht="11.25" customHeight="1">
      <c r="A215" s="1"/>
      <c r="B215" s="1"/>
      <c r="C215" s="1"/>
      <c r="D215" s="1"/>
      <c r="E215" s="1"/>
      <c r="F215" s="1"/>
      <c r="G215" s="1"/>
      <c r="H215" s="49"/>
      <c r="I215" s="49"/>
      <c r="J215" s="1"/>
      <c r="K215" s="49"/>
      <c r="L215" s="49"/>
      <c r="M215" s="1"/>
      <c r="N215" s="49"/>
      <c r="O215" s="49"/>
      <c r="P215" s="1"/>
      <c r="Q215" s="1"/>
      <c r="R215" s="109" t="s">
        <v>63</v>
      </c>
      <c r="S215" s="52">
        <f>COUNTIF($D$189:$P$189,"*소희*")+COUNTIF($D$194:$P$194,"*소희*")+COUNTIF($D$199:$P$199,"*소희*")+COUNTIF($D$204:$P$204,"*소희*")+COUNTIF($D$213:$P$213,"*소희*")</f>
        <v>0</v>
      </c>
      <c r="T215" s="84">
        <f>COUNTIF($D$190:$P$190,"*소희*")+COUNTIF($D$195:$P$195,"*소희*")+COUNTIF($D$200:$P$200,"*소희*")+COUNTIF($D$205:$P$205,"*소희*")+COUNTIF($D$214:$P$214,"*소희*")</f>
        <v>0</v>
      </c>
      <c r="U215" s="52">
        <f t="shared" si="142"/>
        <v>0</v>
      </c>
      <c r="V215" s="49">
        <f>COUNTIF($D$204:$P$205,"*소희*")</f>
        <v>0</v>
      </c>
      <c r="W215" s="49"/>
      <c r="X215" s="84">
        <f>COUNTIF($AC$76:$AO$76,"*소희*")+COUNTIF($AC$78:$AO$78,"*소희*")+COUNTIF($AC$79:$AO$79,"*소희*")+COUNTIF($AC$80:$AO$80,"*소희*")+COUNTIF($AC$82:$AO$82,"*소희*")</f>
        <v>0</v>
      </c>
      <c r="Y215" s="1"/>
      <c r="Z215" s="111">
        <f t="shared" ref="Z215:AA215" si="146">U215+Z179</f>
        <v>1</v>
      </c>
      <c r="AA215" s="120">
        <f t="shared" si="146"/>
        <v>1</v>
      </c>
      <c r="AB215" s="168">
        <f t="shared" ref="AB215:AB216" si="148">X215+AB179</f>
        <v>0</v>
      </c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143"/>
      <c r="AQ215" s="1"/>
      <c r="AR215" s="1"/>
      <c r="AS215" s="1"/>
      <c r="AT215" s="1"/>
      <c r="AU215" s="1"/>
      <c r="AV215" s="1"/>
      <c r="AW215" s="1"/>
      <c r="AX215" s="1"/>
      <c r="AY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54" t="s">
        <v>131</v>
      </c>
      <c r="S216" s="54">
        <f>COUNTIF($D$189:$P$189,"*근용*")+COUNTIF($D$194:$P$194,"*근용*")+COUNTIF($D$199:$P$199,"*근용*")+COUNTIF($D$204:$P$204,"*근용*")+COUNTIF($D$213:$P$213,"*근용*")</f>
        <v>0</v>
      </c>
      <c r="T216" s="133">
        <f>COUNTIF($D$190:$P$190,"*근용*")+COUNTIF($D$195:$P$195,"*근용*")+COUNTIF($D$200:$P$200,"*근용*")+COUNTIF($D$205:$P$205,"*근용*")+COUNTIF($D$214:$P$214,"*근용*")</f>
        <v>0</v>
      </c>
      <c r="U216" s="54">
        <f t="shared" si="142"/>
        <v>0</v>
      </c>
      <c r="V216" s="134">
        <f>COUNTIF($D$204:$P$205,"*근용*")</f>
        <v>0</v>
      </c>
      <c r="W216" s="134"/>
      <c r="X216" s="133">
        <f>COUNTIF($AC$76:$AO$76,"*근용*")+COUNTIF($AC$78:$AO$78,"*근용*")+COUNTIF($AC$79:$AO$79,"*근용*")+COUNTIF($AC$80:$AO$80,"*근용*")+COUNTIF($AC$82:$AO$82,"*근용*")</f>
        <v>0</v>
      </c>
      <c r="Y216" s="1"/>
      <c r="Z216" s="170">
        <f t="shared" ref="Z216:AA216" si="147">U216+Z180</f>
        <v>0</v>
      </c>
      <c r="AA216" s="171">
        <f t="shared" si="147"/>
        <v>0</v>
      </c>
      <c r="AB216" s="172">
        <f t="shared" si="148"/>
        <v>0</v>
      </c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"/>
      <c r="AR216" s="1"/>
      <c r="AS216" s="1"/>
      <c r="AT216" s="1"/>
      <c r="AU216" s="1"/>
      <c r="AV216" s="1"/>
      <c r="AW216" s="1"/>
      <c r="AX216" s="1"/>
      <c r="AY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9"/>
      <c r="S217" s="49"/>
      <c r="T217" s="49"/>
      <c r="U217" s="49"/>
      <c r="V217" s="49"/>
      <c r="W217" s="49"/>
      <c r="X217" s="49"/>
      <c r="Y217" s="1"/>
      <c r="Z217" s="96"/>
      <c r="AA217" s="122"/>
      <c r="AB217" s="97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"/>
      <c r="AR217" s="1"/>
      <c r="AS217" s="1"/>
      <c r="AT217" s="1"/>
      <c r="AU217" s="1"/>
      <c r="AV217" s="1"/>
      <c r="AW217" s="1"/>
      <c r="AX217" s="1"/>
      <c r="AY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mergeCells count="74">
    <mergeCell ref="D26:P26"/>
    <mergeCell ref="D28:P28"/>
    <mergeCell ref="F19:I19"/>
    <mergeCell ref="D21:J21"/>
    <mergeCell ref="K21:P21"/>
    <mergeCell ref="D22:M22"/>
    <mergeCell ref="D23:M23"/>
    <mergeCell ref="D24:P24"/>
    <mergeCell ref="D25:P25"/>
    <mergeCell ref="D34:P35"/>
    <mergeCell ref="D36:P37"/>
    <mergeCell ref="B22:B23"/>
    <mergeCell ref="B24:B26"/>
    <mergeCell ref="B28:B30"/>
    <mergeCell ref="D29:P29"/>
    <mergeCell ref="D30:P30"/>
    <mergeCell ref="B32:B37"/>
    <mergeCell ref="D32:P33"/>
    <mergeCell ref="D45:P45"/>
    <mergeCell ref="D46:P46"/>
    <mergeCell ref="S54:X54"/>
    <mergeCell ref="B61:B62"/>
    <mergeCell ref="S84:V84"/>
    <mergeCell ref="X84:AB84"/>
    <mergeCell ref="AC84:AI84"/>
    <mergeCell ref="B39:B41"/>
    <mergeCell ref="D39:P39"/>
    <mergeCell ref="D40:P40"/>
    <mergeCell ref="D41:P41"/>
    <mergeCell ref="D42:P42"/>
    <mergeCell ref="D43:P43"/>
    <mergeCell ref="D44:P44"/>
    <mergeCell ref="B5:P5"/>
    <mergeCell ref="B7:P7"/>
    <mergeCell ref="D9:I9"/>
    <mergeCell ref="K9:M9"/>
    <mergeCell ref="N9:P9"/>
    <mergeCell ref="K10:M10"/>
    <mergeCell ref="N10:P10"/>
    <mergeCell ref="D10:I10"/>
    <mergeCell ref="D11:I11"/>
    <mergeCell ref="K11:M11"/>
    <mergeCell ref="N11:P11"/>
    <mergeCell ref="D12:I12"/>
    <mergeCell ref="N12:P12"/>
    <mergeCell ref="N13:P13"/>
    <mergeCell ref="K16:M16"/>
    <mergeCell ref="K17:M17"/>
    <mergeCell ref="K18:M18"/>
    <mergeCell ref="K19:M19"/>
    <mergeCell ref="N17:P17"/>
    <mergeCell ref="N18:P18"/>
    <mergeCell ref="N19:P19"/>
    <mergeCell ref="N22:P23"/>
    <mergeCell ref="S144:V144"/>
    <mergeCell ref="X144:AB144"/>
    <mergeCell ref="K12:M12"/>
    <mergeCell ref="K13:M13"/>
    <mergeCell ref="K14:M14"/>
    <mergeCell ref="N14:P14"/>
    <mergeCell ref="K15:M15"/>
    <mergeCell ref="N15:P15"/>
    <mergeCell ref="N16:P16"/>
    <mergeCell ref="D13:I13"/>
    <mergeCell ref="D14:I14"/>
    <mergeCell ref="D15:I15"/>
    <mergeCell ref="D16:I16"/>
    <mergeCell ref="D17:I17"/>
    <mergeCell ref="D18:I18"/>
    <mergeCell ref="B19:E19"/>
    <mergeCell ref="B143:B144"/>
    <mergeCell ref="B42:B44"/>
    <mergeCell ref="B45:B47"/>
    <mergeCell ref="D47:P47"/>
  </mergeCells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2014-01-16T13:44:40Z</dcterms:created>
  <dc:creator>이효동</dc:creator>
</cp:coreProperties>
</file>