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1090" yWindow="190" windowWidth="31940" windowHeight="1631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S184" i="1" l="1"/>
  <c r="T175" i="1"/>
  <c r="T174" i="1"/>
  <c r="T172" i="1"/>
  <c r="T171" i="1"/>
  <c r="T113" i="1"/>
  <c r="T111" i="1"/>
  <c r="AF114" i="1" l="1"/>
  <c r="X212" i="1" l="1"/>
  <c r="AB212" i="1" s="1"/>
  <c r="V212" i="1"/>
  <c r="AA212" i="1" s="1"/>
  <c r="T212" i="1"/>
  <c r="S212" i="1"/>
  <c r="U212" i="1" s="1"/>
  <c r="Z212" i="1" s="1"/>
  <c r="AA210" i="1"/>
  <c r="X210" i="1"/>
  <c r="V210" i="1"/>
  <c r="T210" i="1"/>
  <c r="S210" i="1"/>
  <c r="U210" i="1" s="1"/>
  <c r="X209" i="1"/>
  <c r="V209" i="1"/>
  <c r="AA209" i="1" s="1"/>
  <c r="U209" i="1"/>
  <c r="T209" i="1"/>
  <c r="S209" i="1"/>
  <c r="AA208" i="1"/>
  <c r="X208" i="1"/>
  <c r="V208" i="1"/>
  <c r="T208" i="1"/>
  <c r="S208" i="1"/>
  <c r="U208" i="1" s="1"/>
  <c r="AA206" i="1"/>
  <c r="X206" i="1"/>
  <c r="V206" i="1"/>
  <c r="T206" i="1"/>
  <c r="S206" i="1"/>
  <c r="U206" i="1" s="1"/>
  <c r="Z206" i="1" s="1"/>
  <c r="X205" i="1"/>
  <c r="V205" i="1"/>
  <c r="AA205" i="1" s="1"/>
  <c r="U205" i="1"/>
  <c r="Z205" i="1" s="1"/>
  <c r="T205" i="1"/>
  <c r="S205" i="1"/>
  <c r="AA204" i="1"/>
  <c r="X204" i="1"/>
  <c r="V204" i="1"/>
  <c r="T204" i="1"/>
  <c r="S204" i="1"/>
  <c r="U204" i="1" s="1"/>
  <c r="Z204" i="1" s="1"/>
  <c r="AA203" i="1"/>
  <c r="X203" i="1"/>
  <c r="V203" i="1"/>
  <c r="T203" i="1"/>
  <c r="S203" i="1"/>
  <c r="U203" i="1" s="1"/>
  <c r="Z203" i="1" s="1"/>
  <c r="X201" i="1"/>
  <c r="V201" i="1"/>
  <c r="AA201" i="1" s="1"/>
  <c r="U201" i="1"/>
  <c r="Z201" i="1" s="1"/>
  <c r="T201" i="1"/>
  <c r="S201" i="1"/>
  <c r="AA200" i="1"/>
  <c r="X200" i="1"/>
  <c r="V200" i="1"/>
  <c r="T200" i="1"/>
  <c r="S200" i="1"/>
  <c r="U200" i="1" s="1"/>
  <c r="Z200" i="1" s="1"/>
  <c r="AA199" i="1"/>
  <c r="X199" i="1"/>
  <c r="V199" i="1"/>
  <c r="T199" i="1"/>
  <c r="S199" i="1"/>
  <c r="U199" i="1" s="1"/>
  <c r="Z199" i="1" s="1"/>
  <c r="X198" i="1"/>
  <c r="V198" i="1"/>
  <c r="AA198" i="1" s="1"/>
  <c r="U198" i="1"/>
  <c r="Z198" i="1" s="1"/>
  <c r="T198" i="1"/>
  <c r="S198" i="1"/>
  <c r="AA196" i="1"/>
  <c r="X196" i="1"/>
  <c r="V196" i="1"/>
  <c r="T196" i="1"/>
  <c r="S196" i="1"/>
  <c r="U196" i="1" s="1"/>
  <c r="Z196" i="1" s="1"/>
  <c r="AA195" i="1"/>
  <c r="X195" i="1"/>
  <c r="V195" i="1"/>
  <c r="T195" i="1"/>
  <c r="S195" i="1"/>
  <c r="U195" i="1" s="1"/>
  <c r="Z195" i="1" s="1"/>
  <c r="X194" i="1"/>
  <c r="V194" i="1"/>
  <c r="AA194" i="1" s="1"/>
  <c r="U194" i="1"/>
  <c r="Z194" i="1" s="1"/>
  <c r="T194" i="1"/>
  <c r="S194" i="1"/>
  <c r="AA193" i="1"/>
  <c r="X193" i="1"/>
  <c r="V193" i="1"/>
  <c r="T193" i="1"/>
  <c r="S193" i="1"/>
  <c r="U193" i="1" s="1"/>
  <c r="Z193" i="1" s="1"/>
  <c r="AA191" i="1"/>
  <c r="X191" i="1"/>
  <c r="V191" i="1"/>
  <c r="T191" i="1"/>
  <c r="S191" i="1"/>
  <c r="U191" i="1" s="1"/>
  <c r="Z191" i="1" s="1"/>
  <c r="X190" i="1"/>
  <c r="V190" i="1"/>
  <c r="AA190" i="1" s="1"/>
  <c r="U190" i="1"/>
  <c r="Z190" i="1" s="1"/>
  <c r="T190" i="1"/>
  <c r="S190" i="1"/>
  <c r="AA189" i="1"/>
  <c r="X189" i="1"/>
  <c r="V189" i="1"/>
  <c r="T189" i="1"/>
  <c r="S189" i="1"/>
  <c r="U189" i="1" s="1"/>
  <c r="Z189" i="1" s="1"/>
  <c r="AA188" i="1"/>
  <c r="X188" i="1"/>
  <c r="V188" i="1"/>
  <c r="T188" i="1"/>
  <c r="S188" i="1"/>
  <c r="U188" i="1" s="1"/>
  <c r="Z188" i="1" s="1"/>
  <c r="AA186" i="1"/>
  <c r="X186" i="1"/>
  <c r="V186" i="1"/>
  <c r="U186" i="1"/>
  <c r="Z186" i="1" s="1"/>
  <c r="T186" i="1"/>
  <c r="S186" i="1"/>
  <c r="AA185" i="1"/>
  <c r="X185" i="1"/>
  <c r="V185" i="1"/>
  <c r="T185" i="1"/>
  <c r="S185" i="1"/>
  <c r="U185" i="1" s="1"/>
  <c r="Z185" i="1" s="1"/>
  <c r="AA184" i="1"/>
  <c r="X184" i="1"/>
  <c r="V184" i="1"/>
  <c r="T184" i="1"/>
  <c r="U184" i="1"/>
  <c r="Z184" i="1" s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AV172" i="1"/>
  <c r="AU172" i="1"/>
  <c r="AT172" i="1"/>
  <c r="AS172" i="1"/>
  <c r="AR172" i="1"/>
  <c r="AQ172" i="1"/>
  <c r="AW172" i="1" s="1"/>
  <c r="AP172" i="1"/>
  <c r="AV171" i="1"/>
  <c r="AU171" i="1"/>
  <c r="AT171" i="1"/>
  <c r="AS171" i="1"/>
  <c r="AR171" i="1"/>
  <c r="AQ171" i="1"/>
  <c r="AP171" i="1"/>
  <c r="AV170" i="1"/>
  <c r="AU170" i="1"/>
  <c r="AT170" i="1"/>
  <c r="AS170" i="1"/>
  <c r="AR170" i="1"/>
  <c r="AQ170" i="1"/>
  <c r="AP170" i="1"/>
  <c r="AW170" i="1" s="1"/>
  <c r="AV169" i="1"/>
  <c r="AU169" i="1"/>
  <c r="AT169" i="1"/>
  <c r="AS169" i="1"/>
  <c r="AR169" i="1"/>
  <c r="AQ169" i="1"/>
  <c r="AW169" i="1" s="1"/>
  <c r="AP169" i="1"/>
  <c r="AV167" i="1"/>
  <c r="AU167" i="1"/>
  <c r="AT167" i="1"/>
  <c r="AS167" i="1"/>
  <c r="AR167" i="1"/>
  <c r="AQ167" i="1"/>
  <c r="AP167" i="1"/>
  <c r="AV166" i="1"/>
  <c r="AU166" i="1"/>
  <c r="AT166" i="1"/>
  <c r="AS166" i="1"/>
  <c r="AR166" i="1"/>
  <c r="AQ166" i="1"/>
  <c r="AP166" i="1"/>
  <c r="AV165" i="1"/>
  <c r="AU165" i="1"/>
  <c r="AT165" i="1"/>
  <c r="AS165" i="1"/>
  <c r="AR165" i="1"/>
  <c r="AQ165" i="1"/>
  <c r="AW165" i="1" s="1"/>
  <c r="AP165" i="1"/>
  <c r="AV164" i="1"/>
  <c r="AU164" i="1"/>
  <c r="AT164" i="1"/>
  <c r="AS164" i="1"/>
  <c r="AR164" i="1"/>
  <c r="AQ164" i="1"/>
  <c r="AP164" i="1"/>
  <c r="AV162" i="1"/>
  <c r="AU162" i="1"/>
  <c r="AT162" i="1"/>
  <c r="AS162" i="1"/>
  <c r="AR162" i="1"/>
  <c r="AQ162" i="1"/>
  <c r="AP162" i="1"/>
  <c r="AW162" i="1" s="1"/>
  <c r="AV161" i="1"/>
  <c r="AU161" i="1"/>
  <c r="AT161" i="1"/>
  <c r="AS161" i="1"/>
  <c r="AR161" i="1"/>
  <c r="AQ161" i="1"/>
  <c r="AP161" i="1"/>
  <c r="AV160" i="1"/>
  <c r="AU160" i="1"/>
  <c r="AT160" i="1"/>
  <c r="AS160" i="1"/>
  <c r="AR160" i="1"/>
  <c r="AQ160" i="1"/>
  <c r="AP160" i="1"/>
  <c r="AV158" i="1"/>
  <c r="AU158" i="1"/>
  <c r="AT158" i="1"/>
  <c r="AS158" i="1"/>
  <c r="AR158" i="1"/>
  <c r="AQ158" i="1"/>
  <c r="AP158" i="1"/>
  <c r="AV157" i="1"/>
  <c r="AU157" i="1"/>
  <c r="AT157" i="1"/>
  <c r="AS157" i="1"/>
  <c r="AR157" i="1"/>
  <c r="AQ157" i="1"/>
  <c r="AP157" i="1"/>
  <c r="AW157" i="1" s="1"/>
  <c r="AV156" i="1"/>
  <c r="AU156" i="1"/>
  <c r="AT156" i="1"/>
  <c r="AS156" i="1"/>
  <c r="AR156" i="1"/>
  <c r="AQ156" i="1"/>
  <c r="AP156" i="1"/>
  <c r="AV155" i="1"/>
  <c r="AU155" i="1"/>
  <c r="AT155" i="1"/>
  <c r="AS155" i="1"/>
  <c r="AR155" i="1"/>
  <c r="AQ155" i="1"/>
  <c r="AP155" i="1"/>
  <c r="AW155" i="1" s="1"/>
  <c r="AV153" i="1"/>
  <c r="AU153" i="1"/>
  <c r="AT153" i="1"/>
  <c r="AS153" i="1"/>
  <c r="AR153" i="1"/>
  <c r="AQ153" i="1"/>
  <c r="AP153" i="1"/>
  <c r="AV152" i="1"/>
  <c r="AU152" i="1"/>
  <c r="AT152" i="1"/>
  <c r="AS152" i="1"/>
  <c r="AR152" i="1"/>
  <c r="AQ152" i="1"/>
  <c r="AP152" i="1"/>
  <c r="AV151" i="1"/>
  <c r="AU151" i="1"/>
  <c r="AT151" i="1"/>
  <c r="AS151" i="1"/>
  <c r="AR151" i="1"/>
  <c r="AQ151" i="1"/>
  <c r="AP151" i="1"/>
  <c r="AV150" i="1"/>
  <c r="AU150" i="1"/>
  <c r="AT150" i="1"/>
  <c r="AS150" i="1"/>
  <c r="AR150" i="1"/>
  <c r="AQ150" i="1"/>
  <c r="AP150" i="1"/>
  <c r="AW150" i="1" s="1"/>
  <c r="AV148" i="1"/>
  <c r="AU148" i="1"/>
  <c r="AT148" i="1"/>
  <c r="AS148" i="1"/>
  <c r="AR148" i="1"/>
  <c r="AQ148" i="1"/>
  <c r="AP148" i="1"/>
  <c r="AV147" i="1"/>
  <c r="AU147" i="1"/>
  <c r="AT147" i="1"/>
  <c r="AS147" i="1"/>
  <c r="AR147" i="1"/>
  <c r="AQ147" i="1"/>
  <c r="AP147" i="1"/>
  <c r="AW147" i="1" s="1"/>
  <c r="V175" i="1"/>
  <c r="U175" i="1"/>
  <c r="S175" i="1"/>
  <c r="V174" i="1"/>
  <c r="S174" i="1"/>
  <c r="U174" i="1" s="1"/>
  <c r="V172" i="1"/>
  <c r="U172" i="1"/>
  <c r="S172" i="1"/>
  <c r="V171" i="1"/>
  <c r="S171" i="1"/>
  <c r="U171" i="1" s="1"/>
  <c r="V170" i="1"/>
  <c r="U170" i="1"/>
  <c r="T170" i="1"/>
  <c r="S170" i="1"/>
  <c r="Y169" i="1"/>
  <c r="V169" i="1"/>
  <c r="T169" i="1"/>
  <c r="S169" i="1"/>
  <c r="U169" i="1" s="1"/>
  <c r="V167" i="1"/>
  <c r="U167" i="1"/>
  <c r="T167" i="1"/>
  <c r="S167" i="1"/>
  <c r="Y166" i="1"/>
  <c r="V166" i="1"/>
  <c r="T166" i="1"/>
  <c r="S166" i="1"/>
  <c r="U166" i="1" s="1"/>
  <c r="V165" i="1"/>
  <c r="U165" i="1"/>
  <c r="T165" i="1"/>
  <c r="S165" i="1"/>
  <c r="V164" i="1"/>
  <c r="T164" i="1"/>
  <c r="S164" i="1"/>
  <c r="U164" i="1" s="1"/>
  <c r="V162" i="1"/>
  <c r="U162" i="1"/>
  <c r="T162" i="1"/>
  <c r="S162" i="1"/>
  <c r="Y161" i="1"/>
  <c r="V161" i="1"/>
  <c r="T161" i="1"/>
  <c r="S161" i="1"/>
  <c r="U161" i="1" s="1"/>
  <c r="V160" i="1"/>
  <c r="U160" i="1"/>
  <c r="T160" i="1"/>
  <c r="S160" i="1"/>
  <c r="Y158" i="1"/>
  <c r="V158" i="1"/>
  <c r="T158" i="1"/>
  <c r="S158" i="1"/>
  <c r="U158" i="1" s="1"/>
  <c r="V157" i="1"/>
  <c r="U157" i="1"/>
  <c r="T157" i="1"/>
  <c r="S157" i="1"/>
  <c r="V156" i="1"/>
  <c r="AA95" i="1" s="1"/>
  <c r="T156" i="1"/>
  <c r="S156" i="1"/>
  <c r="U156" i="1" s="1"/>
  <c r="V155" i="1"/>
  <c r="U155" i="1"/>
  <c r="T155" i="1"/>
  <c r="S155" i="1"/>
  <c r="Y153" i="1"/>
  <c r="V153" i="1"/>
  <c r="T153" i="1"/>
  <c r="S153" i="1"/>
  <c r="U153" i="1" s="1"/>
  <c r="V152" i="1"/>
  <c r="AA92" i="1" s="1"/>
  <c r="U152" i="1"/>
  <c r="T152" i="1"/>
  <c r="S152" i="1"/>
  <c r="Y151" i="1"/>
  <c r="V151" i="1"/>
  <c r="T151" i="1"/>
  <c r="S151" i="1"/>
  <c r="U151" i="1" s="1"/>
  <c r="V150" i="1"/>
  <c r="AA89" i="1" s="1"/>
  <c r="U150" i="1"/>
  <c r="T150" i="1"/>
  <c r="S150" i="1"/>
  <c r="Y148" i="1"/>
  <c r="V148" i="1"/>
  <c r="T148" i="1"/>
  <c r="S148" i="1"/>
  <c r="U148" i="1" s="1"/>
  <c r="AA147" i="1"/>
  <c r="Z147" i="1"/>
  <c r="Y147" i="1"/>
  <c r="X147" i="1"/>
  <c r="V147" i="1"/>
  <c r="AA87" i="1" s="1"/>
  <c r="AF87" i="1" s="1"/>
  <c r="U147" i="1"/>
  <c r="T147" i="1"/>
  <c r="S147" i="1"/>
  <c r="AA90" i="1"/>
  <c r="AA151" i="1" s="1"/>
  <c r="Y114" i="1"/>
  <c r="Y175" i="1" s="1"/>
  <c r="V114" i="1"/>
  <c r="AA114" i="1" s="1"/>
  <c r="AA175" i="1" s="1"/>
  <c r="U114" i="1"/>
  <c r="T114" i="1"/>
  <c r="S114" i="1"/>
  <c r="X114" i="1" s="1"/>
  <c r="X175" i="1" s="1"/>
  <c r="AA113" i="1"/>
  <c r="AF113" i="1" s="1"/>
  <c r="V113" i="1"/>
  <c r="U113" i="1"/>
  <c r="Y113" i="1"/>
  <c r="Y174" i="1" s="1"/>
  <c r="S113" i="1"/>
  <c r="X113" i="1" s="1"/>
  <c r="X174" i="1" s="1"/>
  <c r="AA112" i="1"/>
  <c r="AF112" i="1" s="1"/>
  <c r="V112" i="1"/>
  <c r="T112" i="1"/>
  <c r="Y112" i="1" s="1"/>
  <c r="Y172" i="1" s="1"/>
  <c r="S112" i="1"/>
  <c r="X112" i="1" s="1"/>
  <c r="X172" i="1" s="1"/>
  <c r="AA111" i="1"/>
  <c r="AF111" i="1" s="1"/>
  <c r="V111" i="1"/>
  <c r="Y111" i="1"/>
  <c r="Y171" i="1" s="1"/>
  <c r="S111" i="1"/>
  <c r="X111" i="1" s="1"/>
  <c r="X171" i="1" s="1"/>
  <c r="AA109" i="1"/>
  <c r="AF109" i="1" s="1"/>
  <c r="V109" i="1"/>
  <c r="T109" i="1"/>
  <c r="Y109" i="1" s="1"/>
  <c r="Y170" i="1" s="1"/>
  <c r="S109" i="1"/>
  <c r="X109" i="1" s="1"/>
  <c r="X170" i="1" s="1"/>
  <c r="AA108" i="1"/>
  <c r="AF108" i="1" s="1"/>
  <c r="V108" i="1"/>
  <c r="T108" i="1"/>
  <c r="Y108" i="1" s="1"/>
  <c r="S108" i="1"/>
  <c r="X108" i="1" s="1"/>
  <c r="X169" i="1" s="1"/>
  <c r="AA107" i="1"/>
  <c r="AF107" i="1" s="1"/>
  <c r="V107" i="1"/>
  <c r="T107" i="1"/>
  <c r="Y107" i="1" s="1"/>
  <c r="Y167" i="1" s="1"/>
  <c r="S107" i="1"/>
  <c r="X107" i="1" s="1"/>
  <c r="X167" i="1" s="1"/>
  <c r="AA106" i="1"/>
  <c r="AF106" i="1" s="1"/>
  <c r="V106" i="1"/>
  <c r="T106" i="1"/>
  <c r="Y106" i="1" s="1"/>
  <c r="S106" i="1"/>
  <c r="X106" i="1" s="1"/>
  <c r="X166" i="1" s="1"/>
  <c r="AA104" i="1"/>
  <c r="AF104" i="1" s="1"/>
  <c r="V104" i="1"/>
  <c r="T104" i="1"/>
  <c r="Y104" i="1" s="1"/>
  <c r="Y165" i="1" s="1"/>
  <c r="S104" i="1"/>
  <c r="X104" i="1" s="1"/>
  <c r="X165" i="1" s="1"/>
  <c r="AA103" i="1"/>
  <c r="AF103" i="1" s="1"/>
  <c r="V103" i="1"/>
  <c r="T103" i="1"/>
  <c r="Y103" i="1" s="1"/>
  <c r="Y164" i="1" s="1"/>
  <c r="S103" i="1"/>
  <c r="X103" i="1" s="1"/>
  <c r="X164" i="1" s="1"/>
  <c r="AA102" i="1"/>
  <c r="AF102" i="1" s="1"/>
  <c r="V102" i="1"/>
  <c r="T102" i="1"/>
  <c r="Y102" i="1" s="1"/>
  <c r="Y162" i="1" s="1"/>
  <c r="S102" i="1"/>
  <c r="X102" i="1" s="1"/>
  <c r="X162" i="1" s="1"/>
  <c r="AA100" i="1"/>
  <c r="AF100" i="1" s="1"/>
  <c r="V100" i="1"/>
  <c r="T100" i="1"/>
  <c r="Y100" i="1" s="1"/>
  <c r="S100" i="1"/>
  <c r="X100" i="1" s="1"/>
  <c r="X161" i="1" s="1"/>
  <c r="AA99" i="1"/>
  <c r="AF99" i="1" s="1"/>
  <c r="V99" i="1"/>
  <c r="T99" i="1"/>
  <c r="Y99" i="1" s="1"/>
  <c r="Y160" i="1" s="1"/>
  <c r="S99" i="1"/>
  <c r="X99" i="1" s="1"/>
  <c r="X160" i="1" s="1"/>
  <c r="AA98" i="1"/>
  <c r="AF98" i="1" s="1"/>
  <c r="V98" i="1"/>
  <c r="T98" i="1"/>
  <c r="Y98" i="1" s="1"/>
  <c r="S98" i="1"/>
  <c r="X98" i="1" s="1"/>
  <c r="X158" i="1" s="1"/>
  <c r="AA97" i="1"/>
  <c r="AF97" i="1" s="1"/>
  <c r="V97" i="1"/>
  <c r="T97" i="1"/>
  <c r="Y97" i="1" s="1"/>
  <c r="Y157" i="1" s="1"/>
  <c r="S97" i="1"/>
  <c r="X97" i="1" s="1"/>
  <c r="X157" i="1" s="1"/>
  <c r="V95" i="1"/>
  <c r="T95" i="1"/>
  <c r="Y95" i="1" s="1"/>
  <c r="Y156" i="1" s="1"/>
  <c r="S95" i="1"/>
  <c r="AA94" i="1"/>
  <c r="AF94" i="1" s="1"/>
  <c r="V94" i="1"/>
  <c r="T94" i="1"/>
  <c r="Y94" i="1" s="1"/>
  <c r="Y155" i="1" s="1"/>
  <c r="S94" i="1"/>
  <c r="X94" i="1" s="1"/>
  <c r="X155" i="1" s="1"/>
  <c r="AA93" i="1"/>
  <c r="AF93" i="1" s="1"/>
  <c r="V93" i="1"/>
  <c r="T93" i="1"/>
  <c r="Y93" i="1" s="1"/>
  <c r="S93" i="1"/>
  <c r="X93" i="1" s="1"/>
  <c r="X153" i="1" s="1"/>
  <c r="V92" i="1"/>
  <c r="T92" i="1"/>
  <c r="Y92" i="1" s="1"/>
  <c r="Y152" i="1" s="1"/>
  <c r="S92" i="1"/>
  <c r="V90" i="1"/>
  <c r="T90" i="1"/>
  <c r="Y90" i="1" s="1"/>
  <c r="S90" i="1"/>
  <c r="V89" i="1"/>
  <c r="T89" i="1"/>
  <c r="Y89" i="1" s="1"/>
  <c r="Y150" i="1" s="1"/>
  <c r="S89" i="1"/>
  <c r="AA88" i="1"/>
  <c r="AF88" i="1" s="1"/>
  <c r="V88" i="1"/>
  <c r="T88" i="1"/>
  <c r="Y88" i="1" s="1"/>
  <c r="S88" i="1"/>
  <c r="X88" i="1" s="1"/>
  <c r="X148" i="1" s="1"/>
  <c r="V87" i="1"/>
  <c r="T87" i="1"/>
  <c r="S87" i="1"/>
  <c r="AW152" i="1" l="1"/>
  <c r="AW160" i="1"/>
  <c r="AW167" i="1"/>
  <c r="AW175" i="1"/>
  <c r="AW153" i="1"/>
  <c r="AW161" i="1"/>
  <c r="AW148" i="1"/>
  <c r="AW156" i="1"/>
  <c r="AW164" i="1"/>
  <c r="AW171" i="1"/>
  <c r="AW151" i="1"/>
  <c r="AW158" i="1"/>
  <c r="AW166" i="1"/>
  <c r="AW174" i="1"/>
  <c r="AF92" i="1"/>
  <c r="AA152" i="1"/>
  <c r="AF89" i="1"/>
  <c r="AA150" i="1"/>
  <c r="AF95" i="1"/>
  <c r="AA156" i="1"/>
  <c r="X92" i="1"/>
  <c r="X152" i="1" s="1"/>
  <c r="AA148" i="1"/>
  <c r="AA153" i="1"/>
  <c r="AA158" i="1"/>
  <c r="AA161" i="1"/>
  <c r="AA164" i="1"/>
  <c r="AA166" i="1"/>
  <c r="AA169" i="1"/>
  <c r="AA171" i="1"/>
  <c r="AA174" i="1"/>
  <c r="X90" i="1"/>
  <c r="X151" i="1" s="1"/>
  <c r="X95" i="1"/>
  <c r="X156" i="1" s="1"/>
  <c r="Z113" i="1"/>
  <c r="Z114" i="1"/>
  <c r="AA155" i="1"/>
  <c r="AA157" i="1"/>
  <c r="AA160" i="1"/>
  <c r="AA162" i="1"/>
  <c r="AA165" i="1"/>
  <c r="AA167" i="1"/>
  <c r="AA170" i="1"/>
  <c r="AA172" i="1"/>
  <c r="AF90" i="1"/>
  <c r="X87" i="1"/>
  <c r="Y87" i="1"/>
  <c r="X89" i="1"/>
  <c r="X150" i="1" s="1"/>
  <c r="U90" i="1"/>
  <c r="Z90" i="1" s="1"/>
  <c r="Z151" i="1" s="1"/>
  <c r="U95" i="1"/>
  <c r="Z95" i="1" s="1"/>
  <c r="Z156" i="1" s="1"/>
  <c r="U100" i="1"/>
  <c r="Z100" i="1" s="1"/>
  <c r="Z161" i="1" s="1"/>
  <c r="U106" i="1"/>
  <c r="Z106" i="1" s="1"/>
  <c r="Z166" i="1" s="1"/>
  <c r="U88" i="1"/>
  <c r="Z88" i="1" s="1"/>
  <c r="Z148" i="1" s="1"/>
  <c r="U93" i="1"/>
  <c r="Z93" i="1" s="1"/>
  <c r="Z153" i="1" s="1"/>
  <c r="U98" i="1"/>
  <c r="Z98" i="1" s="1"/>
  <c r="Z158" i="1" s="1"/>
  <c r="U103" i="1"/>
  <c r="Z103" i="1" s="1"/>
  <c r="Z164" i="1" s="1"/>
  <c r="U108" i="1"/>
  <c r="Z108" i="1" s="1"/>
  <c r="Z169" i="1" s="1"/>
  <c r="U89" i="1"/>
  <c r="Z89" i="1" s="1"/>
  <c r="Z150" i="1" s="1"/>
  <c r="U94" i="1"/>
  <c r="Z94" i="1" s="1"/>
  <c r="Z155" i="1" s="1"/>
  <c r="U99" i="1"/>
  <c r="Z99" i="1" s="1"/>
  <c r="Z160" i="1" s="1"/>
  <c r="U104" i="1"/>
  <c r="Z104" i="1" s="1"/>
  <c r="Z165" i="1" s="1"/>
  <c r="U109" i="1"/>
  <c r="Z109" i="1" s="1"/>
  <c r="Z170" i="1" s="1"/>
  <c r="U111" i="1"/>
  <c r="Z111" i="1" s="1"/>
  <c r="Z171" i="1" s="1"/>
  <c r="Z208" i="1" s="1"/>
  <c r="U87" i="1"/>
  <c r="Z87" i="1" s="1"/>
  <c r="AC87" i="1" s="1"/>
  <c r="U92" i="1"/>
  <c r="Z92" i="1" s="1"/>
  <c r="Z152" i="1" s="1"/>
  <c r="U97" i="1"/>
  <c r="Z97" i="1" s="1"/>
  <c r="Z157" i="1" s="1"/>
  <c r="U102" i="1"/>
  <c r="Z102" i="1" s="1"/>
  <c r="Z162" i="1" s="1"/>
  <c r="U107" i="1"/>
  <c r="Z107" i="1" s="1"/>
  <c r="Z167" i="1" s="1"/>
  <c r="U112" i="1"/>
  <c r="Z112" i="1" s="1"/>
  <c r="Z172" i="1" s="1"/>
  <c r="Z209" i="1" s="1"/>
  <c r="AC114" i="1" l="1"/>
  <c r="Z175" i="1"/>
  <c r="AC113" i="1"/>
  <c r="Z174" i="1"/>
  <c r="Z210" i="1" s="1"/>
  <c r="AC109" i="1"/>
  <c r="AC95" i="1"/>
  <c r="AC98" i="1"/>
  <c r="AC93" i="1"/>
  <c r="AC112" i="1"/>
  <c r="AC111" i="1"/>
  <c r="AC108" i="1"/>
  <c r="AC100" i="1"/>
  <c r="AC107" i="1"/>
  <c r="AC103" i="1"/>
  <c r="AC102" i="1"/>
  <c r="AC104" i="1"/>
  <c r="AC90" i="1"/>
  <c r="AC97" i="1"/>
  <c r="AC99" i="1"/>
  <c r="AC92" i="1"/>
  <c r="AC94" i="1"/>
  <c r="AC88" i="1"/>
  <c r="AC89" i="1"/>
  <c r="AC106" i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170" i="1" l="1"/>
  <c r="AB206" i="1" s="1"/>
  <c r="AB156" i="1"/>
  <c r="AB193" i="1" s="1"/>
  <c r="AB150" i="1"/>
  <c r="AB186" i="1" s="1"/>
  <c r="AB109" i="1"/>
  <c r="AI109" i="1" s="1"/>
  <c r="AB102" i="1"/>
  <c r="AI102" i="1" s="1"/>
  <c r="AB111" i="1"/>
  <c r="AI111" i="1" s="1"/>
  <c r="AB95" i="1"/>
  <c r="AI95" i="1" s="1"/>
  <c r="AB88" i="1"/>
  <c r="AI88" i="1" s="1"/>
  <c r="AB164" i="1"/>
  <c r="AB200" i="1" s="1"/>
  <c r="AB157" i="1"/>
  <c r="AB194" i="1" s="1"/>
  <c r="AB151" i="1"/>
  <c r="AB188" i="1" s="1"/>
  <c r="AB103" i="1"/>
  <c r="AI103" i="1" s="1"/>
  <c r="AB90" i="1"/>
  <c r="AI90" i="1" s="1"/>
  <c r="AB174" i="1"/>
  <c r="AB210" i="1" s="1"/>
  <c r="AB165" i="1"/>
  <c r="AB201" i="1" s="1"/>
  <c r="AB158" i="1"/>
  <c r="AB195" i="1" s="1"/>
  <c r="AB152" i="1"/>
  <c r="AB189" i="1" s="1"/>
  <c r="AB114" i="1"/>
  <c r="AI114" i="1" s="1"/>
  <c r="AB113" i="1"/>
  <c r="AI113" i="1" s="1"/>
  <c r="AB112" i="1"/>
  <c r="AI112" i="1" s="1"/>
  <c r="AB104" i="1"/>
  <c r="AI104" i="1" s="1"/>
  <c r="AB97" i="1"/>
  <c r="AI97" i="1" s="1"/>
  <c r="AB171" i="1"/>
  <c r="AB208" i="1" s="1"/>
  <c r="AB166" i="1"/>
  <c r="AB203" i="1" s="1"/>
  <c r="AB160" i="1"/>
  <c r="AB196" i="1" s="1"/>
  <c r="AB153" i="1"/>
  <c r="AB190" i="1" s="1"/>
  <c r="AB106" i="1"/>
  <c r="AI106" i="1" s="1"/>
  <c r="AB98" i="1"/>
  <c r="AI98" i="1" s="1"/>
  <c r="AB92" i="1"/>
  <c r="AI92" i="1" s="1"/>
  <c r="AB175" i="1"/>
  <c r="AB167" i="1"/>
  <c r="AB204" i="1" s="1"/>
  <c r="AB161" i="1"/>
  <c r="AB198" i="1" s="1"/>
  <c r="AB155" i="1"/>
  <c r="AB191" i="1" s="1"/>
  <c r="AB147" i="1"/>
  <c r="AB184" i="1" s="1"/>
  <c r="AB107" i="1"/>
  <c r="AI107" i="1" s="1"/>
  <c r="AB99" i="1"/>
  <c r="AI99" i="1" s="1"/>
  <c r="AB93" i="1"/>
  <c r="AI93" i="1" s="1"/>
  <c r="AB89" i="1"/>
  <c r="AI89" i="1" s="1"/>
  <c r="AB172" i="1"/>
  <c r="AB209" i="1" s="1"/>
  <c r="AB169" i="1"/>
  <c r="AB205" i="1" s="1"/>
  <c r="AB162" i="1"/>
  <c r="AB199" i="1" s="1"/>
  <c r="AB148" i="1"/>
  <c r="AB185" i="1" s="1"/>
  <c r="AB108" i="1"/>
  <c r="AI108" i="1" s="1"/>
  <c r="AB100" i="1"/>
  <c r="AI100" i="1" s="1"/>
  <c r="AB94" i="1"/>
  <c r="AI94" i="1" s="1"/>
  <c r="AB87" i="1"/>
  <c r="AI87" i="1" s="1"/>
  <c r="N22" i="1"/>
  <c r="N19" i="1"/>
  <c r="J19" i="1"/>
  <c r="S54" i="1" l="1"/>
</calcChain>
</file>

<file path=xl/sharedStrings.xml><?xml version="1.0" encoding="utf-8"?>
<sst xmlns="http://schemas.openxmlformats.org/spreadsheetml/2006/main" count="281" uniqueCount="166">
  <si>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</si>
  <si>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</si>
  <si>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</si>
  <si>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</si>
  <si>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</si>
  <si>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</si>
  <si>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</si>
  <si>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</si>
  <si>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</si>
  <si>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</si>
  <si>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</si>
  <si>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</si>
  <si>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</si>
  <si>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</si>
  <si>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</si>
  <si>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</si>
  <si>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</si>
  <si>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</si>
  <si>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</si>
  <si>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</si>
  <si>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</si>
  <si>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</si>
  <si>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</si>
  <si>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</si>
  <si>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</si>
  <si>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</si>
  <si>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</si>
  <si>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</si>
  <si>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</si>
  <si>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</si>
  <si>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</si>
  <si>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</si>
  <si>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</si>
  <si>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</si>
  <si>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</si>
  <si>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</si>
  <si>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</si>
  <si>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</si>
  <si>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</si>
  <si>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</si>
  <si>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</si>
  <si>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</si>
  <si>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</si>
  <si>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</si>
  <si>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</si>
  <si>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</si>
  <si>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</si>
  <si>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</si>
  <si>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</si>
  <si>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</si>
  <si>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</si>
  <si>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</si>
  <si>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</si>
  <si>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</si>
  <si>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</si>
  <si>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</si>
  <si>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</si>
  <si>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</si>
  <si>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</si>
  <si>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</si>
  <si>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</si>
  <si>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</si>
  <si>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</si>
  <si>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</si>
  <si>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</si>
  <si>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</si>
  <si>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</si>
  <si>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</si>
  <si>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</si>
  <si>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</si>
  <si>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</si>
  <si>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</si>
  <si>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</si>
  <si>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</si>
  <si>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칸위치 변경하지 말 것</t>
    <phoneticPr fontId="3" type="noConversion"/>
  </si>
  <si>
    <t>후</t>
    <phoneticPr fontId="3" type="noConversion"/>
  </si>
  <si>
    <t>월요일-금요일 통합</t>
    <phoneticPr fontId="3" type="noConversion"/>
  </si>
  <si>
    <t>소희</t>
  </si>
  <si>
    <t>김다운/신용철/하지성/최윤호/유지현/김정은/김태우/정 훈/김범수/최누리/오승환/이한솔/하원혁/</t>
    <phoneticPr fontId="3" type="noConversion"/>
  </si>
  <si>
    <t>2019. 12. 30. ~ 2020. 1. 5.</t>
    <phoneticPr fontId="3" type="noConversion"/>
  </si>
  <si>
    <t>특성화</t>
    <phoneticPr fontId="3" type="noConversion"/>
  </si>
  <si>
    <t>1.2.~4.</t>
    <phoneticPr fontId="3" type="noConversion"/>
  </si>
  <si>
    <t>지현</t>
    <phoneticPr fontId="3" type="noConversion"/>
  </si>
  <si>
    <t>연계형특성화(순천대)</t>
    <phoneticPr fontId="3" type="noConversion"/>
  </si>
  <si>
    <t>중1/40명</t>
    <phoneticPr fontId="3" type="noConversion"/>
  </si>
  <si>
    <t>달 표면 걷기</t>
    <phoneticPr fontId="3" type="noConversion"/>
  </si>
  <si>
    <t>도전 골든별</t>
    <phoneticPr fontId="3" type="noConversion"/>
  </si>
  <si>
    <t>윤호</t>
    <phoneticPr fontId="3" type="noConversion"/>
  </si>
  <si>
    <t>미소 누리</t>
    <phoneticPr fontId="3" type="noConversion"/>
  </si>
  <si>
    <t>영상관</t>
    <phoneticPr fontId="3" type="noConversion"/>
  </si>
  <si>
    <t>천체투영교육 및 천체관측</t>
    <phoneticPr fontId="3" type="noConversion"/>
  </si>
  <si>
    <t>1.3.(금)</t>
    <phoneticPr fontId="3" type="noConversion"/>
  </si>
  <si>
    <t>지구 중력 느껴보기</t>
    <phoneticPr fontId="3" type="noConversion"/>
  </si>
  <si>
    <t>정은</t>
    <phoneticPr fontId="3" type="noConversion"/>
  </si>
  <si>
    <t>달 중력 느껴보기</t>
    <phoneticPr fontId="3" type="noConversion"/>
  </si>
  <si>
    <t>윤호 미소</t>
    <phoneticPr fontId="3" type="noConversion"/>
  </si>
  <si>
    <t>달 중력 체험장비 설계하기</t>
    <phoneticPr fontId="3" type="noConversion"/>
  </si>
  <si>
    <t>정은 누리</t>
    <phoneticPr fontId="3" type="noConversion"/>
  </si>
  <si>
    <t>1.4.(토)</t>
    <phoneticPr fontId="3" type="noConversion"/>
  </si>
  <si>
    <t>09:15~11:25</t>
    <phoneticPr fontId="3" type="noConversion"/>
  </si>
  <si>
    <t>1.2.(목)</t>
    <phoneticPr fontId="3" type="noConversion"/>
  </si>
  <si>
    <t>태우</t>
    <phoneticPr fontId="3" type="noConversion"/>
  </si>
  <si>
    <t>2019.12.30.</t>
    <phoneticPr fontId="3" type="noConversion"/>
  </si>
  <si>
    <t>종섭</t>
    <phoneticPr fontId="3" type="noConversion"/>
  </si>
  <si>
    <t>상은</t>
    <phoneticPr fontId="3" type="noConversion"/>
  </si>
  <si>
    <t>/효동/용철</t>
    <phoneticPr fontId="3" type="noConversion"/>
  </si>
  <si>
    <t>팀미팅룸</t>
    <phoneticPr fontId="3" type="noConversion"/>
  </si>
  <si>
    <t>효동(사전답사)</t>
    <phoneticPr fontId="3" type="noConversion"/>
  </si>
  <si>
    <t>정은</t>
    <phoneticPr fontId="3" type="noConversion"/>
  </si>
  <si>
    <t>상록</t>
    <phoneticPr fontId="3" type="noConversion"/>
  </si>
  <si>
    <t>상록</t>
    <phoneticPr fontId="3" type="noConversion"/>
  </si>
  <si>
    <t>훈 신우 상은/ 다운</t>
    <phoneticPr fontId="3" type="noConversion"/>
  </si>
  <si>
    <t>신우(여)누리(맻)/영상관</t>
    <phoneticPr fontId="3" type="noConversion"/>
  </si>
  <si>
    <t>방송, 식사: 상.록</t>
    <phoneticPr fontId="3" type="noConversion"/>
  </si>
  <si>
    <t>방송, 식사: 미.소</t>
    <phoneticPr fontId="3" type="noConversion"/>
  </si>
  <si>
    <t>휴일근무(토)</t>
    <phoneticPr fontId="3" type="noConversion"/>
  </si>
  <si>
    <t xml:space="preserve">09:00~12:00(3.0) </t>
    <phoneticPr fontId="3" type="noConversion"/>
  </si>
  <si>
    <t xml:space="preserve"> 정.은 미.소 누.리 지.성</t>
    <phoneticPr fontId="3" type="noConversion"/>
  </si>
  <si>
    <t>09:00~11:00(2.0)</t>
    <phoneticPr fontId="3" type="noConversion"/>
  </si>
  <si>
    <t>종.섭</t>
    <phoneticPr fontId="3" type="noConversion"/>
  </si>
  <si>
    <t>회전하는 물체 그리고 공전</t>
    <phoneticPr fontId="3" type="noConversion"/>
  </si>
  <si>
    <t>덕흥천문대관측(금)</t>
    <phoneticPr fontId="3" type="noConversion"/>
  </si>
  <si>
    <t>덕흥천문대관측(목)</t>
    <phoneticPr fontId="3" type="noConversion"/>
  </si>
  <si>
    <t>비계량 보고서 작성 및 제출(1.8.)</t>
    <phoneticPr fontId="3" type="noConversion"/>
  </si>
  <si>
    <t>훈 원혁</t>
    <phoneticPr fontId="3" type="noConversion"/>
  </si>
  <si>
    <t>(팀)장비체험/SOS체험</t>
    <phoneticPr fontId="3" type="noConversion"/>
  </si>
  <si>
    <t>/종섭/효동/용철</t>
    <phoneticPr fontId="3" type="noConversion"/>
  </si>
  <si>
    <t>천체투영관/하늘전망대</t>
    <phoneticPr fontId="3" type="noConversion"/>
  </si>
  <si>
    <t>원장님 취임식(12.30. 11:00), 송년행사(12..30. 15:00), 종무식(12.31. 11:00), 시무식(1.2. 10:30~)</t>
    <phoneticPr fontId="3" type="noConversion"/>
  </si>
  <si>
    <t>거.속.가, 45도, 갈.낙.진,
사.담.천, 마.중, 45도</t>
    <phoneticPr fontId="3" type="noConversion"/>
  </si>
  <si>
    <t>2020년 1월 1주 우주활동부 운영계획</t>
    <phoneticPr fontId="3" type="noConversion"/>
  </si>
  <si>
    <t>연계형특성화캠프(순천대과학영재교육원)</t>
    <phoneticPr fontId="3" type="noConversion"/>
  </si>
  <si>
    <t>강원석/안성진/정종섭/박형민/정상은/이효동/오최근/이상록/정신우/박미소/김소희/</t>
    <phoneticPr fontId="3" type="noConversion"/>
  </si>
  <si>
    <t>(12.30.) 취임식 11:00~</t>
    <phoneticPr fontId="3" type="noConversion"/>
  </si>
  <si>
    <t>(12.30.) 송년행사 17:00~</t>
    <phoneticPr fontId="3" type="noConversion"/>
  </si>
  <si>
    <t>(12.31.) 종무식 11:00~</t>
    <phoneticPr fontId="3" type="noConversion"/>
  </si>
  <si>
    <t>(1.2.) 시무식 10:30~</t>
    <phoneticPr fontId="3" type="noConversion"/>
  </si>
  <si>
    <t>/상은</t>
    <phoneticPr fontId="3" type="noConversion"/>
  </si>
  <si>
    <t>MW MAT 4D SOS</t>
    <phoneticPr fontId="3" type="noConversion"/>
  </si>
  <si>
    <t>팀미팅룸</t>
    <phoneticPr fontId="3" type="noConversion"/>
  </si>
  <si>
    <t>안전교육</t>
    <phoneticPr fontId="3" type="noConversion"/>
  </si>
  <si>
    <t>방송</t>
    <phoneticPr fontId="3" type="noConversion"/>
  </si>
  <si>
    <t>덕흥천문대관측(토)</t>
    <phoneticPr fontId="3" type="noConversion"/>
  </si>
  <si>
    <t>미소 누리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</si>
  <si>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</si>
  <si>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</si>
  <si>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</si>
  <si>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</si>
  <si>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</si>
  <si>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</si>
  <si>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</si>
  <si>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</si>
  <si>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</si>
  <si>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</si>
  <si>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</si>
  <si>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</si>
  <si>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</si>
  <si>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</si>
  <si>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</si>
  <si>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</si>
  <si>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</si>
  <si>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</si>
  <si>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</si>
  <si>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</si>
  <si>
    <t>방송, 식사: 훈.</t>
  </si>
  <si>
    <t>방송, 식사: 정.은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</si>
</sst>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m&quot;월&quot;\ dd&quot;일&quot;"/>
  </numFmts>
  <fonts count="31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9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904875</xdr:colOff>
      <xdr:row>52</xdr:row>
      <xdr:rowOff>114300</xdr:rowOff>
    </xdr:from>
    <xdr:to>
      <xdr:col>15</xdr:col>
      <xdr:colOff>1190625</xdr:colOff>
      <xdr:row>55</xdr:row>
      <xdr:rowOff>114300</xdr:rowOff>
    </xdr:to>
    <xdr:pic>
      <xdr:nvPicPr>
        <xdr:cNvPr id="19" name="그림 18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9201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923925</xdr:colOff>
      <xdr:row>79</xdr:row>
      <xdr:rowOff>9525</xdr:rowOff>
    </xdr:from>
    <xdr:to>
      <xdr:col>15</xdr:col>
      <xdr:colOff>1198245</xdr:colOff>
      <xdr:row>81</xdr:row>
      <xdr:rowOff>95250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1221105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103</xdr:row>
      <xdr:rowOff>0</xdr:rowOff>
    </xdr:from>
    <xdr:to>
      <xdr:col>16</xdr:col>
      <xdr:colOff>7620</xdr:colOff>
      <xdr:row>105</xdr:row>
      <xdr:rowOff>85725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4649450"/>
          <a:ext cx="27432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383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51" width="5.08203125" style="1" customWidth="1"/>
    <col min="52" max="16384" width="19.5" style="1"/>
  </cols>
  <sheetData>
    <row r="4" spans="2:26" ht="12" thickBot="1"/>
    <row r="5" spans="2:26" ht="42" customHeight="1" thickBot="1">
      <c r="B5" s="269" t="s">
        <v>130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Z5"/>
    </row>
    <row r="6" spans="2:26" ht="12" thickBot="1">
      <c r="C6" s="112"/>
    </row>
    <row r="7" spans="2:26" ht="27.75" customHeight="1" thickBot="1">
      <c r="B7" s="272" t="s">
        <v>79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</row>
    <row r="8" spans="2:26">
      <c r="C8" s="112"/>
    </row>
    <row r="9" spans="2:26" ht="20.25" customHeight="1">
      <c r="B9" s="108" t="s">
        <v>35</v>
      </c>
      <c r="C9" s="22"/>
      <c r="D9" s="262" t="s">
        <v>36</v>
      </c>
      <c r="E9" s="262"/>
      <c r="F9" s="262"/>
      <c r="G9" s="262"/>
      <c r="H9" s="262"/>
      <c r="I9" s="262"/>
      <c r="J9" s="108" t="s">
        <v>37</v>
      </c>
      <c r="K9" s="262" t="s">
        <v>38</v>
      </c>
      <c r="L9" s="262"/>
      <c r="M9" s="262"/>
      <c r="N9" s="262" t="s">
        <v>39</v>
      </c>
      <c r="O9" s="262"/>
      <c r="P9" s="262"/>
    </row>
    <row r="10" spans="2:26" ht="16.5" customHeight="1">
      <c r="B10" s="108" t="s">
        <v>80</v>
      </c>
      <c r="C10" s="23"/>
      <c r="D10" s="262" t="s">
        <v>131</v>
      </c>
      <c r="E10" s="262"/>
      <c r="F10" s="262"/>
      <c r="G10" s="262"/>
      <c r="H10" s="262"/>
      <c r="I10" s="262"/>
      <c r="J10" s="108">
        <v>40</v>
      </c>
      <c r="K10" s="262" t="s">
        <v>81</v>
      </c>
      <c r="L10" s="262"/>
      <c r="M10" s="262"/>
      <c r="N10" s="262">
        <v>3</v>
      </c>
      <c r="O10" s="262"/>
      <c r="P10" s="262"/>
    </row>
    <row r="11" spans="2:26" ht="16.5" customHeight="1">
      <c r="B11" s="108"/>
      <c r="C11" s="23"/>
      <c r="D11" s="262"/>
      <c r="E11" s="262"/>
      <c r="F11" s="262"/>
      <c r="G11" s="262"/>
      <c r="H11" s="262"/>
      <c r="I11" s="262"/>
      <c r="J11" s="108"/>
      <c r="K11" s="262"/>
      <c r="L11" s="262"/>
      <c r="M11" s="262"/>
      <c r="N11" s="262"/>
      <c r="O11" s="262"/>
      <c r="P11" s="262"/>
    </row>
    <row r="12" spans="2:26" ht="16.5" customHeight="1">
      <c r="B12" s="108"/>
      <c r="C12" s="23"/>
      <c r="D12" s="262"/>
      <c r="E12" s="262"/>
      <c r="F12" s="262"/>
      <c r="G12" s="262"/>
      <c r="H12" s="262"/>
      <c r="I12" s="262"/>
      <c r="J12" s="108"/>
      <c r="K12" s="262"/>
      <c r="L12" s="262"/>
      <c r="M12" s="262"/>
      <c r="N12" s="262"/>
      <c r="O12" s="262"/>
      <c r="P12" s="262"/>
    </row>
    <row r="13" spans="2:26" ht="16.5" customHeight="1">
      <c r="B13" s="108"/>
      <c r="C13" s="23"/>
      <c r="D13" s="262"/>
      <c r="E13" s="262"/>
      <c r="F13" s="262"/>
      <c r="G13" s="262"/>
      <c r="H13" s="262"/>
      <c r="I13" s="262"/>
      <c r="J13" s="108"/>
      <c r="K13" s="262"/>
      <c r="L13" s="262"/>
      <c r="M13" s="262"/>
      <c r="N13" s="262"/>
      <c r="O13" s="262"/>
      <c r="P13" s="262"/>
    </row>
    <row r="14" spans="2:26" ht="16.5" customHeight="1">
      <c r="B14" s="108"/>
      <c r="C14" s="23"/>
      <c r="D14" s="262"/>
      <c r="E14" s="262"/>
      <c r="F14" s="262"/>
      <c r="G14" s="262"/>
      <c r="H14" s="262"/>
      <c r="I14" s="262"/>
      <c r="J14" s="108"/>
      <c r="K14" s="262"/>
      <c r="L14" s="262"/>
      <c r="M14" s="262"/>
      <c r="N14" s="262"/>
      <c r="O14" s="262"/>
      <c r="P14" s="262"/>
    </row>
    <row r="15" spans="2:26" ht="16.5" customHeight="1">
      <c r="B15" s="108"/>
      <c r="C15" s="23"/>
      <c r="D15" s="262"/>
      <c r="E15" s="262"/>
      <c r="F15" s="262"/>
      <c r="G15" s="262"/>
      <c r="H15" s="262"/>
      <c r="I15" s="262"/>
      <c r="J15" s="108"/>
      <c r="K15" s="262"/>
      <c r="L15" s="262"/>
      <c r="M15" s="262"/>
      <c r="N15" s="262"/>
      <c r="O15" s="262"/>
      <c r="P15" s="262"/>
    </row>
    <row r="16" spans="2:26" ht="16.5" customHeight="1">
      <c r="B16" s="108"/>
      <c r="C16" s="23"/>
      <c r="D16" s="262"/>
      <c r="E16" s="262"/>
      <c r="F16" s="262"/>
      <c r="G16" s="262"/>
      <c r="H16" s="262"/>
      <c r="I16" s="262"/>
      <c r="J16" s="108"/>
      <c r="K16" s="262"/>
      <c r="L16" s="262"/>
      <c r="M16" s="262"/>
      <c r="N16" s="262"/>
      <c r="O16" s="262"/>
      <c r="P16" s="262"/>
    </row>
    <row r="17" spans="2:27" ht="16.5" customHeight="1">
      <c r="B17" s="108"/>
      <c r="C17" s="23"/>
      <c r="D17" s="262"/>
      <c r="E17" s="262"/>
      <c r="F17" s="262"/>
      <c r="G17" s="262"/>
      <c r="H17" s="262"/>
      <c r="I17" s="262"/>
      <c r="J17" s="108"/>
      <c r="K17" s="262"/>
      <c r="L17" s="262"/>
      <c r="M17" s="262"/>
      <c r="N17" s="262"/>
      <c r="O17" s="262"/>
      <c r="P17" s="262"/>
    </row>
    <row r="18" spans="2:27" ht="16.5" customHeight="1" thickBot="1">
      <c r="B18" s="109"/>
      <c r="C18" s="27"/>
      <c r="D18" s="238"/>
      <c r="E18" s="238"/>
      <c r="F18" s="238"/>
      <c r="G18" s="238"/>
      <c r="H18" s="238"/>
      <c r="I18" s="238"/>
      <c r="J18" s="109"/>
      <c r="K18" s="238"/>
      <c r="L18" s="238"/>
      <c r="M18" s="238"/>
      <c r="N18" s="238"/>
      <c r="O18" s="238"/>
      <c r="P18" s="238"/>
    </row>
    <row r="19" spans="2:27" ht="16.5" customHeight="1" thickTop="1" thickBot="1">
      <c r="B19" s="239" t="s">
        <v>40</v>
      </c>
      <c r="C19" s="239"/>
      <c r="D19" s="239"/>
      <c r="E19" s="239"/>
      <c r="F19" s="239" t="s">
        <v>41</v>
      </c>
      <c r="G19" s="239"/>
      <c r="H19" s="239"/>
      <c r="I19" s="239"/>
      <c r="J19" s="110">
        <f>SUM(J10:J18)</f>
        <v>40</v>
      </c>
      <c r="K19" s="239" t="s">
        <v>42</v>
      </c>
      <c r="L19" s="239"/>
      <c r="M19" s="239"/>
      <c r="N19" s="241">
        <f>(J10*N10+J11*N11+J12*N12+J13*N13+J14*N14+J15*N15+J16*N16+J17*N17+J18*N18)</f>
        <v>120</v>
      </c>
      <c r="O19" s="241"/>
      <c r="P19" s="241"/>
    </row>
    <row r="20" spans="2:27" ht="10.5" customHeight="1" thickTop="1">
      <c r="C20" s="112"/>
    </row>
    <row r="21" spans="2:27" s="10" customFormat="1" ht="17.25" customHeight="1">
      <c r="B21" s="107" t="s">
        <v>38</v>
      </c>
      <c r="C21" s="21"/>
      <c r="D21" s="250" t="s">
        <v>102</v>
      </c>
      <c r="E21" s="251"/>
      <c r="F21" s="251"/>
      <c r="G21" s="251"/>
      <c r="H21" s="251"/>
      <c r="I21" s="251"/>
      <c r="J21" s="251"/>
      <c r="K21" s="251" t="s">
        <v>43</v>
      </c>
      <c r="L21" s="251"/>
      <c r="M21" s="251"/>
      <c r="N21" s="251"/>
      <c r="O21" s="251"/>
      <c r="P21" s="251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248" t="s">
        <v>44</v>
      </c>
      <c r="C22" s="12"/>
      <c r="D22" s="263" t="s">
        <v>132</v>
      </c>
      <c r="E22" s="264"/>
      <c r="F22" s="264"/>
      <c r="G22" s="264"/>
      <c r="H22" s="264"/>
      <c r="I22" s="264"/>
      <c r="J22" s="264"/>
      <c r="K22" s="264"/>
      <c r="L22" s="264"/>
      <c r="M22" s="265"/>
      <c r="N22" s="252" t="str">
        <f>(LEN(D22)/4)+(LEN(D23)/4)&amp;"명"</f>
        <v>24명</v>
      </c>
      <c r="O22" s="253"/>
      <c r="P22" s="254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248"/>
      <c r="C23" s="12"/>
      <c r="D23" s="266" t="s">
        <v>78</v>
      </c>
      <c r="E23" s="267"/>
      <c r="F23" s="267"/>
      <c r="G23" s="267"/>
      <c r="H23" s="267"/>
      <c r="I23" s="267"/>
      <c r="J23" s="267"/>
      <c r="K23" s="267"/>
      <c r="L23" s="267"/>
      <c r="M23" s="268"/>
      <c r="N23" s="255"/>
      <c r="O23" s="256"/>
      <c r="P23" s="257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245" t="s">
        <v>45</v>
      </c>
      <c r="C24" s="13"/>
      <c r="D24" s="249" t="s">
        <v>46</v>
      </c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246"/>
      <c r="C25" s="13"/>
      <c r="D25" s="249" t="s">
        <v>47</v>
      </c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247"/>
      <c r="C26" s="17"/>
      <c r="D26" s="249" t="s">
        <v>48</v>
      </c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245" t="s">
        <v>49</v>
      </c>
      <c r="C28" s="16"/>
      <c r="D28" s="259" t="s">
        <v>50</v>
      </c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1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246"/>
      <c r="C29" s="12"/>
      <c r="D29" s="259" t="s">
        <v>51</v>
      </c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1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247"/>
      <c r="C30" s="18"/>
      <c r="D30" s="259" t="s">
        <v>52</v>
      </c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1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240" t="s">
        <v>53</v>
      </c>
      <c r="C32" s="19"/>
      <c r="D32" s="232" t="s">
        <v>123</v>
      </c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4"/>
    </row>
    <row r="33" spans="2:16" ht="11.25" customHeight="1">
      <c r="B33" s="240"/>
      <c r="C33" s="14"/>
      <c r="D33" s="235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7"/>
    </row>
    <row r="34" spans="2:16" ht="11.25" customHeight="1">
      <c r="B34" s="240"/>
      <c r="C34" s="14"/>
      <c r="D34" s="232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4"/>
    </row>
    <row r="35" spans="2:16" ht="11.25" customHeight="1">
      <c r="B35" s="240"/>
      <c r="C35" s="14"/>
      <c r="D35" s="235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7"/>
    </row>
    <row r="36" spans="2:16" ht="11.25" customHeight="1">
      <c r="B36" s="240"/>
      <c r="C36" s="14"/>
      <c r="D36" s="232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4"/>
    </row>
    <row r="37" spans="2:16" ht="11.25" customHeight="1">
      <c r="B37" s="240"/>
      <c r="C37" s="20"/>
      <c r="D37" s="235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7"/>
    </row>
    <row r="38" spans="2:16" ht="4.5" customHeight="1">
      <c r="C38" s="112"/>
      <c r="D38" s="2"/>
      <c r="E38" s="105"/>
      <c r="F38" s="105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58" t="s">
        <v>54</v>
      </c>
      <c r="C39" s="114"/>
      <c r="D39" s="232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4"/>
    </row>
    <row r="40" spans="2:16" ht="9.75" customHeight="1">
      <c r="B40" s="258"/>
      <c r="C40" s="112"/>
      <c r="D40" s="242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4"/>
    </row>
    <row r="41" spans="2:16" ht="9.75" customHeight="1">
      <c r="B41" s="258"/>
      <c r="C41" s="112"/>
      <c r="D41" s="235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7"/>
    </row>
    <row r="42" spans="2:16" ht="9.75" customHeight="1">
      <c r="B42" s="258" t="s">
        <v>12</v>
      </c>
      <c r="D42" s="232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</row>
    <row r="43" spans="2:16" ht="9.75" customHeight="1">
      <c r="B43" s="258"/>
      <c r="D43" s="242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4"/>
    </row>
    <row r="44" spans="2:16" ht="9.75" customHeight="1">
      <c r="B44" s="258"/>
      <c r="D44" s="235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7"/>
    </row>
    <row r="45" spans="2:16" ht="9.75" customHeight="1">
      <c r="B45" s="258" t="s">
        <v>3</v>
      </c>
      <c r="D45" s="232" t="s">
        <v>128</v>
      </c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4"/>
    </row>
    <row r="46" spans="2:16" ht="9.75" customHeight="1">
      <c r="B46" s="258"/>
      <c r="D46" s="242" t="s">
        <v>107</v>
      </c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4"/>
    </row>
    <row r="47" spans="2:16" ht="9.75" customHeight="1">
      <c r="B47" s="258"/>
      <c r="C47" s="15"/>
      <c r="D47" s="235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7"/>
    </row>
    <row r="54" spans="2:45" s="2" customFormat="1" ht="9.75" customHeight="1">
      <c r="B54" s="6" t="s">
        <v>2</v>
      </c>
      <c r="C54" s="112"/>
      <c r="D54" s="61" t="s">
        <v>100</v>
      </c>
      <c r="E54" s="55"/>
      <c r="F54" s="55"/>
      <c r="G54" s="55" t="s">
        <v>105</v>
      </c>
      <c r="H54" s="56"/>
      <c r="I54" s="56"/>
      <c r="J54" s="56"/>
      <c r="K54" s="56"/>
      <c r="L54" s="56"/>
      <c r="M54" s="56"/>
      <c r="N54" s="56"/>
      <c r="O54" s="56"/>
      <c r="P54" s="55"/>
      <c r="Q54" s="35"/>
      <c r="R54" s="37" t="s">
        <v>34</v>
      </c>
      <c r="S54" s="280">
        <f ca="1">NOW()</f>
        <v>44128.683189236108</v>
      </c>
      <c r="T54" s="280"/>
      <c r="U54" s="280"/>
      <c r="V54" s="280"/>
      <c r="W54" s="280"/>
      <c r="X54" s="280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12"/>
      <c r="C55" s="112"/>
      <c r="D55" s="114"/>
      <c r="E55" s="114"/>
      <c r="F55" s="114"/>
      <c r="G55" s="114"/>
      <c r="H55" s="114"/>
      <c r="I55" s="201"/>
      <c r="J55" s="114"/>
      <c r="K55" s="114"/>
      <c r="L55" s="201"/>
      <c r="M55" s="114"/>
      <c r="N55" s="114"/>
      <c r="O55" s="201"/>
      <c r="P55" s="114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192" t="s">
        <v>55</v>
      </c>
      <c r="C56" s="193"/>
      <c r="D56" s="192" t="s">
        <v>83</v>
      </c>
      <c r="E56" s="198"/>
      <c r="F56" s="198"/>
      <c r="G56" s="139"/>
      <c r="H56" s="139"/>
      <c r="I56" s="139"/>
      <c r="J56" s="139"/>
      <c r="K56" s="139"/>
      <c r="L56" s="138"/>
      <c r="M56" s="139"/>
      <c r="N56" s="139"/>
      <c r="O56" s="138"/>
      <c r="P56" s="194" t="s">
        <v>133</v>
      </c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6" t="s">
        <v>56</v>
      </c>
      <c r="C57" s="112"/>
      <c r="D57" s="197" t="s">
        <v>84</v>
      </c>
      <c r="E57" s="198"/>
      <c r="F57" s="198"/>
      <c r="G57" s="139"/>
      <c r="H57" s="139"/>
      <c r="I57" s="139"/>
      <c r="J57" s="139"/>
      <c r="K57" s="139"/>
      <c r="L57" s="138"/>
      <c r="M57" s="139"/>
      <c r="N57" s="139"/>
      <c r="O57" s="138"/>
      <c r="P57" s="194" t="s">
        <v>134</v>
      </c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6" t="s">
        <v>57</v>
      </c>
      <c r="C58" s="112"/>
      <c r="D58" s="197" t="s">
        <v>112</v>
      </c>
      <c r="E58" s="198"/>
      <c r="F58" s="198"/>
      <c r="G58" s="139"/>
      <c r="H58" s="139"/>
      <c r="I58" s="139"/>
      <c r="J58" s="139"/>
      <c r="K58" s="139"/>
      <c r="L58" s="138"/>
      <c r="M58" s="139"/>
      <c r="N58" s="139"/>
      <c r="O58" s="138"/>
      <c r="P58" s="194" t="s">
        <v>135</v>
      </c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6" t="s">
        <v>58</v>
      </c>
      <c r="C59" s="112"/>
      <c r="D59" s="197" t="s">
        <v>108</v>
      </c>
      <c r="E59" s="198"/>
      <c r="F59" s="198"/>
      <c r="G59" s="139"/>
      <c r="H59" s="139"/>
      <c r="I59" s="139"/>
      <c r="J59" s="139"/>
      <c r="K59" s="139"/>
      <c r="L59" s="138"/>
      <c r="M59" s="139"/>
      <c r="N59" s="139"/>
      <c r="O59" s="138"/>
      <c r="P59" s="194" t="s">
        <v>136</v>
      </c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>훈 신우 상은/ 다운</v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206"/>
      <c r="C60" s="112"/>
      <c r="D60" s="197"/>
      <c r="E60" s="198"/>
      <c r="F60" s="198"/>
      <c r="G60" s="139"/>
      <c r="H60" s="139"/>
      <c r="I60" s="139"/>
      <c r="J60" s="139"/>
      <c r="K60" s="139"/>
      <c r="L60" s="138"/>
      <c r="M60" s="139"/>
      <c r="N60" s="139"/>
      <c r="O60" s="138"/>
      <c r="P60" s="139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78" t="s">
        <v>59</v>
      </c>
      <c r="C61" s="112"/>
      <c r="D61" s="291" t="s">
        <v>129</v>
      </c>
      <c r="E61" s="198"/>
      <c r="F61" s="198"/>
      <c r="G61" s="139"/>
      <c r="H61" s="139"/>
      <c r="I61" s="139"/>
      <c r="J61" s="139"/>
      <c r="K61" s="139"/>
      <c r="L61" s="138"/>
      <c r="M61" s="139"/>
      <c r="N61" s="139"/>
      <c r="O61" s="138"/>
      <c r="P61" s="139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279"/>
      <c r="C62" s="112"/>
      <c r="D62" s="292"/>
      <c r="E62" s="198"/>
      <c r="F62" s="198"/>
      <c r="G62" s="139"/>
      <c r="H62" s="139"/>
      <c r="I62" s="139"/>
      <c r="J62" s="139"/>
      <c r="K62" s="139"/>
      <c r="L62" s="138"/>
      <c r="M62" s="139"/>
      <c r="N62" s="139"/>
      <c r="O62" s="138"/>
      <c r="P62" s="139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7"/>
      <c r="C63" s="112"/>
      <c r="D63" s="113"/>
      <c r="E63" s="198"/>
      <c r="F63" s="198"/>
      <c r="G63" s="139"/>
      <c r="H63" s="139"/>
      <c r="I63" s="138"/>
      <c r="J63" s="139"/>
      <c r="K63" s="139"/>
      <c r="L63" s="138"/>
      <c r="M63" s="139"/>
      <c r="N63" s="139"/>
      <c r="O63" s="138"/>
      <c r="P63" s="139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73" t="s">
        <v>60</v>
      </c>
      <c r="C64" s="112"/>
      <c r="D64" s="73" t="s">
        <v>85</v>
      </c>
      <c r="E64" s="112"/>
      <c r="F64" s="198"/>
      <c r="G64" s="194"/>
      <c r="H64" s="138"/>
      <c r="I64" s="138"/>
      <c r="J64" s="139"/>
      <c r="K64" s="138"/>
      <c r="L64" s="138"/>
      <c r="M64" s="139"/>
      <c r="N64" s="138"/>
      <c r="O64" s="138"/>
      <c r="P64" s="139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75"/>
      <c r="C65" s="112"/>
      <c r="D65" s="75"/>
      <c r="E65" s="112"/>
      <c r="F65" s="198"/>
      <c r="G65" s="139"/>
      <c r="H65" s="138"/>
      <c r="I65" s="138"/>
      <c r="J65" s="139"/>
      <c r="K65" s="138"/>
      <c r="L65" s="138"/>
      <c r="M65" s="139"/>
      <c r="N65" s="138"/>
      <c r="O65" s="138"/>
      <c r="P65" s="139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76"/>
      <c r="C66" s="112"/>
      <c r="D66" s="76"/>
      <c r="E66" s="112"/>
      <c r="F66" s="198"/>
      <c r="G66" s="139"/>
      <c r="H66" s="138"/>
      <c r="I66" s="138"/>
      <c r="J66" s="139"/>
      <c r="K66" s="138"/>
      <c r="L66" s="138"/>
      <c r="M66" s="139"/>
      <c r="N66" s="138"/>
      <c r="O66" s="138"/>
      <c r="P66" s="139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12"/>
      <c r="C67" s="112"/>
      <c r="D67" s="113"/>
      <c r="E67" s="112"/>
      <c r="F67" s="198"/>
      <c r="G67" s="139"/>
      <c r="H67" s="138"/>
      <c r="I67" s="138"/>
      <c r="J67" s="139"/>
      <c r="K67" s="138"/>
      <c r="L67" s="138"/>
      <c r="M67" s="139"/>
      <c r="N67" s="138"/>
      <c r="O67" s="138"/>
      <c r="P67" s="139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9" t="s">
        <v>61</v>
      </c>
      <c r="C68" s="112"/>
      <c r="D68" s="9" t="s">
        <v>86</v>
      </c>
      <c r="E68" s="112"/>
      <c r="F68" s="198"/>
      <c r="G68" s="139"/>
      <c r="H68" s="138"/>
      <c r="I68" s="138"/>
      <c r="J68" s="139"/>
      <c r="K68" s="138"/>
      <c r="L68" s="138"/>
      <c r="M68" s="139"/>
      <c r="N68" s="138"/>
      <c r="O68" s="138"/>
      <c r="P68" s="139"/>
      <c r="Q68" s="24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103" t="s">
        <v>11</v>
      </c>
      <c r="C69" s="112"/>
      <c r="D69" s="75" t="s">
        <v>87</v>
      </c>
      <c r="E69" s="112"/>
      <c r="F69" s="198"/>
      <c r="G69" s="139"/>
      <c r="H69" s="138"/>
      <c r="I69" s="138"/>
      <c r="J69" s="139"/>
      <c r="K69" s="138"/>
      <c r="L69" s="138"/>
      <c r="M69" s="139"/>
      <c r="N69" s="138"/>
      <c r="O69" s="138"/>
      <c r="P69" s="139"/>
      <c r="Q69" s="24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103" t="s">
        <v>0</v>
      </c>
      <c r="C70" s="112"/>
      <c r="D70" s="8" t="s">
        <v>88</v>
      </c>
      <c r="E70" s="112"/>
      <c r="F70" s="198"/>
      <c r="G70" s="139"/>
      <c r="H70" s="138"/>
      <c r="I70" s="138"/>
      <c r="J70" s="139"/>
      <c r="K70" s="138"/>
      <c r="L70" s="138"/>
      <c r="M70" s="139"/>
      <c r="N70" s="138"/>
      <c r="O70" s="138"/>
      <c r="P70" s="139"/>
      <c r="Q70" s="24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103" t="s">
        <v>62</v>
      </c>
      <c r="C71" s="112"/>
      <c r="D71" s="76" t="s">
        <v>89</v>
      </c>
      <c r="E71" s="112"/>
      <c r="F71" s="198"/>
      <c r="G71" s="198"/>
      <c r="H71" s="3"/>
      <c r="I71" s="3"/>
      <c r="J71" s="112"/>
      <c r="K71" s="3"/>
      <c r="L71" s="3"/>
      <c r="M71" s="112"/>
      <c r="N71" s="138"/>
      <c r="O71" s="138"/>
      <c r="P71" s="139"/>
      <c r="Q71" s="24"/>
      <c r="R71" s="32"/>
      <c r="S71" s="42"/>
      <c r="T71" s="42"/>
      <c r="U71" s="42"/>
      <c r="V71" s="32"/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12"/>
      <c r="C72" s="112"/>
      <c r="D72" s="113"/>
      <c r="E72" s="112"/>
      <c r="F72" s="198"/>
      <c r="G72" s="198"/>
      <c r="H72" s="3"/>
      <c r="I72" s="3"/>
      <c r="J72" s="112"/>
      <c r="K72" s="3"/>
      <c r="L72" s="3"/>
      <c r="M72" s="112"/>
      <c r="N72" s="112"/>
      <c r="O72" s="112"/>
      <c r="P72" s="112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9" t="s">
        <v>63</v>
      </c>
      <c r="C73" s="112"/>
      <c r="D73" s="9" t="s">
        <v>90</v>
      </c>
      <c r="E73" s="112"/>
      <c r="F73" s="198"/>
      <c r="G73" s="191" t="s">
        <v>164</v>
      </c>
      <c r="H73" s="3"/>
      <c r="I73" s="3"/>
      <c r="J73" s="112"/>
      <c r="K73" s="3"/>
      <c r="L73" s="3"/>
      <c r="M73" s="112"/>
      <c r="N73" s="3"/>
      <c r="O73" s="188"/>
      <c r="P73" s="9" t="s">
        <v>122</v>
      </c>
      <c r="Q73" s="24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3" t="s">
        <v>11</v>
      </c>
      <c r="C74" s="112"/>
      <c r="D74" s="75" t="s">
        <v>110</v>
      </c>
      <c r="E74" s="112"/>
      <c r="F74" s="198"/>
      <c r="G74" s="198"/>
      <c r="H74" s="3"/>
      <c r="I74" s="3"/>
      <c r="J74" s="112"/>
      <c r="K74" s="3"/>
      <c r="L74" s="3"/>
      <c r="M74" s="112"/>
      <c r="N74" s="3"/>
      <c r="O74" s="188"/>
      <c r="P74" s="187" t="s">
        <v>101</v>
      </c>
      <c r="Q74" s="24"/>
      <c r="R74" s="32"/>
      <c r="S74" s="54" t="s">
        <v>7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3" t="s">
        <v>0</v>
      </c>
      <c r="C75" s="112"/>
      <c r="D75" s="8" t="s">
        <v>124</v>
      </c>
      <c r="E75" s="112"/>
      <c r="F75" s="198"/>
      <c r="G75" s="198"/>
      <c r="H75" s="3"/>
      <c r="I75" s="3"/>
      <c r="J75" s="112"/>
      <c r="K75" s="3"/>
      <c r="L75" s="3"/>
      <c r="M75" s="112"/>
      <c r="N75" s="3"/>
      <c r="O75" s="188"/>
      <c r="P75" s="112"/>
      <c r="Q75" s="24"/>
      <c r="R75" s="32"/>
      <c r="S75" s="54" t="s">
        <v>5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3" t="s">
        <v>62</v>
      </c>
      <c r="C76" s="112"/>
      <c r="D76" s="76" t="s">
        <v>127</v>
      </c>
      <c r="E76" s="112"/>
      <c r="F76" s="198"/>
      <c r="G76" s="198"/>
      <c r="H76" s="3"/>
      <c r="I76" s="3"/>
      <c r="J76" s="198"/>
      <c r="K76" s="3"/>
      <c r="L76" s="3"/>
      <c r="M76" s="198"/>
      <c r="N76" s="3"/>
      <c r="O76" s="202"/>
      <c r="P76" s="198"/>
      <c r="Q76" s="24"/>
      <c r="R76" s="32"/>
      <c r="S76" s="62" t="s">
        <v>6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12"/>
      <c r="D77" s="112"/>
      <c r="E77" s="112"/>
      <c r="F77" s="15"/>
      <c r="G77" s="15"/>
      <c r="H77" s="199"/>
      <c r="I77" s="199"/>
      <c r="J77" s="15"/>
      <c r="K77" s="167"/>
      <c r="L77" s="199"/>
      <c r="M77" s="199"/>
      <c r="N77" s="199"/>
      <c r="O77" s="199"/>
      <c r="P77" s="199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12"/>
      <c r="D78" s="58"/>
      <c r="E78" s="59"/>
      <c r="F78" s="204"/>
      <c r="G78" s="204"/>
      <c r="H78" s="204"/>
      <c r="I78" s="204"/>
      <c r="J78" s="204" t="s">
        <v>103</v>
      </c>
      <c r="K78" s="204"/>
      <c r="L78" s="204"/>
      <c r="M78" s="204"/>
      <c r="N78" s="204"/>
      <c r="O78" s="204"/>
      <c r="P78" s="205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12"/>
      <c r="C79" s="112"/>
      <c r="D79" s="112"/>
      <c r="E79" s="113"/>
      <c r="F79" s="112"/>
      <c r="G79" s="112"/>
      <c r="I79" s="104"/>
      <c r="J79" s="112"/>
      <c r="K79" s="3"/>
      <c r="L79" s="104"/>
      <c r="M79" s="105"/>
      <c r="N79" s="105"/>
      <c r="O79" s="200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12"/>
      <c r="D80" s="61" t="s">
        <v>91</v>
      </c>
      <c r="E80" s="55"/>
      <c r="F80" s="55"/>
      <c r="G80" s="55" t="s">
        <v>126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52" s="2" customFormat="1" ht="1.5" customHeight="1">
      <c r="B81" s="112"/>
      <c r="C81" s="112"/>
      <c r="D81" s="112"/>
      <c r="E81" s="112"/>
      <c r="F81" s="198"/>
      <c r="G81" s="112"/>
      <c r="H81" s="202"/>
      <c r="I81" s="202"/>
      <c r="J81" s="112"/>
      <c r="K81" s="3"/>
      <c r="L81" s="202"/>
      <c r="M81" s="105"/>
      <c r="N81" s="202"/>
      <c r="O81" s="202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52" s="2" customFormat="1" ht="9.75" customHeight="1">
      <c r="B82" s="9" t="s">
        <v>64</v>
      </c>
      <c r="C82" s="112"/>
      <c r="D82" s="9" t="s">
        <v>92</v>
      </c>
      <c r="E82" s="112"/>
      <c r="F82" s="198"/>
      <c r="G82" s="191" t="s">
        <v>113</v>
      </c>
      <c r="H82" s="3"/>
      <c r="I82" s="3"/>
      <c r="J82" s="112"/>
      <c r="K82" s="3"/>
      <c r="L82" s="3"/>
      <c r="M82" s="112"/>
      <c r="N82" s="3"/>
      <c r="O82" s="3"/>
      <c r="P82" s="112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52" s="2" customFormat="1" ht="9.75" customHeight="1">
      <c r="B83" s="103" t="s">
        <v>11</v>
      </c>
      <c r="C83" s="112"/>
      <c r="D83" s="75" t="s">
        <v>93</v>
      </c>
      <c r="E83" s="112"/>
      <c r="F83" s="198"/>
      <c r="G83" s="198"/>
      <c r="H83" s="3"/>
      <c r="I83" s="3"/>
      <c r="J83" s="112"/>
      <c r="K83" s="3"/>
      <c r="L83" s="3"/>
      <c r="M83" s="112"/>
      <c r="N83" s="3"/>
      <c r="O83" s="3"/>
      <c r="P83" s="112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52" s="2" customFormat="1" ht="9.75" customHeight="1">
      <c r="B84" s="103" t="s">
        <v>0</v>
      </c>
      <c r="C84" s="112"/>
      <c r="D84" s="8" t="s">
        <v>88</v>
      </c>
      <c r="E84" s="112"/>
      <c r="F84" s="198"/>
      <c r="G84" s="198"/>
      <c r="H84" s="3"/>
      <c r="I84" s="3"/>
      <c r="J84" s="112"/>
      <c r="K84" s="3"/>
      <c r="L84" s="3"/>
      <c r="M84" s="112"/>
      <c r="N84" s="3"/>
      <c r="O84" s="3"/>
      <c r="P84" s="112"/>
      <c r="Q84" s="24"/>
      <c r="R84" s="32"/>
      <c r="S84" s="288" t="s">
        <v>27</v>
      </c>
      <c r="T84" s="289"/>
      <c r="U84" s="289"/>
      <c r="V84" s="290"/>
      <c r="W84" s="45"/>
      <c r="X84" s="282" t="s">
        <v>28</v>
      </c>
      <c r="Y84" s="283"/>
      <c r="Z84" s="283"/>
      <c r="AA84" s="283"/>
      <c r="AB84" s="284"/>
      <c r="AC84" s="275" t="s">
        <v>29</v>
      </c>
      <c r="AD84" s="276"/>
      <c r="AE84" s="276"/>
      <c r="AF84" s="276"/>
      <c r="AG84" s="276"/>
      <c r="AH84" s="276"/>
      <c r="AI84" s="276"/>
      <c r="AJ84" s="276"/>
      <c r="AK84" s="276"/>
      <c r="AL84" s="276"/>
      <c r="AM84" s="276"/>
      <c r="AN84" s="276"/>
      <c r="AO84" s="277"/>
      <c r="AP84" s="69"/>
      <c r="AQ84" s="69"/>
      <c r="AR84" s="69"/>
      <c r="AS84" s="69"/>
    </row>
    <row r="85" spans="2:52" s="2" customFormat="1" ht="9.75" customHeight="1">
      <c r="B85" s="103" t="s">
        <v>62</v>
      </c>
      <c r="C85" s="112"/>
      <c r="D85" s="76" t="s">
        <v>106</v>
      </c>
      <c r="E85" s="112"/>
      <c r="F85" s="198"/>
      <c r="G85" s="198"/>
      <c r="H85" s="3"/>
      <c r="I85" s="3"/>
      <c r="J85" s="112"/>
      <c r="K85" s="3"/>
      <c r="L85" s="3"/>
      <c r="M85" s="112"/>
      <c r="N85" s="3"/>
      <c r="O85" s="3"/>
      <c r="P85" s="112"/>
      <c r="Q85" s="24"/>
      <c r="R85" s="3"/>
      <c r="S85" s="128" t="s">
        <v>26</v>
      </c>
      <c r="T85" s="129" t="s">
        <v>30</v>
      </c>
      <c r="U85" s="130" t="s">
        <v>9</v>
      </c>
      <c r="V85" s="124" t="s">
        <v>10</v>
      </c>
      <c r="W85" s="34"/>
      <c r="X85" s="122" t="s">
        <v>26</v>
      </c>
      <c r="Y85" s="124" t="s">
        <v>30</v>
      </c>
      <c r="Z85" s="131" t="s">
        <v>9</v>
      </c>
      <c r="AA85" s="123" t="s">
        <v>31</v>
      </c>
      <c r="AB85" s="134" t="s">
        <v>25</v>
      </c>
      <c r="AC85" s="83" t="s">
        <v>32</v>
      </c>
      <c r="AD85" s="84"/>
      <c r="AE85" s="84"/>
      <c r="AF85" s="85" t="s">
        <v>10</v>
      </c>
      <c r="AG85" s="84"/>
      <c r="AH85" s="84"/>
      <c r="AI85" s="86" t="s">
        <v>25</v>
      </c>
      <c r="AJ85" s="84"/>
      <c r="AK85" s="84"/>
      <c r="AL85" s="208" t="s">
        <v>140</v>
      </c>
      <c r="AM85" s="208"/>
      <c r="AN85" s="209"/>
      <c r="AO85" s="94" t="s">
        <v>141</v>
      </c>
      <c r="AP85" s="81"/>
      <c r="AQ85" s="81"/>
      <c r="AR85" s="144"/>
      <c r="AS85" s="144"/>
      <c r="AT85" s="144"/>
      <c r="AU85" s="144"/>
      <c r="AV85" s="215"/>
      <c r="AW85" s="215"/>
      <c r="AX85" s="215"/>
      <c r="AY85" s="215"/>
      <c r="AZ85" s="215"/>
    </row>
    <row r="86" spans="2:52" s="2" customFormat="1" ht="1.5" customHeight="1">
      <c r="B86" s="112"/>
      <c r="C86" s="112"/>
      <c r="D86" s="112"/>
      <c r="F86" s="202"/>
      <c r="G86" s="3"/>
      <c r="H86" s="3"/>
      <c r="I86" s="3"/>
      <c r="J86" s="112"/>
      <c r="K86" s="3"/>
      <c r="L86" s="3"/>
      <c r="M86" s="3"/>
      <c r="N86" s="3"/>
      <c r="O86" s="3"/>
      <c r="P86" s="112"/>
      <c r="Q86" s="24"/>
      <c r="R86" s="3"/>
      <c r="S86" s="79"/>
      <c r="T86" s="79"/>
      <c r="U86" s="132"/>
      <c r="V86" s="3"/>
      <c r="W86" s="3"/>
      <c r="X86" s="3"/>
      <c r="Y86" s="3"/>
      <c r="Z86" s="133"/>
      <c r="AA86" s="3"/>
      <c r="AB86" s="80"/>
      <c r="AC86" s="80"/>
      <c r="AD86" s="81"/>
      <c r="AE86" s="81"/>
      <c r="AF86" s="80"/>
      <c r="AG86" s="81"/>
      <c r="AH86" s="81"/>
      <c r="AI86" s="81"/>
      <c r="AJ86" s="69"/>
      <c r="AK86" s="69"/>
      <c r="AL86" s="81"/>
      <c r="AM86" s="81"/>
      <c r="AN86" s="125"/>
      <c r="AO86" s="81"/>
      <c r="AP86" s="81"/>
      <c r="AQ86" s="81"/>
      <c r="AR86" s="81"/>
      <c r="AS86" s="81"/>
      <c r="AT86" s="81"/>
      <c r="AU86" s="81"/>
      <c r="AV86" s="215"/>
      <c r="AW86" s="215"/>
      <c r="AX86" s="215"/>
      <c r="AY86" s="215"/>
      <c r="AZ86" s="215"/>
    </row>
    <row r="87" spans="2:52" s="2" customFormat="1" ht="9.75" customHeight="1">
      <c r="B87" s="9" t="s">
        <v>65</v>
      </c>
      <c r="C87" s="112"/>
      <c r="D87" s="9" t="s">
        <v>94</v>
      </c>
      <c r="E87" s="112"/>
      <c r="F87" s="198"/>
      <c r="G87" s="198"/>
      <c r="H87" s="3"/>
      <c r="I87" s="3"/>
      <c r="J87" s="112"/>
      <c r="K87" s="3"/>
      <c r="L87" s="3"/>
      <c r="M87" s="112"/>
      <c r="N87" s="3"/>
      <c r="O87" s="3"/>
      <c r="P87" s="112"/>
      <c r="Q87" s="24"/>
      <c r="R87" s="66" t="s">
        <v>144</v>
      </c>
      <c r="S87" s="219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221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0</v>
      </c>
      <c r="Y87" s="64">
        <f t="shared" si="0"/>
        <v>0</v>
      </c>
      <c r="Z87" s="44">
        <f t="shared" si="0"/>
        <v>0</v>
      </c>
      <c r="AA87" s="68">
        <f t="shared" si="0"/>
        <v>0</v>
      </c>
      <c r="AB87" s="11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0">
        <f>Z87+U184</f>
        <v>0</v>
      </c>
      <c r="AD87" s="118"/>
      <c r="AE87" s="118"/>
      <c r="AF87" s="82">
        <f>AA87+V184</f>
        <v>0</v>
      </c>
      <c r="AG87" s="118"/>
      <c r="AH87" s="118"/>
      <c r="AI87" s="117">
        <f>AB87+X184</f>
        <v>0</v>
      </c>
      <c r="AJ87" s="118"/>
      <c r="AK87" s="118"/>
      <c r="AL87" s="210">
        <v>0</v>
      </c>
      <c r="AM87" s="118"/>
      <c r="AN87" s="118"/>
      <c r="AO87" s="152">
        <v>0</v>
      </c>
      <c r="AP87" s="144"/>
      <c r="AQ87" s="144"/>
      <c r="AR87" s="144"/>
      <c r="AS87" s="144"/>
      <c r="AT87" s="144"/>
      <c r="AU87" s="144"/>
      <c r="AV87" s="215"/>
      <c r="AW87" s="215"/>
      <c r="AX87" s="215"/>
      <c r="AY87" s="215"/>
      <c r="AZ87" s="215"/>
    </row>
    <row r="88" spans="2:52" s="2" customFormat="1" ht="9.75" customHeight="1">
      <c r="B88" s="103" t="s">
        <v>11</v>
      </c>
      <c r="C88" s="112"/>
      <c r="D88" s="75" t="s">
        <v>82</v>
      </c>
      <c r="E88" s="112"/>
      <c r="F88" s="198"/>
      <c r="G88" s="198"/>
      <c r="H88" s="3"/>
      <c r="I88" s="3"/>
      <c r="J88" s="112"/>
      <c r="K88" s="3"/>
      <c r="L88" s="3"/>
      <c r="M88" s="112"/>
      <c r="N88" s="3"/>
      <c r="O88" s="3"/>
      <c r="P88" s="112"/>
      <c r="Q88" s="24"/>
      <c r="R88" s="65" t="s">
        <v>145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3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6">
        <f>S88*2+T88</f>
        <v>0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0</v>
      </c>
      <c r="Z88" s="47">
        <f t="shared" si="0"/>
        <v>0</v>
      </c>
      <c r="AA88" s="3">
        <f t="shared" si="0"/>
        <v>0</v>
      </c>
      <c r="AB88" s="8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9">
        <f>Z88+U185</f>
        <v>0</v>
      </c>
      <c r="AD88" s="81"/>
      <c r="AE88" s="81"/>
      <c r="AF88" s="72">
        <f>AA88+V185</f>
        <v>0</v>
      </c>
      <c r="AG88" s="81"/>
      <c r="AH88" s="81"/>
      <c r="AI88" s="87">
        <f>AB88+X185</f>
        <v>0</v>
      </c>
      <c r="AJ88" s="69"/>
      <c r="AK88" s="69"/>
      <c r="AL88" s="144">
        <v>0</v>
      </c>
      <c r="AM88" s="81"/>
      <c r="AN88" s="81"/>
      <c r="AO88" s="222">
        <v>0</v>
      </c>
      <c r="AP88" s="3"/>
      <c r="AQ88" s="3"/>
      <c r="AR88" s="144"/>
      <c r="AS88" s="144"/>
      <c r="AT88" s="144"/>
      <c r="AU88" s="144"/>
      <c r="AV88" s="144"/>
      <c r="AW88" s="144"/>
      <c r="AX88" s="144"/>
      <c r="AY88" s="215"/>
      <c r="AZ88" s="215"/>
    </row>
    <row r="89" spans="2:52" s="2" customFormat="1" ht="9.75" customHeight="1">
      <c r="B89" s="103" t="s">
        <v>0</v>
      </c>
      <c r="C89" s="112"/>
      <c r="D89" s="8" t="s">
        <v>95</v>
      </c>
      <c r="E89" s="112"/>
      <c r="F89" s="198"/>
      <c r="G89" s="198"/>
      <c r="H89" s="3"/>
      <c r="I89" s="3"/>
      <c r="J89" s="112"/>
      <c r="K89" s="3"/>
      <c r="L89" s="3"/>
      <c r="M89" s="112"/>
      <c r="N89" s="3"/>
      <c r="O89" s="3"/>
      <c r="P89" s="112"/>
      <c r="Q89" s="24"/>
      <c r="R89" s="65" t="s">
        <v>146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3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9">
        <f>Z89+U186</f>
        <v>0</v>
      </c>
      <c r="AD89" s="81"/>
      <c r="AE89" s="81"/>
      <c r="AF89" s="72">
        <f>AA89+V186</f>
        <v>0</v>
      </c>
      <c r="AG89" s="81"/>
      <c r="AH89" s="81"/>
      <c r="AI89" s="87">
        <f>AB89+X186</f>
        <v>0</v>
      </c>
      <c r="AJ89" s="69"/>
      <c r="AK89" s="69"/>
      <c r="AL89" s="144">
        <v>0</v>
      </c>
      <c r="AM89" s="81"/>
      <c r="AN89" s="81"/>
      <c r="AO89" s="222">
        <v>0</v>
      </c>
      <c r="AP89" s="3"/>
      <c r="AQ89" s="3"/>
      <c r="AR89" s="144"/>
      <c r="AS89" s="144"/>
      <c r="AT89" s="144"/>
      <c r="AU89" s="144"/>
      <c r="AV89" s="144"/>
      <c r="AW89" s="144"/>
      <c r="AX89" s="144"/>
      <c r="AY89" s="215"/>
      <c r="AZ89" s="215"/>
    </row>
    <row r="90" spans="2:52" s="2" customFormat="1" ht="9.75" customHeight="1">
      <c r="B90" s="103" t="s">
        <v>62</v>
      </c>
      <c r="C90" s="112"/>
      <c r="D90" s="76" t="s">
        <v>139</v>
      </c>
      <c r="E90" s="112"/>
      <c r="F90" s="198"/>
      <c r="G90" s="198"/>
      <c r="H90" s="3"/>
      <c r="I90" s="3"/>
      <c r="J90" s="112"/>
      <c r="K90" s="3"/>
      <c r="L90" s="3"/>
      <c r="M90" s="112"/>
      <c r="N90" s="3"/>
      <c r="O90" s="3"/>
      <c r="P90" s="112"/>
      <c r="Q90" s="24"/>
      <c r="R90" s="65" t="s">
        <v>24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3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9">
        <f>Z90+U188</f>
        <v>0</v>
      </c>
      <c r="AD90" s="81"/>
      <c r="AE90" s="81"/>
      <c r="AF90" s="72">
        <f>AA90+V188</f>
        <v>0</v>
      </c>
      <c r="AG90" s="81"/>
      <c r="AH90" s="81"/>
      <c r="AI90" s="87">
        <f>AB90+X188</f>
        <v>0</v>
      </c>
      <c r="AJ90" s="69"/>
      <c r="AK90" s="69"/>
      <c r="AL90" s="144">
        <v>0</v>
      </c>
      <c r="AM90" s="81"/>
      <c r="AN90" s="81"/>
      <c r="AO90" s="222">
        <v>0</v>
      </c>
      <c r="AP90" s="3"/>
      <c r="AQ90" s="3"/>
      <c r="AR90" s="144"/>
      <c r="AS90" s="144"/>
      <c r="AT90" s="144"/>
      <c r="AU90" s="144"/>
      <c r="AV90" s="144"/>
      <c r="AW90" s="144"/>
      <c r="AX90" s="144"/>
      <c r="AY90" s="215"/>
      <c r="AZ90" s="215"/>
    </row>
    <row r="91" spans="2:52" s="2" customFormat="1" ht="1.5" customHeight="1">
      <c r="B91" s="7"/>
      <c r="C91" s="112"/>
      <c r="D91" s="112"/>
      <c r="F91" s="202"/>
      <c r="G91" s="3"/>
      <c r="H91" s="3"/>
      <c r="I91" s="3"/>
      <c r="J91" s="112"/>
      <c r="K91" s="3"/>
      <c r="L91" s="3"/>
      <c r="M91" s="3"/>
      <c r="N91" s="3"/>
      <c r="O91" s="3"/>
      <c r="P91" s="112"/>
      <c r="Q91" s="24"/>
      <c r="R91" s="65"/>
      <c r="S91" s="45"/>
      <c r="T91" s="163"/>
      <c r="U91" s="46"/>
      <c r="V91" s="34"/>
      <c r="W91" s="3"/>
      <c r="X91" s="4"/>
      <c r="Y91" s="34"/>
      <c r="Z91" s="47"/>
      <c r="AA91" s="3"/>
      <c r="AB91" s="87"/>
      <c r="AC91" s="119"/>
      <c r="AD91" s="81"/>
      <c r="AE91" s="81"/>
      <c r="AF91" s="72"/>
      <c r="AG91" s="81"/>
      <c r="AH91" s="81"/>
      <c r="AI91" s="87"/>
      <c r="AJ91" s="69"/>
      <c r="AK91" s="69"/>
      <c r="AL91" s="144"/>
      <c r="AM91" s="81"/>
      <c r="AN91" s="81"/>
      <c r="AO91" s="222"/>
      <c r="AP91" s="3"/>
      <c r="AQ91" s="3"/>
      <c r="AR91" s="144"/>
      <c r="AS91" s="144"/>
      <c r="AT91" s="144"/>
      <c r="AU91" s="144"/>
      <c r="AV91" s="144"/>
      <c r="AW91" s="144"/>
      <c r="AX91" s="144"/>
      <c r="AY91" s="215"/>
      <c r="AZ91" s="215"/>
    </row>
    <row r="92" spans="2:52" s="2" customFormat="1" ht="9.75" customHeight="1">
      <c r="B92" s="9" t="s">
        <v>61</v>
      </c>
      <c r="C92" s="112"/>
      <c r="D92" s="9" t="s">
        <v>125</v>
      </c>
      <c r="E92" s="112"/>
      <c r="F92" s="198"/>
      <c r="G92" s="198"/>
      <c r="H92" s="3"/>
      <c r="I92" s="3"/>
      <c r="J92" s="112"/>
      <c r="K92" s="3"/>
      <c r="L92" s="3"/>
      <c r="M92" s="112"/>
      <c r="N92" s="3"/>
      <c r="O92" s="3"/>
      <c r="P92" s="112"/>
      <c r="Q92" s="24"/>
      <c r="R92" s="65" t="s">
        <v>14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3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0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4">
        <f t="shared" si="3"/>
        <v>0</v>
      </c>
      <c r="Z92" s="47">
        <f t="shared" si="3"/>
        <v>0</v>
      </c>
      <c r="AA92" s="3">
        <f t="shared" si="3"/>
        <v>0</v>
      </c>
      <c r="AB92" s="8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9">
        <f>Z92+U189</f>
        <v>0</v>
      </c>
      <c r="AD92" s="81"/>
      <c r="AE92" s="81"/>
      <c r="AF92" s="72">
        <f>AA92+V189</f>
        <v>0</v>
      </c>
      <c r="AG92" s="81"/>
      <c r="AH92" s="81"/>
      <c r="AI92" s="87">
        <f>AB92+X189</f>
        <v>0</v>
      </c>
      <c r="AJ92" s="69"/>
      <c r="AK92" s="69"/>
      <c r="AL92" s="144">
        <v>0</v>
      </c>
      <c r="AM92" s="81"/>
      <c r="AN92" s="81"/>
      <c r="AO92" s="222">
        <v>0</v>
      </c>
      <c r="AP92" s="3"/>
      <c r="AQ92" s="3"/>
      <c r="AR92" s="144"/>
      <c r="AS92" s="144"/>
      <c r="AT92" s="144"/>
      <c r="AU92" s="144"/>
      <c r="AV92" s="144"/>
      <c r="AW92" s="144"/>
      <c r="AX92" s="144"/>
      <c r="AY92" s="215"/>
      <c r="AZ92" s="215"/>
    </row>
    <row r="93" spans="2:52" s="2" customFormat="1" ht="9.75" customHeight="1">
      <c r="B93" s="103" t="s">
        <v>11</v>
      </c>
      <c r="C93" s="112"/>
      <c r="D93" s="195" t="s">
        <v>111</v>
      </c>
      <c r="E93" s="112"/>
      <c r="F93" s="198"/>
      <c r="G93" s="198"/>
      <c r="H93" s="3"/>
      <c r="I93" s="3"/>
      <c r="J93" s="112"/>
      <c r="K93" s="3"/>
      <c r="L93" s="3"/>
      <c r="M93" s="112"/>
      <c r="N93" s="3"/>
      <c r="O93" s="3"/>
      <c r="P93" s="112"/>
      <c r="Q93" s="24"/>
      <c r="R93" s="65" t="s">
        <v>68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63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6">
        <f>S93*2+T93</f>
        <v>2</v>
      </c>
      <c r="V93" s="34">
        <f>COUNTIF($D$74:$P$75,"*상은*")+COUNTIF($D$98:$P$99,"*상은*")+COUNTIF($D$122:$P$123,"*상은*")</f>
        <v>0</v>
      </c>
      <c r="W93" s="3"/>
      <c r="X93" s="4">
        <f t="shared" si="3"/>
        <v>1</v>
      </c>
      <c r="Y93" s="34">
        <f t="shared" si="3"/>
        <v>0</v>
      </c>
      <c r="Z93" s="47">
        <f t="shared" si="3"/>
        <v>2</v>
      </c>
      <c r="AA93" s="3">
        <f t="shared" si="3"/>
        <v>0</v>
      </c>
      <c r="AB93" s="8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19">
        <f>Z93+U190</f>
        <v>2</v>
      </c>
      <c r="AD93" s="81"/>
      <c r="AE93" s="81"/>
      <c r="AF93" s="72">
        <f>AA93+V190</f>
        <v>0</v>
      </c>
      <c r="AG93" s="81"/>
      <c r="AH93" s="81"/>
      <c r="AI93" s="87">
        <f>AB93+X190</f>
        <v>1</v>
      </c>
      <c r="AJ93" s="69"/>
      <c r="AK93" s="69"/>
      <c r="AL93" s="144">
        <v>0</v>
      </c>
      <c r="AM93" s="81"/>
      <c r="AN93" s="81"/>
      <c r="AO93" s="222">
        <v>0</v>
      </c>
      <c r="AP93" s="3"/>
      <c r="AQ93" s="3"/>
      <c r="AR93" s="144"/>
      <c r="AS93" s="144"/>
      <c r="AT93" s="144"/>
      <c r="AU93" s="144"/>
      <c r="AV93" s="144"/>
      <c r="AW93" s="144"/>
      <c r="AX93" s="144"/>
      <c r="AY93" s="215"/>
      <c r="AZ93" s="215"/>
    </row>
    <row r="94" spans="2:52" s="2" customFormat="1" ht="9.75" customHeight="1">
      <c r="B94" s="103" t="s">
        <v>0</v>
      </c>
      <c r="C94" s="112"/>
      <c r="D94" s="8" t="s">
        <v>109</v>
      </c>
      <c r="E94" s="112"/>
      <c r="F94" s="198"/>
      <c r="G94" s="198"/>
      <c r="H94" s="3"/>
      <c r="I94" s="3"/>
      <c r="J94" s="112"/>
      <c r="K94" s="3"/>
      <c r="L94" s="3"/>
      <c r="M94" s="112"/>
      <c r="N94" s="3"/>
      <c r="O94" s="3"/>
      <c r="P94" s="112"/>
      <c r="Q94" s="24"/>
      <c r="R94" s="65" t="s">
        <v>13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65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9">
        <f>Z94+U191</f>
        <v>0</v>
      </c>
      <c r="AD94" s="81"/>
      <c r="AE94" s="81"/>
      <c r="AF94" s="72">
        <f>AA94+V191</f>
        <v>0</v>
      </c>
      <c r="AG94" s="81"/>
      <c r="AH94" s="81"/>
      <c r="AI94" s="87">
        <f>AB94+X191</f>
        <v>0</v>
      </c>
      <c r="AJ94" s="69"/>
      <c r="AK94" s="69"/>
      <c r="AL94" s="144">
        <v>0</v>
      </c>
      <c r="AM94" s="81"/>
      <c r="AN94" s="81"/>
      <c r="AO94" s="222">
        <v>0</v>
      </c>
      <c r="AP94" s="3"/>
      <c r="AQ94" s="3"/>
      <c r="AR94" s="144"/>
      <c r="AS94" s="144"/>
      <c r="AT94" s="144"/>
      <c r="AU94" s="144"/>
      <c r="AV94" s="144"/>
      <c r="AW94" s="144"/>
      <c r="AX94" s="144"/>
      <c r="AY94" s="215"/>
      <c r="AZ94" s="215"/>
    </row>
    <row r="95" spans="2:52" s="2" customFormat="1" ht="9.75" customHeight="1">
      <c r="B95" s="103" t="s">
        <v>62</v>
      </c>
      <c r="C95" s="112"/>
      <c r="D95" s="76" t="s">
        <v>138</v>
      </c>
      <c r="E95" s="112"/>
      <c r="F95" s="198"/>
      <c r="G95" s="198"/>
      <c r="H95" s="3"/>
      <c r="I95" s="3"/>
      <c r="J95" s="112"/>
      <c r="K95" s="3"/>
      <c r="L95" s="3"/>
      <c r="M95" s="112"/>
      <c r="N95" s="3"/>
      <c r="O95" s="3"/>
      <c r="P95" s="112"/>
      <c r="Q95" s="24"/>
      <c r="R95" s="65" t="s">
        <v>147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5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9">
        <f>Z95+U193</f>
        <v>0</v>
      </c>
      <c r="AD95" s="81"/>
      <c r="AE95" s="81"/>
      <c r="AF95" s="72">
        <f>AA95+V193</f>
        <v>0</v>
      </c>
      <c r="AG95" s="81"/>
      <c r="AH95" s="81"/>
      <c r="AI95" s="87">
        <f>AB95+X193</f>
        <v>0</v>
      </c>
      <c r="AJ95" s="69"/>
      <c r="AK95" s="69"/>
      <c r="AL95" s="144">
        <v>0</v>
      </c>
      <c r="AM95" s="81"/>
      <c r="AN95" s="81"/>
      <c r="AO95" s="222">
        <v>0</v>
      </c>
      <c r="AP95" s="3"/>
      <c r="AQ95" s="3"/>
      <c r="AR95" s="144"/>
      <c r="AS95" s="144"/>
      <c r="AT95" s="144"/>
      <c r="AU95" s="144"/>
      <c r="AV95" s="144"/>
      <c r="AW95" s="144"/>
      <c r="AX95" s="144"/>
      <c r="AY95" s="215"/>
      <c r="AZ95" s="215"/>
    </row>
    <row r="96" spans="2:52" s="2" customFormat="1" ht="1.5" customHeight="1">
      <c r="B96" s="112"/>
      <c r="C96" s="112"/>
      <c r="D96" s="112"/>
      <c r="F96" s="202"/>
      <c r="G96" s="202"/>
      <c r="H96" s="190"/>
      <c r="I96" s="190"/>
      <c r="J96" s="7"/>
      <c r="K96" s="190"/>
      <c r="L96" s="190"/>
      <c r="M96" s="190"/>
      <c r="N96" s="190"/>
      <c r="O96" s="190"/>
      <c r="P96" s="1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7"/>
      <c r="AC96" s="119"/>
      <c r="AD96" s="81"/>
      <c r="AE96" s="81"/>
      <c r="AF96" s="72"/>
      <c r="AG96" s="81"/>
      <c r="AH96" s="81"/>
      <c r="AI96" s="87"/>
      <c r="AJ96" s="69"/>
      <c r="AK96" s="69"/>
      <c r="AL96" s="144"/>
      <c r="AM96" s="81"/>
      <c r="AN96" s="81"/>
      <c r="AO96" s="222"/>
      <c r="AP96" s="3"/>
      <c r="AQ96" s="3"/>
      <c r="AR96" s="144"/>
      <c r="AS96" s="144"/>
      <c r="AT96" s="144"/>
      <c r="AU96" s="144"/>
      <c r="AV96" s="144"/>
      <c r="AW96" s="144"/>
      <c r="AX96" s="144"/>
      <c r="AY96" s="215"/>
      <c r="AZ96" s="215"/>
    </row>
    <row r="97" spans="2:52" s="2" customFormat="1" ht="9.75" customHeight="1">
      <c r="B97" s="9" t="s">
        <v>63</v>
      </c>
      <c r="C97" s="112"/>
      <c r="D97" s="9" t="s">
        <v>96</v>
      </c>
      <c r="E97" s="112"/>
      <c r="F97" s="198"/>
      <c r="G97" s="191" t="s">
        <v>165</v>
      </c>
      <c r="H97" s="3"/>
      <c r="I97" s="3"/>
      <c r="J97" s="112"/>
      <c r="K97" s="3"/>
      <c r="L97" s="3"/>
      <c r="M97" s="112"/>
      <c r="N97" s="3"/>
      <c r="O97" s="190"/>
      <c r="P97" s="9" t="s">
        <v>121</v>
      </c>
      <c r="Q97" s="24"/>
      <c r="R97" s="65" t="s">
        <v>15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5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9">
        <f>Z97+U194</f>
        <v>0</v>
      </c>
      <c r="AD97" s="81"/>
      <c r="AE97" s="81"/>
      <c r="AF97" s="72">
        <f>AA97+V194</f>
        <v>0</v>
      </c>
      <c r="AG97" s="81"/>
      <c r="AH97" s="81"/>
      <c r="AI97" s="87">
        <f>AB97+X194</f>
        <v>0</v>
      </c>
      <c r="AJ97" s="69"/>
      <c r="AK97" s="69"/>
      <c r="AL97" s="144">
        <v>0</v>
      </c>
      <c r="AM97" s="81"/>
      <c r="AN97" s="81"/>
      <c r="AO97" s="222">
        <v>0</v>
      </c>
      <c r="AP97" s="3"/>
      <c r="AQ97" s="3"/>
      <c r="AR97" s="144"/>
      <c r="AS97" s="144"/>
      <c r="AT97" s="144"/>
      <c r="AU97" s="144"/>
      <c r="AV97" s="144"/>
      <c r="AW97" s="144"/>
      <c r="AX97" s="144"/>
      <c r="AY97" s="215"/>
      <c r="AZ97" s="215"/>
    </row>
    <row r="98" spans="2:52" s="2" customFormat="1" ht="9.75" customHeight="1">
      <c r="B98" s="103" t="s">
        <v>11</v>
      </c>
      <c r="C98" s="112"/>
      <c r="D98" s="75" t="s">
        <v>82</v>
      </c>
      <c r="E98" s="112"/>
      <c r="F98" s="198"/>
      <c r="G98" s="198"/>
      <c r="H98" s="3"/>
      <c r="I98" s="3"/>
      <c r="J98" s="112"/>
      <c r="K98" s="3"/>
      <c r="L98" s="3"/>
      <c r="M98" s="112"/>
      <c r="N98" s="3"/>
      <c r="O98" s="190"/>
      <c r="P98" s="197" t="s">
        <v>101</v>
      </c>
      <c r="R98" s="65" t="s">
        <v>16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63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6">
        <f>S98*2+T98</f>
        <v>3</v>
      </c>
      <c r="V98" s="34">
        <f>COUNTIF($D$74:$P$75,"*상록*")+COUNTIF($D$98:$P$99,"*상록*")+COUNTIF($D$122:$P$123,"*상록*")</f>
        <v>1</v>
      </c>
      <c r="W98" s="3"/>
      <c r="X98" s="4">
        <f t="shared" si="5"/>
        <v>1</v>
      </c>
      <c r="Y98" s="34">
        <f t="shared" si="5"/>
        <v>1</v>
      </c>
      <c r="Z98" s="47">
        <f t="shared" si="5"/>
        <v>3</v>
      </c>
      <c r="AA98" s="3">
        <f t="shared" si="5"/>
        <v>1</v>
      </c>
      <c r="AB98" s="8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9">
        <f>Z98+U195</f>
        <v>3</v>
      </c>
      <c r="AD98" s="81"/>
      <c r="AE98" s="81"/>
      <c r="AF98" s="72">
        <f>AA98+V195</f>
        <v>1</v>
      </c>
      <c r="AG98" s="81"/>
      <c r="AH98" s="81"/>
      <c r="AI98" s="87">
        <f>AB98+X195</f>
        <v>0</v>
      </c>
      <c r="AJ98" s="69"/>
      <c r="AK98" s="69"/>
      <c r="AL98" s="144">
        <v>0</v>
      </c>
      <c r="AM98" s="81"/>
      <c r="AN98" s="81"/>
      <c r="AO98" s="222">
        <v>1</v>
      </c>
      <c r="AP98" s="3"/>
      <c r="AQ98" s="3"/>
      <c r="AR98" s="144"/>
      <c r="AS98" s="144"/>
      <c r="AT98" s="144"/>
      <c r="AU98" s="144"/>
      <c r="AV98" s="144"/>
      <c r="AW98" s="144"/>
      <c r="AX98" s="144"/>
      <c r="AY98" s="215"/>
      <c r="AZ98" s="215"/>
    </row>
    <row r="99" spans="2:52" s="2" customFormat="1" ht="9.75" customHeight="1">
      <c r="B99" s="103" t="s">
        <v>0</v>
      </c>
      <c r="C99" s="112"/>
      <c r="D99" s="8" t="s">
        <v>97</v>
      </c>
      <c r="E99" s="112"/>
      <c r="F99" s="198"/>
      <c r="G99" s="198"/>
      <c r="H99" s="3"/>
      <c r="I99" s="3"/>
      <c r="J99" s="198"/>
      <c r="K99" s="3"/>
      <c r="L99" s="3"/>
      <c r="M99" s="198"/>
      <c r="N99" s="3"/>
      <c r="O99" s="202"/>
      <c r="P99" s="198"/>
      <c r="R99" s="65" t="s">
        <v>17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63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2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1</v>
      </c>
      <c r="Y99" s="34">
        <f t="shared" si="6"/>
        <v>0</v>
      </c>
      <c r="Z99" s="47">
        <f t="shared" si="6"/>
        <v>2</v>
      </c>
      <c r="AA99" s="3">
        <f t="shared" si="6"/>
        <v>0</v>
      </c>
      <c r="AB99" s="8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19">
        <f>Z99+U196</f>
        <v>2</v>
      </c>
      <c r="AD99" s="81"/>
      <c r="AE99" s="81"/>
      <c r="AF99" s="72">
        <f>AA99+V196</f>
        <v>0</v>
      </c>
      <c r="AG99" s="81"/>
      <c r="AH99" s="81"/>
      <c r="AI99" s="87">
        <f>AB99+X196</f>
        <v>1</v>
      </c>
      <c r="AJ99" s="69"/>
      <c r="AK99" s="69"/>
      <c r="AL99" s="144">
        <v>0.5</v>
      </c>
      <c r="AM99" s="81"/>
      <c r="AN99" s="81"/>
      <c r="AO99" s="222">
        <v>0</v>
      </c>
      <c r="AP99" s="3"/>
      <c r="AQ99" s="3"/>
      <c r="AR99" s="144"/>
      <c r="AS99" s="144"/>
      <c r="AT99" s="144"/>
      <c r="AU99" s="144"/>
      <c r="AV99" s="144"/>
      <c r="AW99" s="144"/>
      <c r="AX99" s="144"/>
      <c r="AY99" s="215"/>
      <c r="AZ99" s="215"/>
    </row>
    <row r="100" spans="2:52" s="2" customFormat="1" ht="9.75" customHeight="1">
      <c r="B100" s="103" t="s">
        <v>62</v>
      </c>
      <c r="C100" s="112"/>
      <c r="D100" s="76" t="s">
        <v>106</v>
      </c>
      <c r="E100" s="112"/>
      <c r="F100" s="198"/>
      <c r="G100" s="198"/>
      <c r="H100" s="3"/>
      <c r="I100" s="3"/>
      <c r="J100" s="198"/>
      <c r="K100" s="3"/>
      <c r="L100" s="3"/>
      <c r="M100" s="198"/>
      <c r="N100" s="3"/>
      <c r="O100" s="202"/>
      <c r="P100" s="198"/>
      <c r="R100" s="65" t="s">
        <v>18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63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2</v>
      </c>
      <c r="V100" s="34">
        <f>COUNTIF($D$74:$P$75,"*다운*")+COUNTIF($D$98:$P$99,"*다운*")+COUNTIF($D$122:$P$123,"*다운*")</f>
        <v>0</v>
      </c>
      <c r="W100" s="3"/>
      <c r="X100" s="4">
        <f t="shared" si="6"/>
        <v>1</v>
      </c>
      <c r="Y100" s="34">
        <f t="shared" si="6"/>
        <v>0</v>
      </c>
      <c r="Z100" s="47">
        <f t="shared" si="6"/>
        <v>2</v>
      </c>
      <c r="AA100" s="3">
        <f t="shared" si="6"/>
        <v>0</v>
      </c>
      <c r="AB100" s="8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19">
        <f>Z100+U198</f>
        <v>2</v>
      </c>
      <c r="AD100" s="81"/>
      <c r="AE100" s="81"/>
      <c r="AF100" s="72">
        <f>AA100+V198</f>
        <v>0</v>
      </c>
      <c r="AG100" s="81"/>
      <c r="AH100" s="81"/>
      <c r="AI100" s="87">
        <f>AB100+X198</f>
        <v>1</v>
      </c>
      <c r="AJ100" s="69"/>
      <c r="AK100" s="69"/>
      <c r="AL100" s="144">
        <v>0</v>
      </c>
      <c r="AM100" s="81"/>
      <c r="AN100" s="81"/>
      <c r="AO100" s="222">
        <v>0</v>
      </c>
      <c r="AP100" s="3"/>
      <c r="AQ100" s="3"/>
      <c r="AR100" s="144"/>
      <c r="AS100" s="144"/>
      <c r="AT100" s="144"/>
      <c r="AU100" s="144"/>
      <c r="AV100" s="144"/>
      <c r="AW100" s="144"/>
      <c r="AX100" s="144"/>
      <c r="AY100" s="215"/>
      <c r="AZ100" s="215"/>
    </row>
    <row r="101" spans="2:52" s="2" customFormat="1" ht="1.5" customHeight="1">
      <c r="B101" s="7"/>
      <c r="C101" s="112"/>
      <c r="D101" s="112"/>
      <c r="E101" s="202"/>
      <c r="F101" s="202"/>
      <c r="G101" s="105"/>
      <c r="H101" s="202"/>
      <c r="I101" s="202"/>
      <c r="J101" s="1"/>
      <c r="L101" s="202"/>
      <c r="M101" s="105"/>
      <c r="N101" s="202"/>
      <c r="O101" s="202"/>
      <c r="R101" s="78"/>
      <c r="S101" s="214"/>
      <c r="T101" s="216"/>
      <c r="U101" s="214"/>
      <c r="V101" s="216"/>
      <c r="W101" s="215"/>
      <c r="X101" s="214"/>
      <c r="Y101" s="216"/>
      <c r="Z101" s="214"/>
      <c r="AA101" s="215"/>
      <c r="AB101" s="87"/>
      <c r="AC101" s="119"/>
      <c r="AD101" s="81"/>
      <c r="AE101" s="81"/>
      <c r="AF101" s="72"/>
      <c r="AG101" s="81"/>
      <c r="AH101" s="81"/>
      <c r="AI101" s="87"/>
      <c r="AJ101" s="69"/>
      <c r="AK101" s="69"/>
      <c r="AL101" s="144"/>
      <c r="AM101" s="81"/>
      <c r="AN101" s="81"/>
      <c r="AO101" s="223"/>
      <c r="AP101" s="207"/>
      <c r="AQ101" s="215"/>
      <c r="AR101" s="144"/>
      <c r="AS101" s="144"/>
      <c r="AT101" s="144"/>
      <c r="AU101" s="144"/>
      <c r="AV101" s="144"/>
      <c r="AW101" s="144"/>
      <c r="AX101" s="144"/>
      <c r="AY101" s="215"/>
      <c r="AZ101" s="215"/>
    </row>
    <row r="102" spans="2:52" s="2" customFormat="1" ht="9.75" customHeight="1">
      <c r="B102" s="5" t="s">
        <v>1</v>
      </c>
      <c r="C102" s="112"/>
      <c r="D102" s="58"/>
      <c r="E102" s="59"/>
      <c r="F102" s="59"/>
      <c r="G102" s="59"/>
      <c r="H102" s="59"/>
      <c r="I102" s="59"/>
      <c r="J102" s="59" t="s">
        <v>104</v>
      </c>
      <c r="K102" s="59"/>
      <c r="L102" s="59"/>
      <c r="M102" s="59"/>
      <c r="N102" s="59"/>
      <c r="O102" s="59"/>
      <c r="P102" s="60"/>
      <c r="R102" s="65" t="s">
        <v>19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63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0</v>
      </c>
      <c r="V102" s="34">
        <f>COUNTIF($D$74:$P$75,"*지성*")+COUNTIF($D$98:$P$99,"*지성*")+COUNTIF($D$122:$P$123,"*지성*")</f>
        <v>0</v>
      </c>
      <c r="W102" s="3"/>
      <c r="X102" s="4">
        <f>S102+S162</f>
        <v>0</v>
      </c>
      <c r="Y102" s="34">
        <f>T102+T162</f>
        <v>0</v>
      </c>
      <c r="Z102" s="47">
        <f>U102+U162</f>
        <v>0</v>
      </c>
      <c r="AA102" s="3">
        <f>V102+V162</f>
        <v>0</v>
      </c>
      <c r="AB102" s="8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9">
        <f>Z102+U199</f>
        <v>0</v>
      </c>
      <c r="AD102" s="81"/>
      <c r="AE102" s="81"/>
      <c r="AF102" s="72">
        <f>AA102+V199</f>
        <v>0</v>
      </c>
      <c r="AG102" s="81"/>
      <c r="AH102" s="81"/>
      <c r="AI102" s="87">
        <f>AB102+X199</f>
        <v>0</v>
      </c>
      <c r="AJ102" s="69"/>
      <c r="AK102" s="69"/>
      <c r="AL102" s="144">
        <v>0</v>
      </c>
      <c r="AM102" s="81"/>
      <c r="AN102" s="81"/>
      <c r="AO102" s="222">
        <v>0</v>
      </c>
      <c r="AP102" s="3"/>
      <c r="AQ102" s="3"/>
      <c r="AR102" s="144"/>
      <c r="AS102" s="144"/>
      <c r="AT102" s="144"/>
      <c r="AU102" s="144"/>
      <c r="AV102" s="144"/>
      <c r="AW102" s="144"/>
      <c r="AX102" s="144"/>
      <c r="AY102" s="215"/>
      <c r="AZ102" s="215"/>
    </row>
    <row r="103" spans="2:52" s="2" customFormat="1" ht="9.75" customHeight="1">
      <c r="C103" s="3"/>
      <c r="F103" s="104"/>
      <c r="I103" s="104"/>
      <c r="J103" s="1"/>
      <c r="L103" s="104"/>
      <c r="M103" s="105"/>
      <c r="N103" s="105"/>
      <c r="O103" s="29"/>
      <c r="R103" s="65" t="s">
        <v>20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63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6">
        <f>S103*2+T103</f>
        <v>0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4">
        <f t="shared" si="7"/>
        <v>0</v>
      </c>
      <c r="Z103" s="47">
        <f t="shared" si="7"/>
        <v>0</v>
      </c>
      <c r="AA103" s="3">
        <f t="shared" si="7"/>
        <v>0</v>
      </c>
      <c r="AB103" s="8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9">
        <f>Z103+U200</f>
        <v>0</v>
      </c>
      <c r="AD103" s="81"/>
      <c r="AE103" s="81"/>
      <c r="AF103" s="72">
        <f>AA103+V200</f>
        <v>0</v>
      </c>
      <c r="AG103" s="81"/>
      <c r="AH103" s="81"/>
      <c r="AI103" s="87">
        <f>AB103+X200</f>
        <v>0</v>
      </c>
      <c r="AJ103" s="69"/>
      <c r="AK103" s="69"/>
      <c r="AL103" s="144">
        <v>0</v>
      </c>
      <c r="AM103" s="81"/>
      <c r="AN103" s="81"/>
      <c r="AO103" s="222">
        <v>0</v>
      </c>
      <c r="AP103" s="3"/>
      <c r="AQ103" s="3"/>
      <c r="AR103" s="144"/>
      <c r="AS103" s="144"/>
      <c r="AT103" s="144"/>
      <c r="AU103" s="144"/>
      <c r="AV103" s="144"/>
      <c r="AW103" s="144"/>
      <c r="AX103" s="144"/>
      <c r="AY103" s="215"/>
      <c r="AZ103" s="215"/>
    </row>
    <row r="104" spans="2:52" s="2" customFormat="1" ht="9.75" customHeight="1">
      <c r="B104" s="6" t="s">
        <v>2</v>
      </c>
      <c r="C104" s="112"/>
      <c r="D104" s="74" t="s">
        <v>98</v>
      </c>
      <c r="E104" s="55"/>
      <c r="F104" s="55"/>
      <c r="G104" s="55" t="s">
        <v>137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21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1</v>
      </c>
      <c r="T104" s="166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1</v>
      </c>
      <c r="U104" s="46">
        <f>S104*2+T104</f>
        <v>3</v>
      </c>
      <c r="V104" s="34">
        <f>COUNTIF($D$74:$P$75,"*윤호*")+COUNTIF($D$98:$P$99,"*윤호*")+COUNTIF($D$122:$P$123,"*윤호*")</f>
        <v>0</v>
      </c>
      <c r="W104" s="3"/>
      <c r="X104" s="4">
        <f t="shared" si="7"/>
        <v>1</v>
      </c>
      <c r="Y104" s="34">
        <f t="shared" si="7"/>
        <v>1</v>
      </c>
      <c r="Z104" s="47">
        <f t="shared" si="7"/>
        <v>3</v>
      </c>
      <c r="AA104" s="3">
        <f t="shared" si="7"/>
        <v>0</v>
      </c>
      <c r="AB104" s="8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9">
        <f>Z104+U201</f>
        <v>3</v>
      </c>
      <c r="AD104" s="81"/>
      <c r="AE104" s="81"/>
      <c r="AF104" s="72">
        <f>AA104+V201</f>
        <v>0</v>
      </c>
      <c r="AG104" s="81"/>
      <c r="AH104" s="81"/>
      <c r="AI104" s="87">
        <f>AB104+X201</f>
        <v>0</v>
      </c>
      <c r="AJ104" s="69"/>
      <c r="AK104" s="69"/>
      <c r="AL104" s="144">
        <v>0</v>
      </c>
      <c r="AM104" s="81"/>
      <c r="AN104" s="81"/>
      <c r="AO104" s="222">
        <v>0</v>
      </c>
      <c r="AP104" s="3"/>
      <c r="AQ104" s="3"/>
      <c r="AR104" s="144"/>
      <c r="AS104" s="144"/>
      <c r="AT104" s="144"/>
      <c r="AU104" s="144"/>
      <c r="AV104" s="144"/>
      <c r="AW104" s="144"/>
      <c r="AX104" s="144"/>
      <c r="AY104" s="215"/>
      <c r="AZ104" s="215"/>
    </row>
    <row r="105" spans="2:52" ht="1.5" customHeight="1">
      <c r="B105" s="112"/>
      <c r="C105" s="112"/>
      <c r="D105" s="112"/>
      <c r="G105" s="112"/>
      <c r="H105" s="3"/>
      <c r="I105" s="3"/>
      <c r="J105" s="112"/>
      <c r="L105" s="7"/>
      <c r="M105" s="7"/>
      <c r="N105" s="7"/>
      <c r="O105" s="7"/>
      <c r="R105" s="65"/>
      <c r="S105" s="45"/>
      <c r="T105" s="163"/>
      <c r="U105" s="46"/>
      <c r="V105" s="34"/>
      <c r="W105" s="3"/>
      <c r="X105" s="4"/>
      <c r="Y105" s="34"/>
      <c r="Z105" s="47"/>
      <c r="AA105" s="3"/>
      <c r="AB105" s="87"/>
      <c r="AC105" s="119"/>
      <c r="AD105" s="81"/>
      <c r="AE105" s="81"/>
      <c r="AF105" s="72"/>
      <c r="AG105" s="81"/>
      <c r="AH105" s="81"/>
      <c r="AI105" s="87"/>
      <c r="AJ105" s="69"/>
      <c r="AK105" s="69"/>
      <c r="AL105" s="144"/>
      <c r="AM105" s="81"/>
      <c r="AN105" s="81"/>
      <c r="AO105" s="222"/>
      <c r="AP105" s="3"/>
      <c r="AQ105" s="3"/>
      <c r="AR105" s="144"/>
      <c r="AS105" s="144"/>
      <c r="AT105" s="144"/>
      <c r="AU105" s="229"/>
      <c r="AV105" s="229"/>
      <c r="AW105" s="229"/>
      <c r="AX105" s="229"/>
      <c r="AY105" s="7"/>
      <c r="AZ105" s="7"/>
    </row>
    <row r="106" spans="2:52">
      <c r="B106" s="9" t="s">
        <v>99</v>
      </c>
      <c r="C106" s="112"/>
      <c r="D106" s="9" t="s">
        <v>120</v>
      </c>
      <c r="E106" s="198"/>
      <c r="F106" s="198"/>
      <c r="G106" s="198"/>
      <c r="H106" s="3"/>
      <c r="I106" s="3"/>
      <c r="J106" s="112"/>
      <c r="K106" s="3"/>
      <c r="L106" s="3"/>
      <c r="M106" s="9" t="s">
        <v>142</v>
      </c>
      <c r="N106" s="3"/>
      <c r="O106" s="3"/>
      <c r="P106" s="203" t="s">
        <v>115</v>
      </c>
      <c r="R106" s="65" t="s">
        <v>23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2</v>
      </c>
      <c r="T106" s="163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6">
        <f>S106*2+T106</f>
        <v>5</v>
      </c>
      <c r="V106" s="34">
        <f>COUNTIF($D$74:$P$75,"*정은*")+COUNTIF($D$98:$P$99,"*정은*")+COUNTIF($D$122:$P$123,"*정은*")</f>
        <v>1</v>
      </c>
      <c r="W106" s="3"/>
      <c r="X106" s="4">
        <f t="shared" ref="X106:AA107" si="8">S106+S166</f>
        <v>2</v>
      </c>
      <c r="Y106" s="34">
        <f t="shared" si="8"/>
        <v>1</v>
      </c>
      <c r="Z106" s="47">
        <f t="shared" si="8"/>
        <v>5</v>
      </c>
      <c r="AA106" s="3">
        <f t="shared" si="8"/>
        <v>1</v>
      </c>
      <c r="AB106" s="8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9">
        <f>Z106+U203</f>
        <v>5</v>
      </c>
      <c r="AD106" s="81"/>
      <c r="AE106" s="81"/>
      <c r="AF106" s="72">
        <f>AA106+V203</f>
        <v>1</v>
      </c>
      <c r="AG106" s="81"/>
      <c r="AH106" s="81"/>
      <c r="AI106" s="87">
        <f>AB106+X203</f>
        <v>0</v>
      </c>
      <c r="AJ106" s="69"/>
      <c r="AK106" s="69"/>
      <c r="AL106" s="144">
        <v>0.5</v>
      </c>
      <c r="AM106" s="81"/>
      <c r="AN106" s="81"/>
      <c r="AO106" s="222">
        <v>1</v>
      </c>
      <c r="AP106" s="3"/>
      <c r="AQ106" s="3"/>
      <c r="AR106" s="144"/>
      <c r="AS106" s="144"/>
      <c r="AT106" s="144"/>
      <c r="AU106" s="144"/>
      <c r="AV106" s="144"/>
      <c r="AW106" s="144"/>
      <c r="AX106" s="144"/>
      <c r="AY106" s="215"/>
      <c r="AZ106" s="7"/>
    </row>
    <row r="107" spans="2:52">
      <c r="B107" s="103" t="s">
        <v>11</v>
      </c>
      <c r="C107" s="112"/>
      <c r="D107" s="8" t="s">
        <v>93</v>
      </c>
      <c r="E107" s="112"/>
      <c r="F107" s="198"/>
      <c r="G107" s="191" t="s">
        <v>114</v>
      </c>
      <c r="H107" s="3"/>
      <c r="I107" s="3"/>
      <c r="J107" s="112"/>
      <c r="K107" s="3"/>
      <c r="L107" s="3"/>
      <c r="M107" s="206" t="s">
        <v>101</v>
      </c>
      <c r="N107" s="3"/>
      <c r="O107" s="3"/>
      <c r="P107" s="203" t="s">
        <v>116</v>
      </c>
      <c r="R107" s="65" t="s">
        <v>22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2</v>
      </c>
      <c r="T107" s="163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4</v>
      </c>
      <c r="V107" s="34">
        <f>COUNTIF($D$74:$P$75,"*지현*")+COUNTIF($D$98:$P$99,"*지현*")+COUNTIF($D$122:$P$123,"*지현*")</f>
        <v>1</v>
      </c>
      <c r="W107" s="3"/>
      <c r="X107" s="4">
        <f t="shared" si="8"/>
        <v>2</v>
      </c>
      <c r="Y107" s="34">
        <f t="shared" si="8"/>
        <v>0</v>
      </c>
      <c r="Z107" s="47">
        <f t="shared" si="8"/>
        <v>4</v>
      </c>
      <c r="AA107" s="3">
        <f t="shared" si="8"/>
        <v>1</v>
      </c>
      <c r="AB107" s="8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9">
        <f>Z107+U204</f>
        <v>4</v>
      </c>
      <c r="AD107" s="81"/>
      <c r="AE107" s="81"/>
      <c r="AF107" s="72">
        <f>AA107+V204</f>
        <v>1</v>
      </c>
      <c r="AG107" s="81"/>
      <c r="AH107" s="81"/>
      <c r="AI107" s="87">
        <f>AB107+X204</f>
        <v>0</v>
      </c>
      <c r="AJ107" s="69"/>
      <c r="AK107" s="69"/>
      <c r="AL107" s="144">
        <v>0</v>
      </c>
      <c r="AM107" s="81"/>
      <c r="AN107" s="81"/>
      <c r="AO107" s="222">
        <v>0</v>
      </c>
      <c r="AP107" s="3"/>
      <c r="AQ107" s="3"/>
      <c r="AR107" s="144"/>
      <c r="AS107" s="144"/>
      <c r="AT107" s="144"/>
      <c r="AU107" s="144"/>
      <c r="AV107" s="144"/>
      <c r="AW107" s="144"/>
      <c r="AX107" s="144"/>
      <c r="AY107" s="215"/>
      <c r="AZ107" s="7"/>
    </row>
    <row r="108" spans="2:52">
      <c r="B108" s="103" t="s">
        <v>0</v>
      </c>
      <c r="C108" s="112"/>
      <c r="D108" s="8" t="s">
        <v>143</v>
      </c>
      <c r="E108" s="112"/>
      <c r="F108" s="198"/>
      <c r="G108" s="198"/>
      <c r="H108" s="3"/>
      <c r="I108" s="3"/>
      <c r="J108" s="112"/>
      <c r="K108" s="3"/>
      <c r="L108" s="3"/>
      <c r="M108" s="196"/>
      <c r="N108" s="3"/>
      <c r="O108" s="3"/>
      <c r="P108" s="203" t="s">
        <v>117</v>
      </c>
      <c r="R108" s="65" t="s">
        <v>69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3</v>
      </c>
      <c r="T108" s="163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6</v>
      </c>
      <c r="V108" s="34">
        <f>COUNTIF($D$74:$P$75,"*태우*")+COUNTIF($D$98:$P$99,"*태우*")+COUNTIF($D$122:$P$123,"*태우*")</f>
        <v>2</v>
      </c>
      <c r="W108" s="3"/>
      <c r="X108" s="4">
        <f t="shared" ref="X108:AA109" si="9">S108+S169</f>
        <v>3</v>
      </c>
      <c r="Y108" s="34">
        <f t="shared" si="9"/>
        <v>0</v>
      </c>
      <c r="Z108" s="47">
        <f t="shared" si="9"/>
        <v>6</v>
      </c>
      <c r="AA108" s="3">
        <f t="shared" si="9"/>
        <v>2</v>
      </c>
      <c r="AB108" s="8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9">
        <f>Z108+U205</f>
        <v>6</v>
      </c>
      <c r="AD108" s="81"/>
      <c r="AE108" s="81"/>
      <c r="AF108" s="72">
        <f>AA108+V205</f>
        <v>2</v>
      </c>
      <c r="AG108" s="81"/>
      <c r="AH108" s="81"/>
      <c r="AI108" s="87">
        <f>AB108+X205</f>
        <v>0</v>
      </c>
      <c r="AJ108" s="69"/>
      <c r="AK108" s="69"/>
      <c r="AL108" s="144">
        <v>0</v>
      </c>
      <c r="AM108" s="81"/>
      <c r="AN108" s="81"/>
      <c r="AO108" s="222">
        <v>0</v>
      </c>
      <c r="AP108" s="3"/>
      <c r="AQ108" s="3"/>
      <c r="AR108" s="144"/>
      <c r="AS108" s="144"/>
      <c r="AT108" s="144"/>
      <c r="AU108" s="144"/>
      <c r="AV108" s="144"/>
      <c r="AW108" s="144"/>
      <c r="AX108" s="144"/>
      <c r="AY108" s="215"/>
      <c r="AZ108" s="7"/>
    </row>
    <row r="109" spans="2:52">
      <c r="B109" s="103" t="s">
        <v>62</v>
      </c>
      <c r="C109" s="112"/>
      <c r="D109" s="76" t="s">
        <v>89</v>
      </c>
      <c r="E109" s="112"/>
      <c r="F109" s="198"/>
      <c r="G109" s="198"/>
      <c r="H109" s="3"/>
      <c r="I109" s="3"/>
      <c r="J109" s="112"/>
      <c r="K109" s="3"/>
      <c r="L109" s="3"/>
      <c r="M109" s="196"/>
      <c r="N109" s="3"/>
      <c r="O109" s="3"/>
      <c r="P109" s="203" t="s">
        <v>118</v>
      </c>
      <c r="R109" s="65" t="s">
        <v>70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1</v>
      </c>
      <c r="T109" s="165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6">
        <f>S109*2+T109</f>
        <v>3</v>
      </c>
      <c r="V109" s="34">
        <f>COUNTIF($D$74:$P$75,"*훈*")+COUNTIF($D$98:$P$99,"*훈*")+COUNTIF($D$122:$P$123,"*훈*")</f>
        <v>1</v>
      </c>
      <c r="W109" s="3"/>
      <c r="X109" s="4">
        <f t="shared" si="9"/>
        <v>1</v>
      </c>
      <c r="Y109" s="34">
        <f t="shared" si="9"/>
        <v>1</v>
      </c>
      <c r="Z109" s="47">
        <f t="shared" si="9"/>
        <v>3</v>
      </c>
      <c r="AA109" s="3">
        <f t="shared" si="9"/>
        <v>1</v>
      </c>
      <c r="AB109" s="8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119">
        <f>Z109+U206</f>
        <v>3</v>
      </c>
      <c r="AD109" s="81"/>
      <c r="AE109" s="81"/>
      <c r="AF109" s="72">
        <f>AA109+V206</f>
        <v>1</v>
      </c>
      <c r="AG109" s="81"/>
      <c r="AH109" s="81"/>
      <c r="AI109" s="87">
        <f>AB109+X206</f>
        <v>1</v>
      </c>
      <c r="AJ109" s="69"/>
      <c r="AK109" s="69"/>
      <c r="AL109" s="144">
        <v>0</v>
      </c>
      <c r="AM109" s="81"/>
      <c r="AN109" s="81"/>
      <c r="AO109" s="222">
        <v>1</v>
      </c>
      <c r="AP109" s="3"/>
      <c r="AQ109" s="3"/>
      <c r="AR109" s="144"/>
      <c r="AS109" s="144"/>
      <c r="AT109" s="144"/>
      <c r="AU109" s="144"/>
      <c r="AV109" s="144"/>
      <c r="AW109" s="144"/>
      <c r="AX109" s="144"/>
      <c r="AY109" s="215"/>
      <c r="AZ109" s="7"/>
    </row>
    <row r="110" spans="2:52" ht="1.5" customHeight="1">
      <c r="B110" s="112"/>
      <c r="C110" s="112"/>
      <c r="D110" s="112"/>
      <c r="E110" s="2"/>
      <c r="F110" s="190"/>
      <c r="G110" s="190"/>
      <c r="H110" s="190"/>
      <c r="I110" s="190"/>
      <c r="J110" s="7"/>
      <c r="K110" s="190"/>
      <c r="L110" s="190"/>
      <c r="M110" s="190"/>
      <c r="N110" s="190"/>
      <c r="O110" s="190"/>
      <c r="P110" s="203"/>
      <c r="R110" s="65"/>
      <c r="S110" s="45"/>
      <c r="T110" s="163"/>
      <c r="U110" s="45"/>
      <c r="V110" s="34"/>
      <c r="W110" s="3"/>
      <c r="X110" s="4"/>
      <c r="Y110" s="34"/>
      <c r="Z110" s="4"/>
      <c r="AA110" s="3"/>
      <c r="AB110" s="87"/>
      <c r="AC110" s="119"/>
      <c r="AD110" s="81"/>
      <c r="AE110" s="81"/>
      <c r="AF110" s="72"/>
      <c r="AG110" s="81"/>
      <c r="AH110" s="81"/>
      <c r="AI110" s="87"/>
      <c r="AJ110" s="69"/>
      <c r="AK110" s="69"/>
      <c r="AL110" s="144"/>
      <c r="AM110" s="81"/>
      <c r="AN110" s="81"/>
      <c r="AO110" s="222"/>
      <c r="AP110" s="3"/>
      <c r="AQ110" s="3"/>
      <c r="AR110" s="144"/>
      <c r="AS110" s="144"/>
      <c r="AT110" s="144"/>
      <c r="AU110" s="229"/>
      <c r="AV110" s="229"/>
      <c r="AW110" s="229"/>
      <c r="AX110" s="229"/>
      <c r="AY110" s="215"/>
      <c r="AZ110" s="7"/>
    </row>
    <row r="111" spans="2:52">
      <c r="B111" s="112"/>
      <c r="C111" s="112"/>
      <c r="D111" s="112"/>
      <c r="E111" s="112"/>
      <c r="F111" s="112"/>
      <c r="G111" s="112"/>
      <c r="H111" s="3"/>
      <c r="I111" s="3"/>
      <c r="J111" s="112"/>
      <c r="K111" s="3"/>
      <c r="L111" s="3"/>
      <c r="M111" s="112"/>
      <c r="N111" s="3"/>
      <c r="O111" s="3"/>
      <c r="P111" s="203" t="s">
        <v>119</v>
      </c>
      <c r="R111" s="65" t="s">
        <v>71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65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4</v>
      </c>
      <c r="U111" s="46">
        <f>S111*2+T111</f>
        <v>4</v>
      </c>
      <c r="V111" s="34">
        <f>COUNTIF($D$74:$P$75,"*누리*")+COUNTIF($D$98:$P$99,"*누리*")+COUNTIF($D$122:$P$123,"*누리*")</f>
        <v>1</v>
      </c>
      <c r="W111" s="3"/>
      <c r="X111" s="4">
        <f t="shared" ref="X111:AA112" si="10">S111+S171</f>
        <v>0</v>
      </c>
      <c r="Y111" s="34">
        <f t="shared" si="10"/>
        <v>4</v>
      </c>
      <c r="Z111" s="47">
        <f t="shared" si="10"/>
        <v>4</v>
      </c>
      <c r="AA111" s="3">
        <f t="shared" si="10"/>
        <v>1</v>
      </c>
      <c r="AB111" s="8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9">
        <f>Z111+U208</f>
        <v>4</v>
      </c>
      <c r="AD111" s="81"/>
      <c r="AE111" s="81"/>
      <c r="AF111" s="72">
        <f>AA111+V208</f>
        <v>1</v>
      </c>
      <c r="AG111" s="81"/>
      <c r="AH111" s="81"/>
      <c r="AI111" s="87">
        <f>AB111+X208</f>
        <v>0</v>
      </c>
      <c r="AJ111" s="69"/>
      <c r="AK111" s="69"/>
      <c r="AL111" s="144">
        <v>0.5</v>
      </c>
      <c r="AM111" s="81"/>
      <c r="AN111" s="81"/>
      <c r="AO111" s="222">
        <v>0</v>
      </c>
      <c r="AP111" s="3"/>
      <c r="AQ111" s="3"/>
      <c r="AR111" s="144"/>
      <c r="AS111" s="144"/>
      <c r="AT111" s="144"/>
      <c r="AU111" s="144"/>
      <c r="AV111" s="144"/>
      <c r="AW111" s="144"/>
      <c r="AX111" s="144"/>
      <c r="AY111" s="215"/>
      <c r="AZ111" s="7"/>
    </row>
    <row r="112" spans="2:52">
      <c r="B112" s="112"/>
      <c r="C112" s="112"/>
      <c r="D112" s="112"/>
      <c r="E112" s="112"/>
      <c r="F112" s="112"/>
      <c r="G112" s="112"/>
      <c r="H112" s="3"/>
      <c r="I112" s="3"/>
      <c r="J112" s="112"/>
      <c r="K112" s="3"/>
      <c r="L112" s="3"/>
      <c r="M112" s="112"/>
      <c r="N112" s="3"/>
      <c r="O112" s="3"/>
      <c r="P112" s="112"/>
      <c r="R112" s="65" t="s">
        <v>73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63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4</v>
      </c>
      <c r="U112" s="46">
        <f>S112*2+T112</f>
        <v>4</v>
      </c>
      <c r="V112" s="34">
        <f>COUNTIF($D$74:$P$75,"*미소*")+COUNTIF($D$98:$P$99,"*미소*")+COUNTIF($D$122:$P$123,"*미소*")</f>
        <v>0</v>
      </c>
      <c r="W112" s="3"/>
      <c r="X112" s="4">
        <f t="shared" si="10"/>
        <v>0</v>
      </c>
      <c r="Y112" s="34">
        <f t="shared" si="10"/>
        <v>4</v>
      </c>
      <c r="Z112" s="47">
        <f t="shared" si="10"/>
        <v>4</v>
      </c>
      <c r="AA112" s="3">
        <f t="shared" si="10"/>
        <v>0</v>
      </c>
      <c r="AB112" s="8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9">
        <f>Z112+U209</f>
        <v>4</v>
      </c>
      <c r="AD112" s="81"/>
      <c r="AE112" s="81"/>
      <c r="AF112" s="72">
        <f>AA112+V209</f>
        <v>0</v>
      </c>
      <c r="AG112" s="81"/>
      <c r="AH112" s="81"/>
      <c r="AI112" s="87">
        <f>AB112+X209</f>
        <v>0</v>
      </c>
      <c r="AJ112" s="69"/>
      <c r="AK112" s="69"/>
      <c r="AL112" s="144">
        <v>0</v>
      </c>
      <c r="AM112" s="81"/>
      <c r="AN112" s="81"/>
      <c r="AO112" s="222">
        <v>1</v>
      </c>
      <c r="AP112" s="3"/>
      <c r="AQ112" s="3"/>
      <c r="AR112" s="144"/>
      <c r="AS112" s="144"/>
      <c r="AT112" s="144"/>
      <c r="AU112" s="144"/>
      <c r="AV112" s="144"/>
      <c r="AW112" s="144"/>
      <c r="AX112" s="144"/>
      <c r="AY112" s="215"/>
      <c r="AZ112" s="7"/>
    </row>
    <row r="113" spans="2:52">
      <c r="B113" s="112"/>
      <c r="C113" s="112"/>
      <c r="D113" s="112"/>
      <c r="E113" s="112"/>
      <c r="F113" s="112"/>
      <c r="G113" s="112"/>
      <c r="H113" s="3"/>
      <c r="I113" s="3"/>
      <c r="J113" s="112"/>
      <c r="K113" s="3"/>
      <c r="L113" s="3"/>
      <c r="M113" s="112"/>
      <c r="N113" s="3"/>
      <c r="O113" s="3"/>
      <c r="P113" s="112"/>
      <c r="R113" s="65" t="s">
        <v>77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3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5">
        <f>S113*2+T113</f>
        <v>0</v>
      </c>
      <c r="V113" s="34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4">
        <f t="shared" si="11"/>
        <v>0</v>
      </c>
      <c r="Z113" s="47">
        <f t="shared" si="11"/>
        <v>0</v>
      </c>
      <c r="AA113" s="3">
        <f t="shared" si="11"/>
        <v>0</v>
      </c>
      <c r="AB113" s="151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61">
        <f>Z113+U210</f>
        <v>0</v>
      </c>
      <c r="AD113" s="90"/>
      <c r="AE113" s="90"/>
      <c r="AF113" s="90">
        <f>AA113+V210</f>
        <v>0</v>
      </c>
      <c r="AG113" s="90"/>
      <c r="AH113" s="90"/>
      <c r="AI113" s="151">
        <f>AB113+X210</f>
        <v>0</v>
      </c>
      <c r="AJ113" s="81"/>
      <c r="AK113" s="81"/>
      <c r="AL113" s="144">
        <v>0</v>
      </c>
      <c r="AM113" s="81"/>
      <c r="AN113" s="81"/>
      <c r="AO113" s="223">
        <v>0</v>
      </c>
      <c r="AP113" s="77"/>
      <c r="AQ113" s="77"/>
      <c r="AR113" s="144"/>
      <c r="AS113" s="144"/>
      <c r="AT113" s="144"/>
      <c r="AU113" s="144"/>
      <c r="AV113" s="144"/>
      <c r="AW113" s="144"/>
      <c r="AX113" s="144"/>
      <c r="AY113" s="215"/>
      <c r="AZ113" s="7"/>
    </row>
    <row r="114" spans="2:52">
      <c r="B114" s="112"/>
      <c r="C114" s="112"/>
      <c r="D114" s="112"/>
      <c r="E114" s="112"/>
      <c r="F114" s="112"/>
      <c r="G114" s="112"/>
      <c r="H114" s="3"/>
      <c r="I114" s="3"/>
      <c r="J114" s="112"/>
      <c r="K114" s="3"/>
      <c r="L114" s="3"/>
      <c r="M114" s="112"/>
      <c r="N114" s="3"/>
      <c r="O114" s="3"/>
      <c r="P114" s="112"/>
      <c r="Q114" s="7"/>
      <c r="R114" s="224" t="s">
        <v>148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25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1">
        <f>S114*2+T114</f>
        <v>0</v>
      </c>
      <c r="V114" s="167">
        <f>COUNTIF($D$74:$P$75,"*현동*")+COUNTIF($D$98:$P$99,"*현동*")+COUNTIF($D$122:$P$123,"*현동*")</f>
        <v>0</v>
      </c>
      <c r="W114" s="98"/>
      <c r="X114" s="53">
        <f t="shared" si="11"/>
        <v>0</v>
      </c>
      <c r="Y114" s="167">
        <f t="shared" si="11"/>
        <v>0</v>
      </c>
      <c r="Z114" s="67">
        <f t="shared" si="11"/>
        <v>0</v>
      </c>
      <c r="AA114" s="167">
        <f t="shared" si="11"/>
        <v>0</v>
      </c>
      <c r="AB114" s="16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62">
        <f>Z114+U212</f>
        <v>0</v>
      </c>
      <c r="AD114" s="160"/>
      <c r="AE114" s="160"/>
      <c r="AF114" s="160">
        <f>AA114+V211</f>
        <v>0</v>
      </c>
      <c r="AG114" s="160"/>
      <c r="AH114" s="160"/>
      <c r="AI114" s="160">
        <f>AB114+X212</f>
        <v>0</v>
      </c>
      <c r="AJ114" s="211"/>
      <c r="AK114" s="212"/>
      <c r="AL114" s="167">
        <v>0</v>
      </c>
      <c r="AM114" s="212"/>
      <c r="AN114" s="212"/>
      <c r="AO114" s="226">
        <v>0</v>
      </c>
      <c r="AP114" s="77"/>
      <c r="AQ114" s="77"/>
      <c r="AR114" s="144"/>
      <c r="AS114" s="144"/>
      <c r="AT114" s="144"/>
      <c r="AU114" s="144"/>
      <c r="AV114" s="144"/>
      <c r="AW114" s="144"/>
      <c r="AX114" s="144"/>
      <c r="AY114" s="215"/>
      <c r="AZ114" s="7"/>
    </row>
    <row r="115" spans="2:52" ht="1.5" customHeight="1">
      <c r="B115" s="112"/>
      <c r="C115" s="112"/>
      <c r="D115" s="112"/>
      <c r="E115" s="3"/>
      <c r="F115" s="3"/>
      <c r="G115" s="3"/>
      <c r="H115" s="3"/>
      <c r="I115" s="3"/>
      <c r="J115" s="112"/>
      <c r="K115" s="3"/>
      <c r="L115" s="3"/>
      <c r="M115" s="3"/>
      <c r="N115" s="3"/>
      <c r="O115" s="3"/>
      <c r="P115" s="112"/>
      <c r="R115" s="217"/>
      <c r="S115" s="50"/>
      <c r="T115" s="50"/>
      <c r="U115" s="50"/>
      <c r="V115" s="217"/>
      <c r="W115" s="217"/>
      <c r="X115" s="217"/>
      <c r="Y115" s="217"/>
      <c r="Z115" s="217"/>
      <c r="AA115" s="217"/>
      <c r="AB115" s="7"/>
      <c r="AC115" s="81"/>
      <c r="AD115" s="81"/>
      <c r="AE115" s="81"/>
      <c r="AF115" s="81"/>
      <c r="AG115" s="81"/>
      <c r="AH115" s="81"/>
      <c r="AI115" s="81"/>
      <c r="AJ115" s="81"/>
      <c r="AK115" s="81"/>
      <c r="AL115" s="144"/>
      <c r="AM115" s="81"/>
      <c r="AN115" s="81"/>
      <c r="AO115" s="144"/>
      <c r="AP115" s="81"/>
      <c r="AQ115" s="81"/>
      <c r="AR115" s="180"/>
      <c r="AS115" s="81"/>
      <c r="AT115" s="81"/>
      <c r="AU115" s="180"/>
      <c r="AV115" s="7"/>
      <c r="AW115" s="7"/>
      <c r="AX115" s="7"/>
      <c r="AY115" s="7"/>
      <c r="AZ115" s="7"/>
    </row>
    <row r="116" spans="2:52">
      <c r="B116" s="112"/>
      <c r="C116" s="112"/>
      <c r="D116" s="112"/>
      <c r="E116" s="112"/>
      <c r="F116" s="112"/>
      <c r="G116" s="112"/>
      <c r="H116" s="3"/>
      <c r="I116" s="3"/>
      <c r="J116" s="112"/>
      <c r="K116" s="3"/>
      <c r="L116" s="3"/>
      <c r="M116" s="112"/>
      <c r="N116" s="3"/>
      <c r="O116" s="3"/>
      <c r="P116" s="112"/>
      <c r="R116" s="77"/>
      <c r="S116" s="227"/>
      <c r="T116" s="227"/>
      <c r="U116" s="228"/>
      <c r="V116" s="77"/>
      <c r="W116" s="77"/>
      <c r="X116" s="77"/>
      <c r="Y116" s="77"/>
      <c r="Z116" s="133"/>
      <c r="AA116" s="77"/>
      <c r="AB116" s="80"/>
      <c r="AC116" s="72"/>
      <c r="AD116" s="81"/>
      <c r="AE116" s="81"/>
      <c r="AF116" s="72"/>
      <c r="AG116" s="81"/>
      <c r="AH116" s="81"/>
      <c r="AI116" s="72"/>
      <c r="AJ116" s="81"/>
      <c r="AK116" s="81"/>
      <c r="AL116" s="144"/>
      <c r="AM116" s="81"/>
      <c r="AN116" s="81"/>
      <c r="AO116" s="172"/>
      <c r="AP116" s="77"/>
      <c r="AQ116" s="77"/>
      <c r="AR116" s="144"/>
      <c r="AS116" s="144"/>
      <c r="AT116" s="144"/>
      <c r="AU116" s="144"/>
      <c r="AV116" s="144"/>
      <c r="AW116" s="144"/>
      <c r="AX116" s="144"/>
      <c r="AY116" s="215"/>
      <c r="AZ116" s="7"/>
    </row>
    <row r="117" spans="2:52">
      <c r="B117" s="112"/>
      <c r="C117" s="112"/>
      <c r="D117" s="112"/>
      <c r="E117" s="112"/>
      <c r="F117" s="112"/>
      <c r="G117" s="112"/>
      <c r="H117" s="3"/>
      <c r="I117" s="3"/>
      <c r="J117" s="112"/>
      <c r="K117" s="3"/>
      <c r="L117" s="3"/>
      <c r="M117" s="112"/>
      <c r="N117" s="3"/>
      <c r="O117" s="3"/>
      <c r="P117" s="112"/>
      <c r="R117" s="3"/>
      <c r="S117" s="79"/>
      <c r="T117" s="79"/>
      <c r="U117" s="79"/>
      <c r="V117" s="3"/>
      <c r="W117" s="3"/>
      <c r="X117" s="3"/>
      <c r="Y117" s="3"/>
      <c r="Z117" s="133"/>
      <c r="AA117" s="3"/>
      <c r="AB117" s="90"/>
      <c r="AC117" s="90"/>
      <c r="AD117" s="90"/>
      <c r="AE117" s="90"/>
      <c r="AF117" s="90"/>
      <c r="AG117" s="90"/>
      <c r="AH117" s="90"/>
      <c r="AI117" s="90"/>
      <c r="AJ117" s="81"/>
      <c r="AK117" s="81"/>
      <c r="AL117" s="144"/>
      <c r="AM117" s="81"/>
      <c r="AN117" s="81"/>
      <c r="AO117" s="144"/>
      <c r="AP117" s="144"/>
      <c r="AQ117" s="144"/>
      <c r="AR117" s="144"/>
      <c r="AS117" s="144"/>
      <c r="AT117" s="144"/>
      <c r="AU117" s="144"/>
      <c r="AV117" s="215"/>
      <c r="AW117" s="215"/>
      <c r="AX117" s="215"/>
      <c r="AY117" s="215"/>
      <c r="AZ117" s="7"/>
    </row>
    <row r="118" spans="2:52">
      <c r="B118" s="112"/>
      <c r="C118" s="112"/>
      <c r="D118" s="112"/>
      <c r="E118" s="112"/>
      <c r="F118" s="112"/>
      <c r="G118" s="112"/>
      <c r="H118" s="3"/>
      <c r="I118" s="3"/>
      <c r="J118" s="112"/>
      <c r="K118" s="3"/>
      <c r="L118" s="3"/>
      <c r="M118" s="112"/>
      <c r="N118" s="3"/>
      <c r="O118" s="3"/>
      <c r="P118" s="112"/>
      <c r="R118" s="3"/>
      <c r="S118" s="79"/>
      <c r="T118" s="79"/>
      <c r="U118" s="79"/>
      <c r="V118" s="3"/>
      <c r="W118" s="3"/>
      <c r="X118" s="3"/>
      <c r="Y118" s="3"/>
      <c r="Z118" s="133"/>
      <c r="AA118" s="3"/>
      <c r="AB118" s="90"/>
      <c r="AC118" s="90"/>
      <c r="AD118" s="90"/>
      <c r="AE118" s="90"/>
      <c r="AF118" s="90"/>
      <c r="AG118" s="90"/>
      <c r="AH118" s="90"/>
      <c r="AI118" s="90"/>
      <c r="AJ118" s="81"/>
      <c r="AK118" s="81"/>
      <c r="AL118" s="144"/>
      <c r="AM118" s="81"/>
      <c r="AN118" s="81"/>
      <c r="AO118" s="144"/>
      <c r="AP118" s="144"/>
      <c r="AQ118" s="144"/>
      <c r="AR118" s="144"/>
      <c r="AS118" s="144"/>
      <c r="AT118" s="144"/>
      <c r="AU118" s="144"/>
      <c r="AV118" s="215"/>
      <c r="AW118" s="215"/>
      <c r="AX118" s="215"/>
      <c r="AY118" s="215"/>
      <c r="AZ118" s="7"/>
    </row>
    <row r="119" spans="2:52">
      <c r="B119" s="112"/>
      <c r="C119" s="112"/>
      <c r="D119" s="112"/>
      <c r="E119" s="112"/>
      <c r="F119" s="112"/>
      <c r="G119" s="112"/>
      <c r="H119" s="3"/>
      <c r="I119" s="3"/>
      <c r="J119" s="112"/>
      <c r="K119" s="3"/>
      <c r="L119" s="3"/>
      <c r="M119" s="112"/>
      <c r="N119" s="3"/>
      <c r="O119" s="3"/>
      <c r="P119" s="112"/>
      <c r="R119" s="3"/>
      <c r="S119" s="79"/>
      <c r="T119" s="79"/>
      <c r="U119" s="79"/>
      <c r="V119" s="3"/>
      <c r="W119" s="3"/>
      <c r="X119" s="3"/>
      <c r="Y119" s="3"/>
      <c r="Z119" s="133"/>
      <c r="AA119" s="3"/>
      <c r="AB119" s="90"/>
      <c r="AC119" s="90"/>
      <c r="AD119" s="90"/>
      <c r="AE119" s="90"/>
      <c r="AF119" s="90"/>
      <c r="AG119" s="90"/>
      <c r="AH119" s="90"/>
      <c r="AI119" s="90"/>
      <c r="AJ119" s="81"/>
      <c r="AK119" s="81"/>
      <c r="AL119" s="3"/>
      <c r="AM119" s="81"/>
      <c r="AN119" s="81"/>
      <c r="AO119" s="144"/>
      <c r="AP119" s="144"/>
      <c r="AQ119" s="144"/>
      <c r="AR119" s="144"/>
      <c r="AS119" s="144"/>
      <c r="AT119" s="215"/>
      <c r="AU119" s="215"/>
      <c r="AV119" s="215"/>
      <c r="AW119" s="215"/>
      <c r="AX119" s="7"/>
      <c r="AY119" s="7"/>
      <c r="AZ119" s="7"/>
    </row>
    <row r="120" spans="2:52" ht="1.5" customHeight="1">
      <c r="B120" s="112"/>
      <c r="C120" s="112"/>
      <c r="D120" s="112"/>
      <c r="E120" s="3"/>
      <c r="F120" s="3"/>
      <c r="G120" s="3"/>
      <c r="H120" s="3"/>
      <c r="I120" s="3"/>
      <c r="J120" s="112"/>
      <c r="K120" s="3"/>
      <c r="L120" s="3"/>
      <c r="M120" s="3"/>
      <c r="N120" s="3"/>
      <c r="O120" s="3"/>
      <c r="P120" s="112"/>
      <c r="R120" s="112"/>
      <c r="S120" s="50"/>
      <c r="T120" s="50"/>
      <c r="U120" s="50"/>
      <c r="V120" s="112"/>
      <c r="W120" s="112"/>
      <c r="X120" s="112"/>
      <c r="Y120" s="112"/>
      <c r="Z120" s="179"/>
      <c r="AA120" s="112"/>
      <c r="AB120" s="7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180"/>
      <c r="AQ120" s="81"/>
      <c r="AR120" s="81"/>
      <c r="AS120" s="180"/>
      <c r="AT120" s="7"/>
      <c r="AU120" s="7"/>
      <c r="AV120" s="7"/>
      <c r="AW120" s="7"/>
    </row>
    <row r="121" spans="2:52">
      <c r="B121" s="112"/>
      <c r="C121" s="112"/>
      <c r="D121" s="112"/>
      <c r="E121" s="112"/>
      <c r="F121" s="112"/>
      <c r="G121" s="112"/>
      <c r="H121" s="3"/>
      <c r="I121" s="3"/>
      <c r="J121" s="112"/>
      <c r="K121" s="3"/>
      <c r="L121" s="3"/>
      <c r="M121" s="112"/>
      <c r="N121" s="3"/>
      <c r="O121" s="3"/>
      <c r="P121" s="112"/>
      <c r="R121" s="3"/>
      <c r="S121" s="79"/>
      <c r="T121" s="79"/>
      <c r="U121" s="79"/>
      <c r="V121" s="3"/>
      <c r="W121" s="3"/>
      <c r="X121" s="3"/>
      <c r="Y121" s="3"/>
      <c r="Z121" s="133"/>
      <c r="AA121" s="3"/>
      <c r="AB121" s="90"/>
      <c r="AC121" s="90"/>
      <c r="AD121" s="90"/>
      <c r="AE121" s="90"/>
      <c r="AF121" s="90"/>
      <c r="AG121" s="90"/>
      <c r="AH121" s="90"/>
      <c r="AI121" s="90"/>
      <c r="AJ121" s="81"/>
      <c r="AK121" s="81"/>
      <c r="AL121" s="3"/>
      <c r="AM121" s="81"/>
      <c r="AN121" s="81"/>
      <c r="AO121" s="144"/>
      <c r="AP121" s="144"/>
      <c r="AQ121" s="144"/>
      <c r="AR121" s="144"/>
      <c r="AS121" s="144"/>
      <c r="AT121" s="171"/>
      <c r="AU121" s="171"/>
      <c r="AV121" s="171"/>
      <c r="AW121" s="171"/>
    </row>
    <row r="122" spans="2:52">
      <c r="B122" s="112"/>
      <c r="C122" s="112"/>
      <c r="D122" s="112"/>
      <c r="E122" s="112"/>
      <c r="F122" s="112"/>
      <c r="G122" s="112"/>
      <c r="H122" s="3"/>
      <c r="I122" s="3"/>
      <c r="J122" s="112"/>
      <c r="K122" s="3"/>
      <c r="L122" s="3"/>
      <c r="M122" s="112"/>
      <c r="N122" s="3"/>
      <c r="O122" s="3"/>
      <c r="P122" s="112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70"/>
      <c r="AQ122" s="69"/>
      <c r="AR122" s="69"/>
      <c r="AS122" s="70"/>
    </row>
    <row r="123" spans="2:52">
      <c r="B123" s="112"/>
      <c r="C123" s="112"/>
      <c r="D123" s="112"/>
      <c r="E123" s="112"/>
      <c r="F123" s="112"/>
      <c r="G123" s="112"/>
      <c r="H123" s="3"/>
      <c r="I123" s="3"/>
      <c r="J123" s="112"/>
      <c r="K123" s="3"/>
      <c r="L123" s="3"/>
      <c r="M123" s="112"/>
      <c r="N123" s="3"/>
      <c r="O123" s="3"/>
      <c r="P123" s="112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52">
      <c r="B124" s="112"/>
      <c r="C124" s="112"/>
      <c r="D124" s="112"/>
      <c r="E124" s="112"/>
      <c r="F124" s="112"/>
      <c r="G124" s="112"/>
      <c r="H124" s="3"/>
      <c r="I124" s="3"/>
      <c r="J124" s="112"/>
      <c r="K124" s="3"/>
      <c r="L124" s="3"/>
      <c r="M124" s="112"/>
      <c r="N124" s="3"/>
      <c r="O124" s="3"/>
      <c r="P124" s="112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52" ht="1.5" customHeight="1">
      <c r="B125" s="112"/>
      <c r="C125" s="112"/>
      <c r="D125" s="112"/>
      <c r="E125" s="3"/>
      <c r="F125" s="3"/>
      <c r="G125" s="3"/>
      <c r="H125" s="3"/>
      <c r="I125" s="3"/>
      <c r="J125" s="112"/>
      <c r="K125" s="3"/>
      <c r="L125" s="3"/>
      <c r="M125" s="3"/>
      <c r="N125" s="3"/>
      <c r="O125" s="3"/>
      <c r="P125" s="3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52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52">
      <c r="B127" s="3"/>
      <c r="C127" s="3"/>
      <c r="D127" s="3"/>
      <c r="E127" s="3"/>
      <c r="F127" s="3"/>
      <c r="G127" s="3"/>
      <c r="H127" s="3"/>
      <c r="I127" s="3"/>
      <c r="J127" s="112"/>
      <c r="K127" s="3"/>
      <c r="L127" s="3"/>
      <c r="M127" s="3"/>
      <c r="N127" s="3"/>
      <c r="O127" s="3"/>
      <c r="P127" s="3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52">
      <c r="B128" s="112"/>
      <c r="C128" s="112"/>
      <c r="D128" s="112"/>
      <c r="E128" s="191"/>
      <c r="F128" s="191"/>
      <c r="G128" s="191"/>
      <c r="H128" s="112"/>
      <c r="I128" s="112"/>
      <c r="J128" s="112"/>
      <c r="K128" s="112"/>
      <c r="L128" s="112"/>
      <c r="M128" s="112"/>
      <c r="N128" s="112"/>
      <c r="O128" s="112"/>
      <c r="P128" s="112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12"/>
      <c r="C129" s="112"/>
      <c r="D129" s="112"/>
      <c r="E129" s="112"/>
      <c r="F129" s="112"/>
      <c r="G129" s="112"/>
      <c r="H129" s="3"/>
      <c r="I129" s="3"/>
      <c r="J129" s="112"/>
      <c r="K129" s="112"/>
      <c r="L129" s="112"/>
      <c r="M129" s="112"/>
      <c r="N129" s="112"/>
      <c r="O129" s="112"/>
      <c r="P129" s="112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112"/>
      <c r="C130" s="112"/>
      <c r="D130" s="112"/>
      <c r="E130" s="112"/>
      <c r="F130" s="112"/>
      <c r="G130" s="112"/>
      <c r="H130" s="3"/>
      <c r="I130" s="3"/>
      <c r="J130" s="112"/>
      <c r="K130" s="3"/>
      <c r="L130" s="3"/>
      <c r="M130" s="112"/>
      <c r="N130" s="3"/>
      <c r="O130" s="3"/>
      <c r="P130" s="112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112"/>
      <c r="C131" s="112"/>
      <c r="D131" s="112"/>
      <c r="E131" s="112"/>
      <c r="F131" s="112"/>
      <c r="G131" s="112"/>
      <c r="H131" s="3"/>
      <c r="I131" s="3"/>
      <c r="J131" s="112"/>
      <c r="K131" s="3"/>
      <c r="L131" s="3"/>
      <c r="M131" s="112"/>
      <c r="N131" s="3"/>
      <c r="O131" s="3"/>
      <c r="P131" s="112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12"/>
      <c r="C132" s="112"/>
      <c r="D132" s="112"/>
      <c r="E132" s="112"/>
      <c r="F132" s="112"/>
      <c r="G132" s="112"/>
      <c r="H132" s="3"/>
      <c r="I132" s="3"/>
      <c r="J132" s="112"/>
      <c r="K132" s="3"/>
      <c r="L132" s="3"/>
      <c r="M132" s="112"/>
      <c r="N132" s="3"/>
      <c r="O132" s="3"/>
      <c r="P132" s="112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12"/>
      <c r="C133" s="112"/>
      <c r="D133" s="112"/>
      <c r="E133" s="112"/>
      <c r="F133" s="112"/>
      <c r="G133" s="112"/>
      <c r="H133" s="3"/>
      <c r="I133" s="3"/>
      <c r="J133" s="112"/>
      <c r="K133" s="3"/>
      <c r="L133" s="3"/>
      <c r="M133" s="112"/>
      <c r="N133" s="3"/>
      <c r="O133" s="3"/>
      <c r="P133" s="112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>
      <c r="B135" s="112"/>
      <c r="C135" s="112"/>
      <c r="D135" s="112"/>
      <c r="E135" s="191"/>
      <c r="F135" s="191"/>
      <c r="G135" s="191"/>
      <c r="H135" s="112"/>
      <c r="I135" s="112"/>
      <c r="J135" s="112"/>
      <c r="K135" s="112"/>
      <c r="L135" s="112"/>
      <c r="M135" s="112"/>
      <c r="N135" s="112"/>
      <c r="O135" s="112"/>
      <c r="P135" s="112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112"/>
      <c r="C136" s="112"/>
      <c r="D136" s="112"/>
      <c r="E136" s="191"/>
      <c r="F136" s="191"/>
      <c r="G136" s="191"/>
      <c r="H136" s="112"/>
      <c r="I136" s="112"/>
      <c r="J136" s="112"/>
      <c r="K136" s="112"/>
      <c r="L136" s="112"/>
      <c r="M136" s="112"/>
      <c r="N136" s="112"/>
      <c r="O136" s="112"/>
      <c r="P136" s="112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12"/>
      <c r="C137" s="112"/>
      <c r="D137" s="112"/>
      <c r="E137" s="112"/>
      <c r="F137" s="112"/>
      <c r="G137" s="112"/>
      <c r="H137" s="112"/>
      <c r="I137" s="3"/>
      <c r="J137" s="112"/>
      <c r="K137" s="112"/>
      <c r="L137" s="3"/>
      <c r="M137" s="112"/>
      <c r="N137" s="112"/>
      <c r="O137" s="3"/>
      <c r="P137" s="112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customHeight="1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3"/>
      <c r="M138" s="112"/>
      <c r="N138" s="112"/>
      <c r="O138" s="3"/>
      <c r="P138" s="112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3"/>
      <c r="M139" s="112"/>
      <c r="N139" s="112"/>
      <c r="O139" s="3"/>
      <c r="P139" s="112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3"/>
      <c r="M140" s="112"/>
      <c r="N140" s="112"/>
      <c r="O140" s="3"/>
      <c r="P140" s="112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3"/>
      <c r="M141" s="112"/>
      <c r="N141" s="112"/>
      <c r="O141" s="3"/>
      <c r="P141" s="112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3"/>
      <c r="M142" s="112"/>
      <c r="N142" s="112"/>
      <c r="O142" s="3"/>
      <c r="P142" s="112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281"/>
      <c r="C143" s="112"/>
      <c r="D143" s="112"/>
      <c r="E143" s="112"/>
      <c r="F143" s="112"/>
      <c r="G143" s="112"/>
      <c r="H143" s="112"/>
      <c r="I143" s="112"/>
      <c r="J143" s="112"/>
      <c r="K143" s="112"/>
      <c r="L143" s="3"/>
      <c r="M143" s="112"/>
      <c r="N143" s="112"/>
      <c r="O143" s="3"/>
      <c r="P143" s="112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281"/>
      <c r="C144" s="112"/>
      <c r="D144" s="112"/>
      <c r="E144" s="112"/>
      <c r="F144" s="112"/>
      <c r="G144" s="112"/>
      <c r="H144" s="112"/>
      <c r="I144" s="112"/>
      <c r="J144" s="112"/>
      <c r="K144" s="112"/>
      <c r="L144" s="3"/>
      <c r="M144" s="112"/>
      <c r="N144" s="112"/>
      <c r="O144" s="3"/>
      <c r="P144" s="112"/>
      <c r="R144" s="139"/>
      <c r="S144" s="285" t="s">
        <v>75</v>
      </c>
      <c r="T144" s="286"/>
      <c r="U144" s="286"/>
      <c r="V144" s="287"/>
      <c r="W144" s="3"/>
      <c r="X144" s="282" t="s">
        <v>76</v>
      </c>
      <c r="Y144" s="283"/>
      <c r="Z144" s="283"/>
      <c r="AA144" s="283"/>
      <c r="AB144" s="284"/>
      <c r="AC144" s="137"/>
      <c r="AD144" s="69"/>
      <c r="AE144" s="69"/>
      <c r="AF144" s="69"/>
      <c r="AG144" s="69"/>
      <c r="AH144" s="69"/>
      <c r="AI144" s="69"/>
      <c r="AJ144" s="69"/>
      <c r="AK144" s="69"/>
      <c r="AL144" s="139"/>
      <c r="AM144" s="69"/>
      <c r="AN144" s="69"/>
      <c r="AO144" s="137"/>
      <c r="AP144" s="144"/>
      <c r="AQ144" s="144"/>
      <c r="AR144" s="144"/>
      <c r="AS144" s="144"/>
      <c r="AT144" s="136"/>
      <c r="AU144" s="136"/>
      <c r="AV144" s="136"/>
      <c r="AW144" s="136"/>
      <c r="AX144" s="92" t="s">
        <v>65</v>
      </c>
      <c r="AY144" s="2" t="s">
        <v>74</v>
      </c>
    </row>
    <row r="145" spans="2:50" s="2" customFormat="1" ht="2.25" customHeight="1">
      <c r="B145" s="112"/>
      <c r="C145" s="112"/>
      <c r="D145" s="112"/>
      <c r="E145" s="112"/>
      <c r="F145" s="112"/>
      <c r="G145" s="112"/>
      <c r="H145" s="112"/>
      <c r="I145" s="3"/>
      <c r="J145" s="112"/>
      <c r="K145" s="112"/>
      <c r="L145" s="3"/>
      <c r="M145" s="112"/>
      <c r="N145" s="112"/>
      <c r="O145" s="3"/>
      <c r="P145" s="112"/>
      <c r="R145" s="138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8"/>
      <c r="AM145" s="69"/>
      <c r="AN145" s="69"/>
      <c r="AO145" s="69"/>
      <c r="AP145" s="69"/>
      <c r="AX145" s="91"/>
    </row>
    <row r="146" spans="2:50" s="2" customFormat="1" ht="9.75" customHeight="1">
      <c r="B146" s="112"/>
      <c r="C146" s="112"/>
      <c r="D146" s="112"/>
      <c r="E146" s="112"/>
      <c r="F146" s="112"/>
      <c r="G146" s="112"/>
      <c r="H146" s="3"/>
      <c r="I146" s="3"/>
      <c r="J146" s="112"/>
      <c r="K146" s="3"/>
      <c r="L146" s="3"/>
      <c r="M146" s="112"/>
      <c r="N146" s="3"/>
      <c r="O146" s="3"/>
      <c r="P146" s="112"/>
      <c r="R146" s="147"/>
      <c r="S146" s="148" t="s">
        <v>149</v>
      </c>
      <c r="T146" s="149" t="s">
        <v>150</v>
      </c>
      <c r="U146" s="148" t="s">
        <v>151</v>
      </c>
      <c r="V146" s="64" t="s">
        <v>152</v>
      </c>
      <c r="W146" s="3"/>
      <c r="X146" s="150" t="s">
        <v>149</v>
      </c>
      <c r="Y146" s="68" t="s">
        <v>150</v>
      </c>
      <c r="Z146" s="68" t="s">
        <v>151</v>
      </c>
      <c r="AA146" s="68" t="s">
        <v>152</v>
      </c>
      <c r="AB146" s="213" t="s">
        <v>153</v>
      </c>
      <c r="AC146" s="146"/>
      <c r="AD146" s="146"/>
      <c r="AE146" s="146"/>
      <c r="AF146" s="146"/>
      <c r="AG146" s="146"/>
      <c r="AH146" s="146"/>
      <c r="AI146" s="146"/>
      <c r="AJ146" s="135"/>
      <c r="AK146" s="69"/>
      <c r="AL146" s="139"/>
      <c r="AM146" s="69"/>
      <c r="AN146" s="69"/>
      <c r="AO146" s="69"/>
      <c r="AP146" s="96" t="s">
        <v>154</v>
      </c>
      <c r="AQ146" s="152" t="s">
        <v>155</v>
      </c>
      <c r="AR146" s="96" t="s">
        <v>156</v>
      </c>
      <c r="AS146" s="96" t="s">
        <v>157</v>
      </c>
      <c r="AT146" s="100" t="s">
        <v>158</v>
      </c>
      <c r="AU146" s="100" t="s">
        <v>159</v>
      </c>
      <c r="AV146" s="100" t="s">
        <v>160</v>
      </c>
      <c r="AW146" s="100" t="s">
        <v>161</v>
      </c>
      <c r="AX146" s="93" t="s">
        <v>26</v>
      </c>
    </row>
    <row r="147" spans="2:50" s="2" customFormat="1" ht="9.75" customHeight="1">
      <c r="B147" s="112"/>
      <c r="C147" s="112"/>
      <c r="D147" s="112"/>
      <c r="E147" s="112"/>
      <c r="F147" s="112"/>
      <c r="G147" s="112"/>
      <c r="H147" s="3"/>
      <c r="I147" s="3"/>
      <c r="J147" s="112"/>
      <c r="K147" s="3"/>
      <c r="L147" s="3"/>
      <c r="M147" s="112"/>
      <c r="N147" s="3"/>
      <c r="O147" s="3"/>
      <c r="P147" s="112"/>
      <c r="R147" s="168" t="s">
        <v>72</v>
      </c>
      <c r="S147" s="140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1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41">
        <f>COUNTIF($D$156:$P$157,"*원석*")+COUNTIF($D$180:$P$181,"*원석*")</f>
        <v>0</v>
      </c>
      <c r="W147" s="142"/>
      <c r="X147" s="145">
        <f>X86</f>
        <v>0</v>
      </c>
      <c r="Y147" s="170">
        <f>Y86</f>
        <v>0</v>
      </c>
      <c r="Z147" s="44">
        <f>Z86</f>
        <v>0</v>
      </c>
      <c r="AA147" s="170">
        <f>AA86</f>
        <v>0</v>
      </c>
      <c r="AB147" s="15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43"/>
      <c r="AM147" s="135"/>
      <c r="AN147" s="135"/>
      <c r="AO147" s="96" t="s">
        <v>72</v>
      </c>
      <c r="AP147" s="96">
        <f>COUNTIF($D$69:$P$76,"*원석*")</f>
        <v>0</v>
      </c>
      <c r="AQ147" s="96">
        <f>COUNTIF($D$83:$P$100,"*원석*")</f>
        <v>0</v>
      </c>
      <c r="AR147" s="96">
        <f>COUNTIF($D$107:$P$124,"*원석*")</f>
        <v>0</v>
      </c>
      <c r="AS147" s="96">
        <f>COUNTIF($D$131:$P$132,"*원석*")+COUNTIF($D$146:$P$158,"*원석*")</f>
        <v>0</v>
      </c>
      <c r="AT147" s="96">
        <f>COUNTIF($D$165:$P$182,"*원석*")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0</v>
      </c>
      <c r="AX147" s="93" t="s">
        <v>8</v>
      </c>
    </row>
    <row r="148" spans="2:50" s="2" customFormat="1" ht="9.75" customHeight="1">
      <c r="B148" s="112"/>
      <c r="C148" s="112"/>
      <c r="D148" s="112"/>
      <c r="E148" s="112"/>
      <c r="F148" s="112"/>
      <c r="G148" s="112"/>
      <c r="H148" s="3"/>
      <c r="I148" s="3"/>
      <c r="J148" s="112"/>
      <c r="K148" s="3"/>
      <c r="L148" s="3"/>
      <c r="M148" s="112"/>
      <c r="N148" s="3"/>
      <c r="O148" s="3"/>
      <c r="P148" s="112"/>
      <c r="Q148" s="28"/>
      <c r="R148" s="169" t="s">
        <v>66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3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0</v>
      </c>
      <c r="Z148" s="47">
        <f>Z88</f>
        <v>0</v>
      </c>
      <c r="AA148" s="34">
        <f>AA88</f>
        <v>0</v>
      </c>
      <c r="AB148" s="12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9"/>
      <c r="AD148" s="69"/>
      <c r="AE148" s="69"/>
      <c r="AF148" s="69"/>
      <c r="AG148" s="69"/>
      <c r="AH148" s="69"/>
      <c r="AI148" s="69"/>
      <c r="AJ148" s="69"/>
      <c r="AK148" s="69"/>
      <c r="AL148" s="139"/>
      <c r="AM148" s="69"/>
      <c r="AN148" s="69"/>
      <c r="AO148" s="95" t="s">
        <v>66</v>
      </c>
      <c r="AP148" s="95">
        <f>COUNTIF($D$69:$P$76,"*성진*")</f>
        <v>0</v>
      </c>
      <c r="AQ148" s="95">
        <f>COUNTIF($D$83:$P$100,"*성진*")</f>
        <v>0</v>
      </c>
      <c r="AR148" s="95">
        <f>COUNTIF($D$107:$P$124,"*성진*")</f>
        <v>0</v>
      </c>
      <c r="AS148" s="95">
        <f>COUNTIF($D$131:$P$132,"*성진*")+COUNTIF($D$146:$P$158,"*성진*")</f>
        <v>0</v>
      </c>
      <c r="AT148" s="78">
        <f>COUNTIF($D$165:$P$182,"*성진*")</f>
        <v>0</v>
      </c>
      <c r="AU148" s="78">
        <f>COUNTIF($D$189:$P$206,"*성진*")</f>
        <v>0</v>
      </c>
      <c r="AV148" s="78">
        <f>COUNTIF($D$213:$P$230,"*성진*")</f>
        <v>0</v>
      </c>
      <c r="AW148" s="78">
        <f>SUM(AO148:AV148)</f>
        <v>0</v>
      </c>
      <c r="AX148" s="93" t="s">
        <v>33</v>
      </c>
    </row>
    <row r="149" spans="2:50" s="3" customFormat="1" ht="2.25" customHeight="1">
      <c r="B149" s="112"/>
      <c r="C149" s="112"/>
      <c r="D149" s="112"/>
      <c r="E149" s="112"/>
      <c r="F149" s="112"/>
      <c r="G149" s="112"/>
      <c r="J149" s="112"/>
      <c r="M149" s="112"/>
      <c r="P149" s="112"/>
      <c r="R149" s="65"/>
      <c r="S149" s="45"/>
      <c r="T149" s="163"/>
      <c r="U149" s="45"/>
      <c r="V149" s="34"/>
      <c r="X149" s="4"/>
      <c r="Y149" s="34"/>
      <c r="Z149" s="4"/>
      <c r="AA149" s="34"/>
      <c r="AB149" s="158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7"/>
      <c r="AP149" s="153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112"/>
      <c r="C150" s="112"/>
      <c r="D150" s="112"/>
      <c r="E150" s="112"/>
      <c r="F150" s="112"/>
      <c r="G150" s="112"/>
      <c r="H150" s="3"/>
      <c r="I150" s="3"/>
      <c r="J150" s="112"/>
      <c r="K150" s="3"/>
      <c r="L150" s="3"/>
      <c r="M150" s="112"/>
      <c r="N150" s="3"/>
      <c r="O150" s="3"/>
      <c r="P150" s="112"/>
      <c r="Q150" s="28"/>
      <c r="R150" s="65" t="s">
        <v>67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3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9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95" t="s">
        <v>67</v>
      </c>
      <c r="AP150" s="95">
        <f>COUNTIF($D$69:$P$76,"*종섭*")</f>
        <v>0</v>
      </c>
      <c r="AQ150" s="95">
        <f>COUNTIF($D$83:$P$100,"*종섭*")</f>
        <v>0</v>
      </c>
      <c r="AR150" s="95">
        <f>COUNTIF($D$107:$P$124,"*종섭*")</f>
        <v>0</v>
      </c>
      <c r="AS150" s="95">
        <f>COUNTIF($D$131:$P$132,"*종섭*")+COUNTIF($D$146:$P$158,"*종섭*")</f>
        <v>0</v>
      </c>
      <c r="AT150" s="78">
        <f>COUNTIF($D$165:$P$182,"*종섭*")</f>
        <v>0</v>
      </c>
      <c r="AU150" s="78">
        <f>COUNTIF($D$189:$P$206,"*종섭*")</f>
        <v>0</v>
      </c>
      <c r="AV150" s="78">
        <f>COUNTIF($D$213:$P$230,"*종섭*")</f>
        <v>0</v>
      </c>
      <c r="AW150" s="78">
        <f>SUM(AO150:AV150)</f>
        <v>0</v>
      </c>
    </row>
    <row r="151" spans="2:50" s="2" customFormat="1" ht="9.75" customHeight="1">
      <c r="B151" s="112"/>
      <c r="C151" s="112"/>
      <c r="D151" s="112"/>
      <c r="E151" s="112"/>
      <c r="F151" s="112"/>
      <c r="G151" s="112"/>
      <c r="H151" s="3"/>
      <c r="I151" s="3"/>
      <c r="J151" s="112"/>
      <c r="K151" s="3"/>
      <c r="L151" s="3"/>
      <c r="M151" s="112"/>
      <c r="N151" s="3"/>
      <c r="O151" s="3"/>
      <c r="P151" s="112"/>
      <c r="Q151" s="28"/>
      <c r="R151" s="65" t="s">
        <v>24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3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59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1"/>
      <c r="AE151" s="81"/>
      <c r="AF151" s="3"/>
      <c r="AG151" s="81"/>
      <c r="AH151" s="81"/>
      <c r="AI151" s="81"/>
      <c r="AJ151" s="81"/>
      <c r="AK151" s="81"/>
      <c r="AL151" s="81"/>
      <c r="AM151" s="81"/>
      <c r="AN151" s="81"/>
      <c r="AO151" s="65" t="s">
        <v>24</v>
      </c>
      <c r="AP151" s="95">
        <f>COUNTIF($D$69:$P$76,"*형민*")</f>
        <v>0</v>
      </c>
      <c r="AQ151" s="95">
        <f>COUNTIF($D$83:$P$100,"*형민*")</f>
        <v>0</v>
      </c>
      <c r="AR151" s="95">
        <f>COUNTIF($D$107:$P$124,"*형민*")</f>
        <v>0</v>
      </c>
      <c r="AS151" s="95">
        <f>COUNTIF($D$131:$P$132,"*형민*")+COUNTIF($D$146:$P$158,"*형민*")</f>
        <v>0</v>
      </c>
      <c r="AT151" s="95">
        <f>COUNTIF($D$165:$P$182,"*형민*")</f>
        <v>0</v>
      </c>
      <c r="AU151" s="95">
        <f>COUNTIF($D$189:$P$206,"*형민*")</f>
        <v>0</v>
      </c>
      <c r="AV151" s="95">
        <f>COUNTIF($D$213:$P$230,"*형민*")</f>
        <v>0</v>
      </c>
      <c r="AW151" s="78">
        <f>SUM(AO151:AV151)</f>
        <v>0</v>
      </c>
    </row>
    <row r="152" spans="2:50" s="2" customFormat="1" ht="9.75" customHeight="1">
      <c r="B152" s="112"/>
      <c r="C152" s="112"/>
      <c r="D152" s="112"/>
      <c r="E152" s="112"/>
      <c r="F152" s="112"/>
      <c r="G152" s="112"/>
      <c r="H152" s="3"/>
      <c r="I152" s="3"/>
      <c r="J152" s="112"/>
      <c r="K152" s="3"/>
      <c r="L152" s="3"/>
      <c r="M152" s="112"/>
      <c r="N152" s="3"/>
      <c r="O152" s="3"/>
      <c r="P152" s="112"/>
      <c r="Q152" s="28"/>
      <c r="R152" s="65" t="s">
        <v>14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3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0</v>
      </c>
      <c r="V152" s="34">
        <f>COUNTIF($D$156:$P$157,"*효동*")+COUNTIF($D$180:$P$181,"*효동*")</f>
        <v>0</v>
      </c>
      <c r="W152" s="3"/>
      <c r="X152" s="4">
        <f t="shared" ref="X152:AA153" si="14">X92</f>
        <v>0</v>
      </c>
      <c r="Y152" s="34">
        <f t="shared" si="14"/>
        <v>0</v>
      </c>
      <c r="Z152" s="47">
        <f t="shared" si="14"/>
        <v>0</v>
      </c>
      <c r="AA152" s="34">
        <f t="shared" si="14"/>
        <v>0</v>
      </c>
      <c r="AB152" s="159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2"/>
      <c r="AD152" s="81"/>
      <c r="AE152" s="81"/>
      <c r="AF152" s="3"/>
      <c r="AG152" s="81"/>
      <c r="AH152" s="81"/>
      <c r="AI152" s="81"/>
      <c r="AJ152" s="81"/>
      <c r="AK152" s="81"/>
      <c r="AL152" s="81"/>
      <c r="AM152" s="81"/>
      <c r="AN152" s="81"/>
      <c r="AO152" s="65" t="s">
        <v>14</v>
      </c>
      <c r="AP152" s="95">
        <f>COUNTIF($D$69:$P$76,"*효동*")</f>
        <v>0</v>
      </c>
      <c r="AQ152" s="95">
        <f>COUNTIF($D$83:$P$100,"*효동*")</f>
        <v>0</v>
      </c>
      <c r="AR152" s="95">
        <f>COUNTIF($D$107:$P$124,"*효동*")</f>
        <v>0</v>
      </c>
      <c r="AS152" s="95">
        <f>COUNTIF($D$131:$P$132,"*효동*")+COUNTIF($D$146:$P$158,"*효동*")</f>
        <v>0</v>
      </c>
      <c r="AT152" s="95">
        <f>COUNTIF($D$165:$P$182,"*효동*")</f>
        <v>0</v>
      </c>
      <c r="AU152" s="95">
        <f>COUNTIF($D$189:$P$206,"*효동*")</f>
        <v>0</v>
      </c>
      <c r="AV152" s="95">
        <f>COUNTIF($D$213:$P$230,"*효동*")</f>
        <v>0</v>
      </c>
      <c r="AW152" s="78">
        <f>SUM(AO152:AV152)</f>
        <v>0</v>
      </c>
    </row>
    <row r="153" spans="2:50" s="2" customFormat="1" ht="9.75" customHeight="1">
      <c r="B153" s="112"/>
      <c r="C153" s="112"/>
      <c r="D153" s="112"/>
      <c r="E153" s="112"/>
      <c r="F153" s="112"/>
      <c r="G153" s="112"/>
      <c r="H153" s="3"/>
      <c r="I153" s="3"/>
      <c r="J153" s="112"/>
      <c r="K153" s="3"/>
      <c r="L153" s="3"/>
      <c r="M153" s="112"/>
      <c r="N153" s="112"/>
      <c r="O153" s="112"/>
      <c r="P153" s="112"/>
      <c r="Q153" s="28"/>
      <c r="R153" s="65" t="s">
        <v>68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63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1</v>
      </c>
      <c r="Y153" s="34">
        <f t="shared" si="14"/>
        <v>0</v>
      </c>
      <c r="Z153" s="47">
        <f t="shared" si="14"/>
        <v>2</v>
      </c>
      <c r="AA153" s="34">
        <f t="shared" si="14"/>
        <v>0</v>
      </c>
      <c r="AB153" s="159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2"/>
      <c r="AD153" s="81"/>
      <c r="AE153" s="81"/>
      <c r="AF153" s="3"/>
      <c r="AG153" s="81"/>
      <c r="AH153" s="81"/>
      <c r="AI153" s="81"/>
      <c r="AJ153" s="81"/>
      <c r="AK153" s="81"/>
      <c r="AL153" s="81"/>
      <c r="AM153" s="81"/>
      <c r="AN153" s="81"/>
      <c r="AO153" s="65" t="s">
        <v>68</v>
      </c>
      <c r="AP153" s="95">
        <f>COUNTIF($D$69:$P$76,"*상은*")</f>
        <v>0</v>
      </c>
      <c r="AQ153" s="95">
        <f>COUNTIF($D$83:$P$100,"*상은*")</f>
        <v>1</v>
      </c>
      <c r="AR153" s="95">
        <f>COUNTIF($D$107:$P$124,"*상은*")</f>
        <v>0</v>
      </c>
      <c r="AS153" s="95">
        <f>COUNTIF($D$131:$P$132,"*상은*")+COUNTIF($D$146:$P$158,"*상은*")</f>
        <v>0</v>
      </c>
      <c r="AT153" s="95">
        <f>COUNTIF($D$165:$P$182,"*상은*")</f>
        <v>0</v>
      </c>
      <c r="AU153" s="95">
        <f>COUNTIF($D$189:$P$206,"*상은*")</f>
        <v>0</v>
      </c>
      <c r="AV153" s="95">
        <f>COUNTIF($D$213:$P$230,"*상은*")</f>
        <v>0</v>
      </c>
      <c r="AW153" s="78">
        <f>SUM(AO153:AV153)</f>
        <v>1</v>
      </c>
    </row>
    <row r="154" spans="2:50" s="2" customFormat="1" ht="1.5" customHeight="1">
      <c r="B154" s="112"/>
      <c r="C154" s="112"/>
      <c r="D154" s="112"/>
      <c r="E154" s="112"/>
      <c r="F154" s="112"/>
      <c r="G154" s="112"/>
      <c r="H154" s="3"/>
      <c r="I154" s="3"/>
      <c r="J154" s="112"/>
      <c r="K154" s="3"/>
      <c r="L154" s="3"/>
      <c r="M154" s="112"/>
      <c r="N154" s="3"/>
      <c r="O154" s="3"/>
      <c r="P154" s="112"/>
      <c r="Q154" s="28"/>
      <c r="R154" s="65"/>
      <c r="S154" s="45"/>
      <c r="T154" s="163"/>
      <c r="U154" s="46"/>
      <c r="V154" s="34"/>
      <c r="W154" s="3"/>
      <c r="X154" s="4"/>
      <c r="Y154" s="34"/>
      <c r="Z154" s="47"/>
      <c r="AA154" s="34"/>
      <c r="AB154" s="159"/>
      <c r="AC154" s="72"/>
      <c r="AD154" s="81"/>
      <c r="AE154" s="81"/>
      <c r="AF154" s="3"/>
      <c r="AG154" s="81"/>
      <c r="AH154" s="81"/>
      <c r="AI154" s="81"/>
      <c r="AJ154" s="81"/>
      <c r="AK154" s="81"/>
      <c r="AL154" s="81"/>
      <c r="AM154" s="81"/>
      <c r="AN154" s="81"/>
      <c r="AO154" s="65"/>
      <c r="AP154" s="97"/>
      <c r="AQ154" s="78"/>
      <c r="AR154" s="78"/>
      <c r="AS154" s="78"/>
      <c r="AT154" s="78"/>
      <c r="AU154" s="78"/>
      <c r="AV154" s="78"/>
      <c r="AW154" s="78"/>
    </row>
    <row r="155" spans="2:50" s="2" customFormat="1" ht="9.75" customHeight="1">
      <c r="B155" s="112"/>
      <c r="C155" s="112"/>
      <c r="D155" s="112"/>
      <c r="E155" s="112"/>
      <c r="F155" s="112"/>
      <c r="G155" s="112"/>
      <c r="H155" s="3"/>
      <c r="I155" s="3"/>
      <c r="J155" s="112"/>
      <c r="K155" s="3"/>
      <c r="L155" s="3"/>
      <c r="M155" s="112"/>
      <c r="N155" s="3"/>
      <c r="O155" s="3"/>
      <c r="P155" s="112"/>
      <c r="Q155" s="28"/>
      <c r="R155" s="65" t="s">
        <v>13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3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0</v>
      </c>
      <c r="Y155" s="34">
        <f t="shared" si="15"/>
        <v>0</v>
      </c>
      <c r="Z155" s="47">
        <f t="shared" si="15"/>
        <v>0</v>
      </c>
      <c r="AA155" s="34">
        <f t="shared" si="15"/>
        <v>0</v>
      </c>
      <c r="AB155" s="159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1"/>
      <c r="AE155" s="81"/>
      <c r="AF155" s="3"/>
      <c r="AG155" s="81"/>
      <c r="AH155" s="81"/>
      <c r="AI155" s="81"/>
      <c r="AJ155" s="81"/>
      <c r="AK155" s="81"/>
      <c r="AL155" s="81"/>
      <c r="AM155" s="81"/>
      <c r="AN155" s="81"/>
      <c r="AO155" s="65" t="s">
        <v>13</v>
      </c>
      <c r="AP155" s="95">
        <f>COUNTIF($D$69:$P$76,"*준범*")</f>
        <v>0</v>
      </c>
      <c r="AQ155" s="95">
        <f>COUNTIF($D$83:$P$100,"*준범*")</f>
        <v>0</v>
      </c>
      <c r="AR155" s="95">
        <f>COUNTIF($D$107:$P$124,"*준범*")</f>
        <v>0</v>
      </c>
      <c r="AS155" s="95">
        <f>COUNTIF($D$131:$P$132,"*준범*")+COUNTIF($D$146:$P$158,"*준범*")</f>
        <v>0</v>
      </c>
      <c r="AT155" s="95">
        <f>COUNTIF($D$165:$P$182,"*준범*")</f>
        <v>0</v>
      </c>
      <c r="AU155" s="95">
        <f>COUNTIF($D$189:$P$206,"*준범*")</f>
        <v>0</v>
      </c>
      <c r="AV155" s="95">
        <f>COUNTIF($D$213:$P$230,"*준범*")</f>
        <v>0</v>
      </c>
      <c r="AW155" s="78">
        <f>SUM(AO155:AV155)</f>
        <v>0</v>
      </c>
    </row>
    <row r="156" spans="2:50" s="2" customFormat="1" ht="9.75" customHeight="1">
      <c r="B156" s="112"/>
      <c r="C156" s="112"/>
      <c r="D156" s="112"/>
      <c r="E156" s="112"/>
      <c r="F156" s="112"/>
      <c r="G156" s="112"/>
      <c r="H156" s="3"/>
      <c r="I156" s="3"/>
      <c r="J156" s="112"/>
      <c r="K156" s="3"/>
      <c r="L156" s="3"/>
      <c r="M156" s="112"/>
      <c r="N156" s="3"/>
      <c r="O156" s="3"/>
      <c r="P156" s="112"/>
      <c r="Q156" s="28"/>
      <c r="R156" s="65" t="s">
        <v>147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5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59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1"/>
      <c r="AE156" s="81"/>
      <c r="AF156" s="3"/>
      <c r="AG156" s="81"/>
      <c r="AH156" s="81"/>
      <c r="AI156" s="81"/>
      <c r="AJ156" s="81"/>
      <c r="AK156" s="81"/>
      <c r="AL156" s="126"/>
      <c r="AM156" s="81"/>
      <c r="AN156" s="81"/>
      <c r="AO156" s="65" t="s">
        <v>147</v>
      </c>
      <c r="AP156" s="95">
        <f>COUNTIF($D$69:$P$76,"*슬비*")</f>
        <v>0</v>
      </c>
      <c r="AQ156" s="95">
        <f>COUNTIF($D$83:$P$100,"*슬비*")</f>
        <v>0</v>
      </c>
      <c r="AR156" s="95">
        <f>COUNTIF($D$107:$P$124,"*슬비*")</f>
        <v>0</v>
      </c>
      <c r="AS156" s="95">
        <f>COUNTIF($D$131:$P$132,"*슬비*")+COUNTIF($D$146:$P$158,"*슬비*")</f>
        <v>0</v>
      </c>
      <c r="AT156" s="95">
        <f>COUNTIF($D$165:$P$182,"*슬비*")</f>
        <v>0</v>
      </c>
      <c r="AU156" s="95">
        <f>COUNTIF($D$189:$P$206,"*슬비*")</f>
        <v>0</v>
      </c>
      <c r="AV156" s="95">
        <f>COUNTIF($D$213:$P$230,"*슬비*")</f>
        <v>0</v>
      </c>
      <c r="AW156" s="78">
        <f>SUM(AO156:AV156)</f>
        <v>0</v>
      </c>
    </row>
    <row r="157" spans="2:50" s="2" customFormat="1" ht="9.75" customHeight="1">
      <c r="B157" s="112"/>
      <c r="C157" s="112"/>
      <c r="D157" s="112"/>
      <c r="E157" s="112"/>
      <c r="F157" s="112"/>
      <c r="G157" s="112"/>
      <c r="H157" s="3"/>
      <c r="I157" s="3"/>
      <c r="J157" s="112"/>
      <c r="K157" s="3"/>
      <c r="L157" s="3"/>
      <c r="M157" s="112"/>
      <c r="N157" s="3"/>
      <c r="O157" s="3"/>
      <c r="P157" s="112"/>
      <c r="Q157" s="28"/>
      <c r="R157" s="65" t="s">
        <v>15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3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0</v>
      </c>
      <c r="Z157" s="47">
        <f t="shared" si="17"/>
        <v>0</v>
      </c>
      <c r="AA157" s="34">
        <f t="shared" si="17"/>
        <v>0</v>
      </c>
      <c r="AB157" s="159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81"/>
      <c r="AE157" s="81"/>
      <c r="AF157" s="3"/>
      <c r="AG157" s="81"/>
      <c r="AH157" s="81"/>
      <c r="AI157" s="81"/>
      <c r="AJ157" s="81"/>
      <c r="AK157" s="81"/>
      <c r="AL157" s="126"/>
      <c r="AM157" s="81"/>
      <c r="AN157" s="81"/>
      <c r="AO157" s="65" t="s">
        <v>15</v>
      </c>
      <c r="AP157" s="95">
        <f>COUNTIF($D$69:$P$76,"*최근*")</f>
        <v>0</v>
      </c>
      <c r="AQ157" s="95">
        <f>COUNTIF($D$83:$P$100,"*최근*")</f>
        <v>0</v>
      </c>
      <c r="AR157" s="95">
        <f>COUNTIF($D$107:$P$124,"*최근*")</f>
        <v>0</v>
      </c>
      <c r="AS157" s="95">
        <f>COUNTIF($D$131:$P$132,"*최근*")+COUNTIF($D$146:$P$158,"*최근*")</f>
        <v>0</v>
      </c>
      <c r="AT157" s="95">
        <f>COUNTIF($D$165:$P$182,"*최근*")</f>
        <v>0</v>
      </c>
      <c r="AU157" s="95">
        <f>COUNTIF($D$189:$P$206,"*최근*")</f>
        <v>0</v>
      </c>
      <c r="AV157" s="95">
        <f>COUNTIF($D$213:$P$230,"*최근*")</f>
        <v>0</v>
      </c>
      <c r="AW157" s="78">
        <f>SUM(AO157:AV157)</f>
        <v>0</v>
      </c>
    </row>
    <row r="158" spans="2:50" s="2" customFormat="1" ht="9.75" customHeight="1">
      <c r="B158" s="112"/>
      <c r="C158" s="112"/>
      <c r="D158" s="112"/>
      <c r="E158" s="112"/>
      <c r="F158" s="112"/>
      <c r="G158" s="112"/>
      <c r="H158" s="3"/>
      <c r="I158" s="3"/>
      <c r="J158" s="112"/>
      <c r="K158" s="3"/>
      <c r="L158" s="3"/>
      <c r="M158" s="112"/>
      <c r="N158" s="3"/>
      <c r="O158" s="3"/>
      <c r="P158" s="112"/>
      <c r="Q158" s="28"/>
      <c r="R158" s="65" t="s">
        <v>16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3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7"/>
        <v>1</v>
      </c>
      <c r="Y158" s="34">
        <f t="shared" si="17"/>
        <v>1</v>
      </c>
      <c r="Z158" s="47">
        <f t="shared" si="17"/>
        <v>3</v>
      </c>
      <c r="AA158" s="34">
        <f t="shared" si="17"/>
        <v>1</v>
      </c>
      <c r="AB158" s="159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2"/>
      <c r="AD158" s="81"/>
      <c r="AE158" s="81"/>
      <c r="AF158" s="3"/>
      <c r="AG158" s="81"/>
      <c r="AH158" s="81"/>
      <c r="AI158" s="81"/>
      <c r="AJ158" s="81"/>
      <c r="AK158" s="81"/>
      <c r="AL158" s="81"/>
      <c r="AM158" s="81"/>
      <c r="AN158" s="81"/>
      <c r="AO158" s="65" t="s">
        <v>16</v>
      </c>
      <c r="AP158" s="95">
        <f>COUNTIF($D$69:$P$76,"*상록*")</f>
        <v>1</v>
      </c>
      <c r="AQ158" s="95">
        <f>COUNTIF($D$83:$P$100,"*상록*")</f>
        <v>1</v>
      </c>
      <c r="AR158" s="95">
        <f>COUNTIF($D$107:$P$124,"*상록*")</f>
        <v>0</v>
      </c>
      <c r="AS158" s="95">
        <f>COUNTIF($D$131:$P$132,"*상록*")+COUNTIF($D$146:$P$158,"*상록*")</f>
        <v>0</v>
      </c>
      <c r="AT158" s="95">
        <f>COUNTIF($D$165:$P$182,"*상록*")</f>
        <v>0</v>
      </c>
      <c r="AU158" s="95">
        <f>COUNTIF($D$189:$P$206,"*상록*")</f>
        <v>0</v>
      </c>
      <c r="AV158" s="95">
        <f>COUNTIF($D$213:$P$230,"*상록*")</f>
        <v>0</v>
      </c>
      <c r="AW158" s="78">
        <f>SUM(AO158:AV158)</f>
        <v>2</v>
      </c>
    </row>
    <row r="159" spans="2:50" s="2" customFormat="1" ht="1.5" customHeight="1">
      <c r="B159" s="112"/>
      <c r="C159" s="112"/>
      <c r="D159" s="112"/>
      <c r="E159" s="112"/>
      <c r="F159" s="112"/>
      <c r="G159" s="112"/>
      <c r="H159" s="3"/>
      <c r="I159" s="3"/>
      <c r="J159" s="112"/>
      <c r="K159" s="3"/>
      <c r="L159" s="3"/>
      <c r="M159" s="3"/>
      <c r="N159" s="3"/>
      <c r="O159" s="3"/>
      <c r="P159" s="3"/>
      <c r="Q159" s="28"/>
      <c r="R159" s="78"/>
      <c r="S159" s="214"/>
      <c r="T159" s="216"/>
      <c r="U159" s="214"/>
      <c r="V159" s="216"/>
      <c r="W159" s="215"/>
      <c r="X159" s="214"/>
      <c r="Y159" s="216"/>
      <c r="Z159" s="214"/>
      <c r="AA159" s="216"/>
      <c r="AB159" s="159"/>
      <c r="AC159" s="72"/>
      <c r="AD159" s="81"/>
      <c r="AE159" s="81"/>
      <c r="AF159" s="121"/>
      <c r="AG159" s="81"/>
      <c r="AH159" s="81"/>
      <c r="AI159" s="81"/>
      <c r="AJ159" s="81"/>
      <c r="AK159" s="81"/>
      <c r="AL159" s="81"/>
      <c r="AM159" s="81"/>
      <c r="AN159" s="81"/>
      <c r="AO159" s="78"/>
      <c r="AP159" s="97"/>
      <c r="AQ159" s="78"/>
      <c r="AR159" s="78"/>
      <c r="AS159" s="78"/>
      <c r="AT159" s="78"/>
      <c r="AU159" s="78"/>
      <c r="AV159" s="78"/>
      <c r="AW159" s="78"/>
    </row>
    <row r="160" spans="2:50" s="2" customFormat="1" ht="9.75" customHeight="1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28"/>
      <c r="R160" s="65" t="s">
        <v>17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3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1</v>
      </c>
      <c r="Y160" s="34">
        <f t="shared" si="18"/>
        <v>0</v>
      </c>
      <c r="Z160" s="47">
        <f t="shared" si="18"/>
        <v>2</v>
      </c>
      <c r="AA160" s="34">
        <f t="shared" si="18"/>
        <v>0</v>
      </c>
      <c r="AB160" s="159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2"/>
      <c r="AD160" s="81"/>
      <c r="AE160" s="81"/>
      <c r="AF160" s="3"/>
      <c r="AG160" s="81"/>
      <c r="AH160" s="81"/>
      <c r="AI160" s="81"/>
      <c r="AJ160" s="81"/>
      <c r="AK160" s="81"/>
      <c r="AL160" s="81"/>
      <c r="AM160" s="81"/>
      <c r="AN160" s="81"/>
      <c r="AO160" s="65" t="s">
        <v>17</v>
      </c>
      <c r="AP160" s="95">
        <f>COUNTIF($D$69:$P$76,"*신우*")</f>
        <v>0</v>
      </c>
      <c r="AQ160" s="95">
        <f>COUNTIF($D$83:$P$100,"*신우*")</f>
        <v>1</v>
      </c>
      <c r="AR160" s="95">
        <f>COUNTIF($D$107:$P$124,"*신우*")</f>
        <v>0</v>
      </c>
      <c r="AS160" s="95">
        <f>COUNTIF($D$131:$P$132,"*신우*")+COUNTIF($D$146:$P$158,"*신우*")</f>
        <v>0</v>
      </c>
      <c r="AT160" s="95">
        <f>COUNTIF($D$165:$P$182,"*신우*")</f>
        <v>0</v>
      </c>
      <c r="AU160" s="95">
        <f>COUNTIF($D$189:$P$206,"*신우*")</f>
        <v>0</v>
      </c>
      <c r="AV160" s="95">
        <f>COUNTIF($D$213:$P$230,"*신우*")</f>
        <v>0</v>
      </c>
      <c r="AW160" s="78">
        <f>SUM(AO160:AV160)</f>
        <v>1</v>
      </c>
    </row>
    <row r="161" spans="2:49" s="2" customFormat="1" ht="9.75" customHeight="1">
      <c r="B161" s="112"/>
      <c r="C161" s="112"/>
      <c r="D161" s="112"/>
      <c r="E161" s="112"/>
      <c r="F161" s="112"/>
      <c r="G161" s="112"/>
      <c r="H161" s="3"/>
      <c r="I161" s="3"/>
      <c r="J161" s="112"/>
      <c r="K161" s="3"/>
      <c r="L161" s="3"/>
      <c r="M161" s="3"/>
      <c r="N161" s="3"/>
      <c r="O161" s="3"/>
      <c r="P161" s="3"/>
      <c r="Q161" s="28"/>
      <c r="R161" s="65" t="s">
        <v>18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63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1</v>
      </c>
      <c r="Y161" s="34">
        <f t="shared" si="18"/>
        <v>0</v>
      </c>
      <c r="Z161" s="47">
        <f t="shared" si="18"/>
        <v>2</v>
      </c>
      <c r="AA161" s="34">
        <f t="shared" si="18"/>
        <v>0</v>
      </c>
      <c r="AB161" s="159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2"/>
      <c r="AD161" s="81"/>
      <c r="AE161" s="81"/>
      <c r="AF161" s="3"/>
      <c r="AG161" s="81"/>
      <c r="AH161" s="81"/>
      <c r="AI161" s="81"/>
      <c r="AJ161" s="81"/>
      <c r="AK161" s="81"/>
      <c r="AL161" s="81"/>
      <c r="AM161" s="81"/>
      <c r="AN161" s="81"/>
      <c r="AO161" s="65" t="s">
        <v>18</v>
      </c>
      <c r="AP161" s="95">
        <f>COUNTIF($D$69:$P$76,"*다운*")</f>
        <v>0</v>
      </c>
      <c r="AQ161" s="95">
        <f>COUNTIF($D$83:$P$100,"*다운*")</f>
        <v>1</v>
      </c>
      <c r="AR161" s="95">
        <f>COUNTIF($D$107:$P$124,"*다운*")</f>
        <v>0</v>
      </c>
      <c r="AS161" s="95">
        <f>COUNTIF($D$131:$P$132,"*다운*")+COUNTIF($D$146:$P$158,"*다운*")</f>
        <v>0</v>
      </c>
      <c r="AT161" s="95">
        <f>COUNTIF($D$165:$P$182,"*다운*")</f>
        <v>0</v>
      </c>
      <c r="AU161" s="95">
        <f>COUNTIF($D$189:$P$206,"*다운*")</f>
        <v>0</v>
      </c>
      <c r="AV161" s="95">
        <f>COUNTIF($D$213:$P$230,"*다운*")</f>
        <v>0</v>
      </c>
      <c r="AW161" s="78">
        <f>SUM(AO161:AV161)</f>
        <v>1</v>
      </c>
    </row>
    <row r="162" spans="2:49" s="2" customFormat="1" ht="9.75" customHeight="1">
      <c r="B162" s="112"/>
      <c r="C162" s="112"/>
      <c r="D162" s="112"/>
      <c r="E162" s="191"/>
      <c r="F162" s="191"/>
      <c r="G162" s="191"/>
      <c r="H162" s="112"/>
      <c r="I162" s="112"/>
      <c r="J162" s="112"/>
      <c r="K162" s="112"/>
      <c r="L162" s="112"/>
      <c r="M162" s="112"/>
      <c r="N162" s="112"/>
      <c r="O162" s="112"/>
      <c r="P162" s="112"/>
      <c r="Q162" s="28"/>
      <c r="R162" s="65" t="s">
        <v>19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63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0</v>
      </c>
      <c r="V162" s="34">
        <f>COUNTIF($D$156:$P$157,"*지성*")+COUNTIF($D$180:$P$181,"*지성*")</f>
        <v>0</v>
      </c>
      <c r="W162" s="3"/>
      <c r="X162" s="4">
        <f>X102</f>
        <v>0</v>
      </c>
      <c r="Y162" s="34">
        <f>Y102</f>
        <v>0</v>
      </c>
      <c r="Z162" s="47">
        <f>Z102</f>
        <v>0</v>
      </c>
      <c r="AA162" s="34">
        <f>AA102</f>
        <v>0</v>
      </c>
      <c r="AB162" s="159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2"/>
      <c r="AD162" s="81"/>
      <c r="AE162" s="81"/>
      <c r="AF162" s="3"/>
      <c r="AG162" s="81"/>
      <c r="AH162" s="81"/>
      <c r="AI162" s="81"/>
      <c r="AJ162" s="81"/>
      <c r="AK162" s="81"/>
      <c r="AL162" s="81"/>
      <c r="AM162" s="81"/>
      <c r="AN162" s="81"/>
      <c r="AO162" s="65" t="s">
        <v>19</v>
      </c>
      <c r="AP162" s="95">
        <f>COUNTIF($D$69:$P$76,"*지성*")</f>
        <v>0</v>
      </c>
      <c r="AQ162" s="95">
        <f>COUNTIF($D$83:$P$100,"*지성*")</f>
        <v>0</v>
      </c>
      <c r="AR162" s="95">
        <f>COUNTIF($D$107:$P$124,"*지성*")</f>
        <v>0</v>
      </c>
      <c r="AS162" s="95">
        <f>COUNTIF($D$131:$P$132,"*지성*")+COUNTIF($D$146:$P$158,"*지성*")</f>
        <v>0</v>
      </c>
      <c r="AT162" s="95">
        <f>COUNTIF($D$165:$P$182,"*지성*")</f>
        <v>0</v>
      </c>
      <c r="AU162" s="95">
        <f>COUNTIF($D$189:$P$206,"*지성*")</f>
        <v>0</v>
      </c>
      <c r="AV162" s="95">
        <f>COUNTIF($D$213:$P$230,"*지성*")</f>
        <v>0</v>
      </c>
      <c r="AW162" s="78">
        <f>SUM(AO162:AV162)</f>
        <v>0</v>
      </c>
    </row>
    <row r="163" spans="2:49" s="2" customFormat="1" ht="1.5" customHeight="1">
      <c r="B163" s="112"/>
      <c r="C163" s="112"/>
      <c r="D163" s="112"/>
      <c r="E163" s="112"/>
      <c r="F163" s="112"/>
      <c r="G163" s="112"/>
      <c r="H163" s="3"/>
      <c r="I163" s="3"/>
      <c r="J163" s="112"/>
      <c r="K163" s="3"/>
      <c r="L163" s="3"/>
      <c r="M163" s="3"/>
      <c r="N163" s="105"/>
      <c r="O163" s="189"/>
      <c r="Q163" s="28"/>
      <c r="R163" s="65"/>
      <c r="S163" s="45"/>
      <c r="T163" s="163"/>
      <c r="U163" s="46"/>
      <c r="V163" s="34"/>
      <c r="W163" s="3"/>
      <c r="X163" s="4"/>
      <c r="Y163" s="34"/>
      <c r="Z163" s="47"/>
      <c r="AA163" s="34"/>
      <c r="AB163" s="159"/>
      <c r="AC163" s="72"/>
      <c r="AD163" s="81"/>
      <c r="AE163" s="81"/>
      <c r="AF163" s="3"/>
      <c r="AG163" s="81"/>
      <c r="AH163" s="81"/>
      <c r="AI163" s="81"/>
      <c r="AJ163" s="81"/>
      <c r="AK163" s="81"/>
      <c r="AL163" s="81"/>
      <c r="AM163" s="81"/>
      <c r="AN163" s="81"/>
      <c r="AO163" s="65"/>
      <c r="AP163" s="78"/>
      <c r="AQ163" s="78"/>
      <c r="AR163" s="78"/>
      <c r="AS163" s="78"/>
      <c r="AT163" s="78"/>
      <c r="AU163" s="78"/>
      <c r="AV163" s="78"/>
      <c r="AW163" s="78"/>
    </row>
    <row r="164" spans="2:49" s="2" customFormat="1" ht="9.75" customHeight="1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"/>
      <c r="O164" s="1"/>
      <c r="P164" s="1"/>
      <c r="Q164" s="28"/>
      <c r="R164" s="65" t="s">
        <v>20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3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0</v>
      </c>
      <c r="Y164" s="34">
        <f t="shared" si="19"/>
        <v>0</v>
      </c>
      <c r="Z164" s="47">
        <f t="shared" si="19"/>
        <v>0</v>
      </c>
      <c r="AA164" s="34">
        <f t="shared" si="19"/>
        <v>0</v>
      </c>
      <c r="AB164" s="159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1"/>
      <c r="AE164" s="81"/>
      <c r="AF164" s="3"/>
      <c r="AG164" s="81"/>
      <c r="AH164" s="81"/>
      <c r="AI164" s="81"/>
      <c r="AJ164" s="81"/>
      <c r="AK164" s="81"/>
      <c r="AL164" s="81"/>
      <c r="AM164" s="81"/>
      <c r="AN164" s="81"/>
      <c r="AO164" s="65" t="s">
        <v>20</v>
      </c>
      <c r="AP164" s="95">
        <f>COUNTIF($D$69:$P$76,"*용철*")</f>
        <v>0</v>
      </c>
      <c r="AQ164" s="95">
        <f>COUNTIF($D$83:$P$100,"*용철*")</f>
        <v>0</v>
      </c>
      <c r="AR164" s="95">
        <f>COUNTIF($D$107:$P$124,"*용철*")</f>
        <v>0</v>
      </c>
      <c r="AS164" s="95">
        <f>COUNTIF($D$131:$P$132,"*용철*")+COUNTIF($D$146:$P$158,"*용철*")</f>
        <v>0</v>
      </c>
      <c r="AT164" s="95">
        <f>COUNTIF($D$165:$P$182,"*용철*")</f>
        <v>0</v>
      </c>
      <c r="AU164" s="95">
        <f>COUNTIF($D$189:$P$206,"*용철*")</f>
        <v>0</v>
      </c>
      <c r="AV164" s="95">
        <f>COUNTIF($D$213:$P$230,"*용철*")</f>
        <v>0</v>
      </c>
      <c r="AW164" s="78">
        <f>SUM(AO164:AV164)</f>
        <v>0</v>
      </c>
    </row>
    <row r="165" spans="2:49" s="2" customFormat="1" ht="9.75" customHeight="1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"/>
      <c r="O165" s="1"/>
      <c r="P165" s="1"/>
      <c r="Q165" s="28"/>
      <c r="R165" s="65" t="s">
        <v>21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3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1</v>
      </c>
      <c r="Y165" s="34">
        <f t="shared" si="19"/>
        <v>1</v>
      </c>
      <c r="Z165" s="47">
        <f t="shared" si="19"/>
        <v>3</v>
      </c>
      <c r="AA165" s="34">
        <f t="shared" si="19"/>
        <v>0</v>
      </c>
      <c r="AB165" s="159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81"/>
      <c r="AE165" s="81"/>
      <c r="AF165" s="3"/>
      <c r="AG165" s="81"/>
      <c r="AH165" s="81"/>
      <c r="AI165" s="81"/>
      <c r="AJ165" s="81"/>
      <c r="AK165" s="81"/>
      <c r="AL165" s="81"/>
      <c r="AM165" s="81"/>
      <c r="AN165" s="81"/>
      <c r="AO165" s="65" t="s">
        <v>21</v>
      </c>
      <c r="AP165" s="95">
        <f>COUNTIF($D$69:$P$76,"*윤호*")</f>
        <v>1</v>
      </c>
      <c r="AQ165" s="95">
        <f>COUNTIF($D$83:$P$100,"*윤호*")</f>
        <v>1</v>
      </c>
      <c r="AR165" s="95">
        <f>COUNTIF($D$107:$P$124,"*윤호*")</f>
        <v>0</v>
      </c>
      <c r="AS165" s="95">
        <f>COUNTIF($D$131:$P$132,"*윤호*")+COUNTIF($D$146:$P$158,"*윤호*")</f>
        <v>0</v>
      </c>
      <c r="AT165" s="95">
        <f>COUNTIF($D$165:$P$182,"*윤호*")</f>
        <v>0</v>
      </c>
      <c r="AU165" s="95">
        <f>COUNTIF($D$189:$P$206,"*윤호*")</f>
        <v>0</v>
      </c>
      <c r="AV165" s="95">
        <f>COUNTIF($D$213:$P$230,"*윤호*")</f>
        <v>0</v>
      </c>
      <c r="AW165" s="78">
        <f>SUM(AO165:AV165)</f>
        <v>2</v>
      </c>
    </row>
    <row r="166" spans="2:49" s="2" customFormat="1" ht="9.75" customHeight="1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"/>
      <c r="O166" s="1"/>
      <c r="P166" s="1"/>
      <c r="Q166" s="28"/>
      <c r="R166" s="65" t="s">
        <v>23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66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2</v>
      </c>
      <c r="Y166" s="34">
        <f t="shared" si="20"/>
        <v>1</v>
      </c>
      <c r="Z166" s="47">
        <f t="shared" si="20"/>
        <v>5</v>
      </c>
      <c r="AA166" s="34">
        <f t="shared" si="20"/>
        <v>1</v>
      </c>
      <c r="AB166" s="159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81"/>
      <c r="AE166" s="81"/>
      <c r="AF166" s="3"/>
      <c r="AG166" s="81"/>
      <c r="AH166" s="81"/>
      <c r="AI166" s="81"/>
      <c r="AJ166" s="81"/>
      <c r="AK166" s="81"/>
      <c r="AL166" s="81"/>
      <c r="AM166" s="81"/>
      <c r="AN166" s="81"/>
      <c r="AO166" s="65" t="s">
        <v>23</v>
      </c>
      <c r="AP166" s="95">
        <f>COUNTIF($D$69:$P$76,"*정은*")</f>
        <v>0</v>
      </c>
      <c r="AQ166" s="95">
        <f>COUNTIF($D$83:$P$100,"*정은*")</f>
        <v>2</v>
      </c>
      <c r="AR166" s="95">
        <f>COUNTIF($D$107:$P$124,"*정은*")</f>
        <v>1</v>
      </c>
      <c r="AS166" s="95">
        <f>COUNTIF($D$131:$P$132,"*정은*")+COUNTIF($D$146:$P$158,"*정은*")</f>
        <v>0</v>
      </c>
      <c r="AT166" s="95">
        <f>COUNTIF($D$165:$P$182,"*정은*")</f>
        <v>0</v>
      </c>
      <c r="AU166" s="95">
        <f>COUNTIF($D$189:$P$206,"*정은*")</f>
        <v>0</v>
      </c>
      <c r="AV166" s="95">
        <f>COUNTIF($D$213:$P$230,"*정은*")</f>
        <v>0</v>
      </c>
      <c r="AW166" s="78">
        <f>SUM(AO166:AV166)</f>
        <v>3</v>
      </c>
    </row>
    <row r="167" spans="2:49" s="2" customFormat="1" ht="9.75" customHeight="1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"/>
      <c r="O167" s="1"/>
      <c r="P167" s="1"/>
      <c r="Q167" s="28"/>
      <c r="R167" s="65" t="s">
        <v>22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3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2</v>
      </c>
      <c r="Y167" s="34">
        <f t="shared" si="20"/>
        <v>0</v>
      </c>
      <c r="Z167" s="47">
        <f t="shared" si="20"/>
        <v>4</v>
      </c>
      <c r="AA167" s="34">
        <f t="shared" si="20"/>
        <v>1</v>
      </c>
      <c r="AB167" s="159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81"/>
      <c r="AE167" s="81"/>
      <c r="AF167" s="3"/>
      <c r="AG167" s="81"/>
      <c r="AH167" s="81"/>
      <c r="AI167" s="81"/>
      <c r="AJ167" s="81"/>
      <c r="AK167" s="81"/>
      <c r="AL167" s="81"/>
      <c r="AM167" s="81"/>
      <c r="AN167" s="81"/>
      <c r="AO167" s="65" t="s">
        <v>22</v>
      </c>
      <c r="AP167" s="95">
        <f>COUNTIF($D$69:$P$76,"*지현*")</f>
        <v>0</v>
      </c>
      <c r="AQ167" s="95">
        <f>COUNTIF($D$83:$P$100,"*지현*")</f>
        <v>2</v>
      </c>
      <c r="AR167" s="95">
        <f>COUNTIF($D$107:$P$124,"*지현*")</f>
        <v>0</v>
      </c>
      <c r="AS167" s="95">
        <f>COUNTIF($D$131:$P$132,"*지현*")+COUNTIF($D$146:$P$158,"*지현*")</f>
        <v>0</v>
      </c>
      <c r="AT167" s="95">
        <f>COUNTIF($D$165:$P$182,"*지현*")</f>
        <v>0</v>
      </c>
      <c r="AU167" s="95">
        <f>COUNTIF($D$189:$P$206,"*지현*")</f>
        <v>0</v>
      </c>
      <c r="AV167" s="95">
        <f>COUNTIF($D$213:$P$230,"*지현*")</f>
        <v>0</v>
      </c>
      <c r="AW167" s="78">
        <f>SUM(AO167:AV167)</f>
        <v>2</v>
      </c>
    </row>
    <row r="168" spans="2:49" s="2" customFormat="1" ht="1.5" customHeight="1">
      <c r="B168" s="112"/>
      <c r="C168" s="112"/>
      <c r="D168" s="112"/>
      <c r="E168" s="3"/>
      <c r="F168" s="3"/>
      <c r="G168" s="112"/>
      <c r="H168" s="112"/>
      <c r="I168" s="112"/>
      <c r="J168" s="112"/>
      <c r="K168" s="112"/>
      <c r="L168" s="112"/>
      <c r="M168" s="112"/>
      <c r="N168" s="1"/>
      <c r="O168" s="1"/>
      <c r="P168" s="1"/>
      <c r="Q168" s="28"/>
      <c r="R168" s="8"/>
      <c r="S168" s="49"/>
      <c r="T168" s="164"/>
      <c r="U168" s="46"/>
      <c r="V168" s="113"/>
      <c r="W168" s="217"/>
      <c r="X168" s="4"/>
      <c r="Y168" s="34"/>
      <c r="Z168" s="47"/>
      <c r="AA168" s="34"/>
      <c r="AB168" s="159"/>
      <c r="AC168" s="72"/>
      <c r="AD168" s="81"/>
      <c r="AE168" s="81"/>
      <c r="AF168" s="112"/>
      <c r="AG168" s="81"/>
      <c r="AH168" s="81"/>
      <c r="AI168" s="81"/>
      <c r="AJ168" s="81"/>
      <c r="AK168" s="81"/>
      <c r="AL168" s="81"/>
      <c r="AM168" s="81"/>
      <c r="AN168" s="81"/>
      <c r="AO168" s="8"/>
      <c r="AP168" s="97"/>
      <c r="AQ168" s="78"/>
      <c r="AR168" s="78"/>
      <c r="AS168" s="78"/>
      <c r="AT168" s="78"/>
      <c r="AU168" s="78"/>
      <c r="AV168" s="78"/>
      <c r="AW168" s="101"/>
    </row>
    <row r="169" spans="2:49" s="2" customFormat="1" ht="9.75" customHeight="1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"/>
      <c r="O169" s="1"/>
      <c r="P169" s="1"/>
      <c r="Q169" s="28"/>
      <c r="R169" s="65" t="s">
        <v>69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3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3</v>
      </c>
      <c r="Y169" s="34">
        <f t="shared" si="22"/>
        <v>0</v>
      </c>
      <c r="Z169" s="47">
        <f t="shared" si="22"/>
        <v>6</v>
      </c>
      <c r="AA169" s="34">
        <f t="shared" si="22"/>
        <v>2</v>
      </c>
      <c r="AB169" s="159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81"/>
      <c r="AE169" s="81"/>
      <c r="AF169" s="3"/>
      <c r="AG169" s="81"/>
      <c r="AH169" s="81"/>
      <c r="AI169" s="81"/>
      <c r="AJ169" s="81"/>
      <c r="AK169" s="81"/>
      <c r="AL169" s="81"/>
      <c r="AM169" s="81"/>
      <c r="AN169" s="81"/>
      <c r="AO169" s="65" t="s">
        <v>69</v>
      </c>
      <c r="AP169" s="95">
        <f>COUNTIF($D$69:$P$76,"*태우*")</f>
        <v>1</v>
      </c>
      <c r="AQ169" s="95">
        <f>COUNTIF($D$83:$P$100,"*태우*")</f>
        <v>1</v>
      </c>
      <c r="AR169" s="95">
        <f>COUNTIF($D$107:$P$124,"*태우*")</f>
        <v>1</v>
      </c>
      <c r="AS169" s="95">
        <f>COUNTIF($D$131:$P$132,"*태우*")+COUNTIF($D$146:$P$158,"*태우*")</f>
        <v>0</v>
      </c>
      <c r="AT169" s="95">
        <f>COUNTIF($D$165:$P$182,"*태우*")</f>
        <v>0</v>
      </c>
      <c r="AU169" s="95">
        <f>COUNTIF($D$189:$P$206,"*태우*")</f>
        <v>0</v>
      </c>
      <c r="AV169" s="95">
        <f>COUNTIF($D$213:$P$230,"*태우*")</f>
        <v>0</v>
      </c>
      <c r="AW169" s="78">
        <f>SUM(AO169:AV169)</f>
        <v>3</v>
      </c>
    </row>
    <row r="170" spans="2:49" s="2" customFormat="1" ht="9.75" customHeight="1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"/>
      <c r="O170" s="1"/>
      <c r="P170" s="1"/>
      <c r="Q170" s="28"/>
      <c r="R170" s="65" t="s">
        <v>70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63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0</v>
      </c>
      <c r="V170" s="34">
        <f>COUNTIF($D$156:$P$157,"*훈*")+COUNTIF($D$180:$P$181,"*훈*")</f>
        <v>0</v>
      </c>
      <c r="W170" s="3"/>
      <c r="X170" s="4">
        <f t="shared" si="22"/>
        <v>1</v>
      </c>
      <c r="Y170" s="34">
        <f t="shared" si="22"/>
        <v>1</v>
      </c>
      <c r="Z170" s="47">
        <f t="shared" si="22"/>
        <v>3</v>
      </c>
      <c r="AA170" s="34">
        <f t="shared" si="22"/>
        <v>1</v>
      </c>
      <c r="AB170" s="159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72"/>
      <c r="AD170" s="81"/>
      <c r="AE170" s="81"/>
      <c r="AF170" s="3"/>
      <c r="AG170" s="81"/>
      <c r="AH170" s="81"/>
      <c r="AI170" s="81"/>
      <c r="AJ170" s="81"/>
      <c r="AK170" s="81"/>
      <c r="AL170" s="81"/>
      <c r="AM170" s="81"/>
      <c r="AN170" s="81"/>
      <c r="AO170" s="65" t="s">
        <v>70</v>
      </c>
      <c r="AP170" s="95">
        <f>COUNTIF($D$69:$P$76,"*훈*")</f>
        <v>2</v>
      </c>
      <c r="AQ170" s="95">
        <f>COUNTIF($D$83:$P$100,"*훈*")</f>
        <v>1</v>
      </c>
      <c r="AR170" s="95">
        <f>COUNTIF($D$107:$P$124,"*훈*")</f>
        <v>0</v>
      </c>
      <c r="AS170" s="95">
        <f>COUNTIF($D$131:$P$132,"*훈*")+COUNTIF($D$146:$P$158,"*훈*")</f>
        <v>0</v>
      </c>
      <c r="AT170" s="95">
        <f>COUNTIF($D$165:$P$182,"*훈*")</f>
        <v>0</v>
      </c>
      <c r="AU170" s="95">
        <f>COUNTIF($D$189:$P$206,"*훈*")</f>
        <v>0</v>
      </c>
      <c r="AV170" s="95">
        <f>COUNTIF($D$213:$P$230,"*훈*")</f>
        <v>0</v>
      </c>
      <c r="AW170" s="78">
        <f>SUM(AO170:AV170)</f>
        <v>3</v>
      </c>
    </row>
    <row r="171" spans="2:49" s="2" customFormat="1" ht="9.75" customHeight="1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28"/>
      <c r="R171" s="65" t="s">
        <v>71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3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0</v>
      </c>
      <c r="Y171" s="34">
        <f t="shared" si="24"/>
        <v>4</v>
      </c>
      <c r="Z171" s="47">
        <f t="shared" si="24"/>
        <v>4</v>
      </c>
      <c r="AA171" s="34">
        <f t="shared" si="24"/>
        <v>1</v>
      </c>
      <c r="AB171" s="159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81"/>
      <c r="AE171" s="81"/>
      <c r="AF171" s="3"/>
      <c r="AG171" s="81"/>
      <c r="AH171" s="81"/>
      <c r="AI171" s="81"/>
      <c r="AJ171" s="81"/>
      <c r="AK171" s="81"/>
      <c r="AL171" s="81"/>
      <c r="AM171" s="81"/>
      <c r="AN171" s="81"/>
      <c r="AO171" s="65" t="s">
        <v>71</v>
      </c>
      <c r="AP171" s="95">
        <f>COUNTIF($D$69:$P$76,"*누리*")</f>
        <v>1</v>
      </c>
      <c r="AQ171" s="95">
        <f>COUNTIF($D$83:$P$100,"*누리*")</f>
        <v>2</v>
      </c>
      <c r="AR171" s="95">
        <f>COUNTIF($D$107:$P$124,"*누리*")</f>
        <v>1</v>
      </c>
      <c r="AS171" s="95">
        <f>COUNTIF($D$131:$P$132,"*누리*")+COUNTIF($D$146:$P$158,"*누리*")</f>
        <v>0</v>
      </c>
      <c r="AT171" s="95">
        <f>COUNTIF($D$165:$P$182,"*누리*")</f>
        <v>0</v>
      </c>
      <c r="AU171" s="95">
        <f>COUNTIF($D$189:$P$206,"*누리*")</f>
        <v>0</v>
      </c>
      <c r="AV171" s="95">
        <f>COUNTIF($D$213:$P$230,"*누리*")</f>
        <v>0</v>
      </c>
      <c r="AW171" s="78">
        <f>SUM(AO171:AV171)</f>
        <v>4</v>
      </c>
    </row>
    <row r="172" spans="2:49" s="2" customFormat="1" ht="9.75" customHeight="1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28"/>
      <c r="R172" s="65" t="s">
        <v>73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5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0</v>
      </c>
      <c r="Y172" s="34">
        <f t="shared" si="24"/>
        <v>4</v>
      </c>
      <c r="Z172" s="47">
        <f t="shared" si="24"/>
        <v>4</v>
      </c>
      <c r="AA172" s="34">
        <f t="shared" si="24"/>
        <v>0</v>
      </c>
      <c r="AB172" s="159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81"/>
      <c r="AE172" s="81"/>
      <c r="AF172" s="3"/>
      <c r="AG172" s="81"/>
      <c r="AH172" s="81"/>
      <c r="AI172" s="81"/>
      <c r="AJ172" s="81"/>
      <c r="AK172" s="81"/>
      <c r="AL172" s="81"/>
      <c r="AM172" s="81"/>
      <c r="AN172" s="81"/>
      <c r="AO172" s="65" t="s">
        <v>73</v>
      </c>
      <c r="AP172" s="95">
        <f>COUNTIF($D$69:$P$76,"*미소*")</f>
        <v>1</v>
      </c>
      <c r="AQ172" s="95">
        <f>COUNTIF($D$83:$P$100,"*미소*")</f>
        <v>2</v>
      </c>
      <c r="AR172" s="95">
        <f>COUNTIF($D$107:$P$124,"*미소*")</f>
        <v>1</v>
      </c>
      <c r="AS172" s="95">
        <f>COUNTIF($D$131:$P$132,"*미소*")+COUNTIF($D$146:$P$158,"*미소*")</f>
        <v>0</v>
      </c>
      <c r="AT172" s="95">
        <f>COUNTIF($D$165:$P$182,"*미소*")</f>
        <v>0</v>
      </c>
      <c r="AU172" s="95">
        <f>COUNTIF($D$189:$P$206,"*미소*")</f>
        <v>0</v>
      </c>
      <c r="AV172" s="95">
        <f>COUNTIF($D$213:$P$230,"*미소*")</f>
        <v>0</v>
      </c>
      <c r="AW172" s="78">
        <f>SUM(AO172:AV172)</f>
        <v>4</v>
      </c>
    </row>
    <row r="173" spans="2:49" s="2" customFormat="1" ht="1.5" customHeight="1">
      <c r="B173" s="112"/>
      <c r="C173" s="112"/>
      <c r="D173" s="112"/>
      <c r="E173" s="3"/>
      <c r="F173" s="3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28"/>
      <c r="R173" s="65"/>
      <c r="S173" s="45"/>
      <c r="T173" s="163"/>
      <c r="U173" s="46"/>
      <c r="V173" s="34"/>
      <c r="W173" s="3"/>
      <c r="X173" s="4"/>
      <c r="Y173" s="34"/>
      <c r="Z173" s="47"/>
      <c r="AA173" s="34"/>
      <c r="AB173" s="159"/>
      <c r="AC173" s="72"/>
      <c r="AD173" s="81"/>
      <c r="AE173" s="81"/>
      <c r="AF173" s="3"/>
      <c r="AG173" s="81"/>
      <c r="AH173" s="81"/>
      <c r="AI173" s="81"/>
      <c r="AJ173" s="81"/>
      <c r="AK173" s="81"/>
      <c r="AL173" s="81"/>
      <c r="AM173" s="81"/>
      <c r="AN173" s="81"/>
      <c r="AO173" s="65"/>
      <c r="AP173" s="97"/>
      <c r="AQ173" s="78"/>
      <c r="AR173" s="78"/>
      <c r="AS173" s="78"/>
      <c r="AT173" s="78"/>
      <c r="AU173" s="78"/>
      <c r="AV173" s="78"/>
      <c r="AW173" s="78"/>
    </row>
    <row r="174" spans="2:49" s="2" customFormat="1" ht="9.75" customHeight="1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28"/>
      <c r="R174" s="65" t="s">
        <v>77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3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0</v>
      </c>
      <c r="Z174" s="47">
        <f t="shared" si="26"/>
        <v>0</v>
      </c>
      <c r="AA174" s="34">
        <f t="shared" si="26"/>
        <v>0</v>
      </c>
      <c r="AB174" s="127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81"/>
      <c r="AE174" s="81"/>
      <c r="AF174" s="3"/>
      <c r="AG174" s="81"/>
      <c r="AH174" s="81"/>
      <c r="AI174" s="81"/>
      <c r="AJ174" s="81"/>
      <c r="AK174" s="81"/>
      <c r="AL174" s="81"/>
      <c r="AM174" s="81"/>
      <c r="AN174" s="81"/>
      <c r="AO174" s="65" t="s">
        <v>77</v>
      </c>
      <c r="AP174" s="95">
        <f>COUNTIF($D$69:$P$76,"*소희*")</f>
        <v>0</v>
      </c>
      <c r="AQ174" s="95">
        <f>COUNTIF($D$83:$P$100,"*소희*")</f>
        <v>0</v>
      </c>
      <c r="AR174" s="95">
        <f>COUNTIF($D$107:$P$124,"*소희*")</f>
        <v>0</v>
      </c>
      <c r="AS174" s="95">
        <f>COUNTIF($D$131:$P$132,"*소희*")+COUNTIF($D$146:$P$158,"*소희*")</f>
        <v>0</v>
      </c>
      <c r="AT174" s="95">
        <f>COUNTIF($D$165:$P$182,"*소희*")</f>
        <v>0</v>
      </c>
      <c r="AU174" s="95">
        <f>COUNTIF($D$189:$P$206,"*소희*")</f>
        <v>0</v>
      </c>
      <c r="AV174" s="95">
        <f>COUNTIF($D$213:$P$230,"*소희*")</f>
        <v>0</v>
      </c>
      <c r="AW174" s="78">
        <f>SUM(AO174:AV174)</f>
        <v>0</v>
      </c>
    </row>
    <row r="175" spans="2:49" s="2" customFormat="1" ht="9.75" customHeight="1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28"/>
      <c r="R175" s="53" t="s">
        <v>148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6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5">
        <f t="shared" si="25"/>
        <v>0</v>
      </c>
      <c r="V175" s="167">
        <f>COUNTIF($D$156:$P$157,"*현동*")+COUNTIF($D$180:$P$181,"*현동*")</f>
        <v>0</v>
      </c>
      <c r="W175" s="53"/>
      <c r="X175" s="53">
        <f t="shared" si="26"/>
        <v>0</v>
      </c>
      <c r="Y175" s="167">
        <f t="shared" si="26"/>
        <v>0</v>
      </c>
      <c r="Z175" s="67">
        <f t="shared" si="26"/>
        <v>0</v>
      </c>
      <c r="AA175" s="167">
        <f t="shared" si="26"/>
        <v>0</v>
      </c>
      <c r="AB175" s="186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81"/>
      <c r="AE175" s="81"/>
      <c r="AF175" s="3"/>
      <c r="AG175" s="81"/>
      <c r="AH175" s="81"/>
      <c r="AI175" s="81"/>
      <c r="AJ175" s="81"/>
      <c r="AK175" s="81"/>
      <c r="AL175" s="81"/>
      <c r="AM175" s="81"/>
      <c r="AN175" s="81"/>
      <c r="AO175" s="53" t="s">
        <v>148</v>
      </c>
      <c r="AP175" s="99">
        <f>COUNTIF($D$69:$P$76,"*현동*")</f>
        <v>0</v>
      </c>
      <c r="AQ175" s="99">
        <f>COUNTIF($D$83:$P$100,"*현동*")</f>
        <v>0</v>
      </c>
      <c r="AR175" s="99">
        <f>COUNTIF($D$107:$P$124,"*현동*")</f>
        <v>0</v>
      </c>
      <c r="AS175" s="99">
        <f>COUNTIF($D$131:$P$132,"*현동*")+COUNTIF($D$146:$P$158,"*현동*")</f>
        <v>0</v>
      </c>
      <c r="AT175" s="99">
        <f>COUNTIF($D$165:$P$182,"*현동*")</f>
        <v>0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0</v>
      </c>
    </row>
    <row r="176" spans="2:49" s="2" customFormat="1" ht="9.75" customHeight="1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28"/>
      <c r="R176" s="3"/>
      <c r="S176" s="79"/>
      <c r="T176" s="79"/>
      <c r="U176" s="132"/>
      <c r="V176" s="3"/>
      <c r="W176" s="3"/>
      <c r="X176" s="3"/>
      <c r="Y176" s="3"/>
      <c r="Z176" s="133"/>
      <c r="AA176" s="3"/>
      <c r="AB176" s="90"/>
      <c r="AC176" s="90"/>
      <c r="AD176" s="81"/>
      <c r="AE176" s="81"/>
      <c r="AF176" s="3"/>
      <c r="AG176" s="81"/>
      <c r="AH176" s="81"/>
      <c r="AI176" s="81"/>
      <c r="AJ176" s="81"/>
      <c r="AK176" s="81"/>
      <c r="AL176" s="81"/>
      <c r="AM176" s="81"/>
      <c r="AN176" s="81"/>
      <c r="AO176" s="3"/>
      <c r="AP176" s="144"/>
      <c r="AQ176" s="144"/>
      <c r="AR176" s="144"/>
      <c r="AS176" s="144"/>
      <c r="AT176" s="144"/>
      <c r="AU176" s="144"/>
      <c r="AV176" s="144"/>
      <c r="AW176" s="215"/>
    </row>
    <row r="177" spans="2:49" s="2" customFormat="1" ht="9.75" customHeight="1">
      <c r="B177" s="112"/>
      <c r="C177" s="112"/>
      <c r="D177" s="112"/>
      <c r="E177" s="112"/>
      <c r="F177" s="112"/>
      <c r="G177" s="112"/>
      <c r="H177" s="3"/>
      <c r="I177" s="3"/>
      <c r="J177" s="112"/>
      <c r="K177" s="3"/>
      <c r="L177" s="3"/>
      <c r="M177" s="112"/>
      <c r="N177" s="3"/>
      <c r="O177" s="3"/>
      <c r="P177" s="112"/>
      <c r="Q177" s="28"/>
      <c r="R177" s="3"/>
      <c r="S177" s="79"/>
      <c r="T177" s="79"/>
      <c r="U177" s="132"/>
      <c r="V177" s="3"/>
      <c r="W177" s="3"/>
      <c r="X177" s="3"/>
      <c r="Y177" s="3"/>
      <c r="Z177" s="133"/>
      <c r="AA177" s="3"/>
      <c r="AB177" s="90"/>
      <c r="AC177" s="90"/>
      <c r="AD177" s="81"/>
      <c r="AE177" s="81"/>
      <c r="AF177" s="3"/>
      <c r="AG177" s="81"/>
      <c r="AH177" s="81"/>
      <c r="AI177" s="81"/>
      <c r="AJ177" s="81"/>
      <c r="AK177" s="81"/>
      <c r="AL177" s="81"/>
      <c r="AM177" s="81"/>
      <c r="AN177" s="81"/>
      <c r="AO177" s="3"/>
      <c r="AP177" s="144"/>
      <c r="AQ177" s="144"/>
      <c r="AR177" s="144"/>
      <c r="AS177" s="144"/>
      <c r="AT177" s="144"/>
      <c r="AU177" s="144"/>
      <c r="AV177" s="144"/>
      <c r="AW177" s="215"/>
    </row>
    <row r="178" spans="2:49" s="2" customFormat="1" ht="1.5" customHeight="1">
      <c r="B178" s="112"/>
      <c r="C178" s="112"/>
      <c r="D178" s="112"/>
      <c r="E178" s="3"/>
      <c r="F178" s="3"/>
      <c r="G178" s="3"/>
      <c r="H178" s="3"/>
      <c r="I178" s="3"/>
      <c r="J178" s="112"/>
      <c r="K178" s="3"/>
      <c r="L178" s="3"/>
      <c r="M178" s="3"/>
      <c r="N178" s="3"/>
      <c r="O178" s="3"/>
      <c r="P178" s="112"/>
      <c r="Q178" s="28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30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215"/>
      <c r="AR178" s="215"/>
      <c r="AS178" s="215"/>
      <c r="AT178" s="215"/>
      <c r="AU178" s="215"/>
      <c r="AV178" s="215"/>
      <c r="AW178" s="215"/>
    </row>
    <row r="179" spans="2:49" s="2" customFormat="1" ht="9.75" customHeight="1">
      <c r="B179" s="112"/>
      <c r="C179" s="112"/>
      <c r="D179" s="112"/>
      <c r="E179" s="112"/>
      <c r="F179" s="112"/>
      <c r="G179" s="112"/>
      <c r="H179" s="3"/>
      <c r="I179" s="3"/>
      <c r="J179" s="112"/>
      <c r="K179" s="3"/>
      <c r="L179" s="3"/>
      <c r="M179" s="112"/>
      <c r="N179" s="3"/>
      <c r="O179" s="3"/>
      <c r="P179" s="112"/>
      <c r="Q179" s="28"/>
      <c r="R179" s="3"/>
      <c r="S179" s="79"/>
      <c r="T179" s="79"/>
      <c r="U179" s="132"/>
      <c r="V179" s="3"/>
      <c r="W179" s="3"/>
      <c r="X179" s="3"/>
      <c r="Y179" s="3"/>
      <c r="Z179" s="133"/>
      <c r="AA179" s="3"/>
      <c r="AB179" s="90"/>
      <c r="AC179" s="90"/>
      <c r="AD179" s="81"/>
      <c r="AE179" s="81"/>
      <c r="AF179" s="3"/>
      <c r="AG179" s="81"/>
      <c r="AH179" s="81"/>
      <c r="AI179" s="81"/>
      <c r="AJ179" s="81"/>
      <c r="AK179" s="81"/>
      <c r="AL179" s="81"/>
      <c r="AM179" s="81"/>
      <c r="AN179" s="81"/>
      <c r="AO179" s="3"/>
      <c r="AP179" s="144"/>
      <c r="AQ179" s="144"/>
      <c r="AR179" s="144"/>
      <c r="AS179" s="144"/>
      <c r="AT179" s="144"/>
      <c r="AU179" s="144"/>
      <c r="AV179" s="144"/>
      <c r="AW179" s="215"/>
    </row>
    <row r="180" spans="2:49" s="2" customFormat="1" ht="9.75" customHeight="1">
      <c r="B180" s="112"/>
      <c r="C180" s="112"/>
      <c r="D180" s="112"/>
      <c r="E180" s="112"/>
      <c r="F180" s="112"/>
      <c r="G180" s="112"/>
      <c r="H180" s="3"/>
      <c r="I180" s="3"/>
      <c r="J180" s="112"/>
      <c r="K180" s="3"/>
      <c r="L180" s="3"/>
      <c r="M180" s="112"/>
      <c r="N180" s="3"/>
      <c r="O180" s="3"/>
      <c r="P180" s="112"/>
      <c r="R180" s="3"/>
      <c r="S180" s="79"/>
      <c r="T180" s="79"/>
      <c r="U180" s="79"/>
      <c r="V180" s="79"/>
      <c r="W180" s="3"/>
      <c r="X180" s="3"/>
      <c r="Y180" s="3"/>
      <c r="Z180" s="133"/>
      <c r="AA180" s="172"/>
      <c r="AB180" s="173"/>
      <c r="AC180" s="81"/>
      <c r="AD180" s="81"/>
      <c r="AE180" s="81"/>
      <c r="AF180" s="3"/>
      <c r="AG180" s="81"/>
      <c r="AH180" s="81"/>
      <c r="AI180" s="81"/>
      <c r="AJ180" s="81"/>
      <c r="AK180" s="81"/>
      <c r="AL180" s="81"/>
      <c r="AM180" s="81"/>
      <c r="AN180" s="81"/>
      <c r="AO180" s="144"/>
      <c r="AP180" s="144"/>
      <c r="AQ180" s="184"/>
      <c r="AR180" s="184"/>
      <c r="AS180" s="184"/>
      <c r="AT180" s="184"/>
      <c r="AU180" s="184"/>
      <c r="AV180" s="184"/>
      <c r="AW180" s="184"/>
    </row>
    <row r="181" spans="2:49" s="2" customFormat="1" ht="9.75" customHeight="1">
      <c r="B181" s="112"/>
      <c r="C181" s="112"/>
      <c r="D181" s="112"/>
      <c r="E181" s="112"/>
      <c r="F181" s="112"/>
      <c r="G181" s="112"/>
      <c r="H181" s="3"/>
      <c r="I181" s="3"/>
      <c r="J181" s="112"/>
      <c r="K181" s="3"/>
      <c r="L181" s="3"/>
      <c r="M181" s="112"/>
      <c r="N181" s="3"/>
      <c r="O181" s="3"/>
      <c r="P181" s="112"/>
      <c r="R181" s="3"/>
      <c r="S181" s="79"/>
      <c r="T181" s="79"/>
      <c r="U181" s="79"/>
      <c r="V181" s="79"/>
      <c r="W181" s="3"/>
      <c r="X181" s="3"/>
      <c r="Y181" s="3"/>
      <c r="Z181" s="133"/>
      <c r="AA181" s="172"/>
      <c r="AB181" s="173"/>
      <c r="AC181" s="81"/>
      <c r="AD181" s="81"/>
      <c r="AE181" s="81"/>
      <c r="AF181" s="3"/>
      <c r="AG181" s="81"/>
      <c r="AH181" s="81"/>
      <c r="AI181" s="81"/>
      <c r="AJ181" s="81"/>
      <c r="AK181" s="81"/>
      <c r="AL181" s="81"/>
      <c r="AM181" s="81"/>
      <c r="AN181" s="81"/>
      <c r="AO181" s="144"/>
      <c r="AP181" s="144"/>
      <c r="AQ181" s="171"/>
      <c r="AR181" s="171"/>
      <c r="AS181" s="171"/>
      <c r="AT181" s="171"/>
      <c r="AU181" s="171"/>
      <c r="AV181" s="171"/>
      <c r="AW181" s="171"/>
    </row>
    <row r="182" spans="2:49" s="2" customFormat="1" ht="9.75" customHeight="1">
      <c r="B182" s="112"/>
      <c r="C182" s="112"/>
      <c r="D182" s="112"/>
      <c r="E182" s="112"/>
      <c r="F182" s="112"/>
      <c r="G182" s="112"/>
      <c r="H182" s="3"/>
      <c r="I182" s="3"/>
      <c r="J182" s="112"/>
      <c r="K182" s="3"/>
      <c r="L182" s="3"/>
      <c r="M182" s="112"/>
      <c r="N182" s="3"/>
      <c r="O182" s="3"/>
      <c r="P182" s="112"/>
      <c r="Q182" s="31"/>
      <c r="R182" s="175" t="s">
        <v>162</v>
      </c>
      <c r="S182" s="154" t="s">
        <v>149</v>
      </c>
      <c r="T182" s="155" t="s">
        <v>150</v>
      </c>
      <c r="U182" s="154" t="s">
        <v>151</v>
      </c>
      <c r="V182" s="176" t="s">
        <v>152</v>
      </c>
      <c r="W182" s="177"/>
      <c r="X182" s="178" t="s">
        <v>153</v>
      </c>
      <c r="Y182" s="3"/>
      <c r="Z182" s="131" t="s">
        <v>163</v>
      </c>
      <c r="AA182" s="218" t="s">
        <v>163</v>
      </c>
      <c r="AB182" s="156" t="s">
        <v>163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35"/>
      <c r="AP182" s="69"/>
    </row>
    <row r="183" spans="2:49" s="2" customFormat="1" ht="1.5" customHeight="1">
      <c r="B183" s="112"/>
      <c r="C183" s="112"/>
      <c r="D183" s="112"/>
      <c r="E183" s="3"/>
      <c r="F183" s="3"/>
      <c r="G183" s="3"/>
      <c r="H183" s="3"/>
      <c r="I183" s="3"/>
      <c r="J183" s="112"/>
      <c r="K183" s="3"/>
      <c r="L183" s="3"/>
      <c r="M183" s="3"/>
      <c r="N183" s="3"/>
      <c r="O183" s="3"/>
      <c r="P183" s="3"/>
      <c r="Q183" s="31"/>
      <c r="R183" s="65"/>
      <c r="S183" s="4"/>
      <c r="T183" s="34"/>
      <c r="U183" s="53"/>
      <c r="V183" s="167"/>
      <c r="W183" s="167"/>
      <c r="X183" s="52"/>
      <c r="Y183" s="3"/>
      <c r="Z183" s="47"/>
      <c r="AA183" s="88"/>
      <c r="AB183" s="115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31"/>
      <c r="R184" s="66" t="s">
        <v>72</v>
      </c>
      <c r="S184" s="219">
        <f>COUNTIF($D$189:$P$189,"*원석*")+COUNTIF($D$194:$P$194,"*원석*")+COUNTIF($D$199:$P$199,"*원석*")+COUNTIF($D$204:$P$204,"*원석*")+COUNTIF($D$213:$P$213,"*원석*")</f>
        <v>0</v>
      </c>
      <c r="T184" s="221">
        <f>COUNTIF($D$190:$P$190,"*원석*")+COUNTIF($D$195:$P$195,"*원석*")+COUNTIF($D$200:$P$200,"*원석*")+COUNTIF($D$205:$P$205,"*원석*")+COUNTIF($D$214:$P$214,"*원석*")</f>
        <v>0</v>
      </c>
      <c r="U184" s="219">
        <f>S184*2+T184</f>
        <v>0</v>
      </c>
      <c r="V184" s="220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81">
        <f>V184+AA147</f>
        <v>0</v>
      </c>
      <c r="AB184" s="182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35"/>
      <c r="AP184" s="69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12"/>
      <c r="K185" s="3"/>
      <c r="L185" s="3"/>
      <c r="M185" s="3"/>
      <c r="N185" s="3"/>
      <c r="O185" s="3"/>
      <c r="P185" s="3"/>
      <c r="R185" s="65" t="s">
        <v>66</v>
      </c>
      <c r="S185" s="45">
        <f>COUNTIF($D$189:$P$189,"*성진*")+COUNTIF($D$194:$P$194,"*성진*")+COUNTIF($D$199:$P$199,"*성진*")+COUNTIF($D$204:$P$204,"*성진*")+COUNTIF($D$213:$P$213,"*성진*")</f>
        <v>0</v>
      </c>
      <c r="T185" s="163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79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AA199" si="27">U185+Z148</f>
        <v>0</v>
      </c>
      <c r="AA185" s="88">
        <f t="shared" si="27"/>
        <v>0</v>
      </c>
      <c r="AB185" s="115">
        <f t="shared" ref="AB185:AB209" si="28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35"/>
      <c r="AP185" s="69"/>
    </row>
    <row r="186" spans="2:49" s="2" customFormat="1" ht="9.75" customHeight="1">
      <c r="B186" s="112"/>
      <c r="C186" s="112"/>
      <c r="D186" s="179"/>
      <c r="E186" s="191"/>
      <c r="F186" s="191"/>
      <c r="G186" s="191"/>
      <c r="H186" s="112"/>
      <c r="I186" s="112"/>
      <c r="J186" s="112"/>
      <c r="K186" s="112"/>
      <c r="L186" s="112"/>
      <c r="M186" s="112"/>
      <c r="N186" s="112"/>
      <c r="O186" s="112"/>
      <c r="P186" s="112"/>
      <c r="R186" s="65" t="s">
        <v>67</v>
      </c>
      <c r="S186" s="45">
        <f>COUNTIF($D$189:$P$189,"*종섭*")+COUNTIF($D$194:$P$194,"*종섭*")+COUNTIF($D$199:$P$199,"*종섭*")+COUNTIF($D$204:$P$204,"*종섭*")+COUNTIF($D$213:$P$213,"*종섭*")</f>
        <v>0</v>
      </c>
      <c r="T186" s="163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79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8">
        <f>V186+AA150</f>
        <v>0</v>
      </c>
      <c r="AB186" s="115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12"/>
      <c r="C187" s="112"/>
      <c r="D187" s="112"/>
      <c r="E187" s="112"/>
      <c r="F187" s="112"/>
      <c r="G187" s="112"/>
      <c r="H187" s="3"/>
      <c r="I187" s="3"/>
      <c r="J187" s="112"/>
      <c r="K187" s="112"/>
      <c r="L187" s="112"/>
      <c r="M187" s="112"/>
      <c r="N187" s="112"/>
      <c r="O187" s="112"/>
      <c r="P187" s="112"/>
      <c r="R187" s="65"/>
      <c r="S187" s="45"/>
      <c r="T187" s="163"/>
      <c r="U187" s="45"/>
      <c r="V187" s="50"/>
      <c r="W187" s="217"/>
      <c r="X187" s="34"/>
      <c r="Y187" s="3"/>
      <c r="Z187" s="47"/>
      <c r="AA187" s="88"/>
      <c r="AB187" s="115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R188" s="65" t="s">
        <v>24</v>
      </c>
      <c r="S188" s="45">
        <f>COUNTIF($D$189:$P$189,"*형민*")+COUNTIF($D$194:$P$194,"*형민*")+COUNTIF($D$199:$P$199,"*형민*")+COUNTIF($D$204:$P$204,"*형민*")+COUNTIF($D$213:$P$213,"*형민*")</f>
        <v>0</v>
      </c>
      <c r="T188" s="163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79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8">
        <f t="shared" si="27"/>
        <v>0</v>
      </c>
      <c r="AB188" s="115">
        <f t="shared" si="28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R189" s="65" t="s">
        <v>14</v>
      </c>
      <c r="S189" s="45">
        <f>COUNTIF($D$189:$P$189,"*효동*")+COUNTIF($D$194:$P$194,"*효동*")+COUNTIF($D$199:$P$199,"*효동*")+COUNTIF($D$204:$P$204,"*효동*")+COUNTIF($D$213:$P$213,"*효동*")</f>
        <v>0</v>
      </c>
      <c r="T189" s="163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79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0</v>
      </c>
      <c r="AA189" s="88">
        <f t="shared" si="27"/>
        <v>0</v>
      </c>
      <c r="AB189" s="115">
        <f t="shared" si="28"/>
        <v>0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R190" s="65" t="s">
        <v>68</v>
      </c>
      <c r="S190" s="45">
        <f>COUNTIF($D$189:$P$189,"*상은*")+COUNTIF($D$194:$P$194,"*상은*")+COUNTIF($D$199:$P$199,"*상은*")+COUNTIF($D$204:$P$204,"*상은*")+COUNTIF($D$213:$P$213,"*상은*")</f>
        <v>0</v>
      </c>
      <c r="T190" s="163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79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2</v>
      </c>
      <c r="AA190" s="88">
        <f t="shared" si="27"/>
        <v>0</v>
      </c>
      <c r="AB190" s="115">
        <f t="shared" si="28"/>
        <v>1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R191" s="65" t="s">
        <v>13</v>
      </c>
      <c r="S191" s="45">
        <f>COUNTIF($D$189:$P$189,"*준범*")+COUNTIF($D$194:$P$194,"*준범*")+COUNTIF($D$199:$P$199,"*준범*")+COUNTIF($D$204:$P$204,"*준범*")+COUNTIF($D$213:$P$213,"*준범*")</f>
        <v>0</v>
      </c>
      <c r="T191" s="163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79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0</v>
      </c>
      <c r="AA191" s="88">
        <f>V191+AA155</f>
        <v>0</v>
      </c>
      <c r="AB191" s="115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12"/>
      <c r="C192" s="112"/>
      <c r="D192" s="112"/>
      <c r="E192" s="3"/>
      <c r="F192" s="3"/>
      <c r="G192" s="112"/>
      <c r="H192" s="112"/>
      <c r="I192" s="112"/>
      <c r="J192" s="112"/>
      <c r="K192" s="112"/>
      <c r="L192" s="112"/>
      <c r="M192" s="112"/>
      <c r="R192" s="65"/>
      <c r="S192" s="45"/>
      <c r="T192" s="163"/>
      <c r="U192" s="45"/>
      <c r="V192" s="79"/>
      <c r="W192" s="3"/>
      <c r="X192" s="34"/>
      <c r="Y192" s="3"/>
      <c r="Z192" s="47"/>
      <c r="AA192" s="88"/>
      <c r="AB192" s="115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R193" s="65" t="s">
        <v>147</v>
      </c>
      <c r="S193" s="45">
        <f>COUNTIF($D$189:$P$189,"*슬비*")+COUNTIF($D$194:$P$194,"*슬비*")+COUNTIF($D$199:$P$199,"*슬비*")+COUNTIF($D$204:$P$204,"*슬비*")+COUNTIF($D$213:$P$213,"*슬비*")</f>
        <v>0</v>
      </c>
      <c r="T193" s="163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79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8">
        <f t="shared" si="27"/>
        <v>0</v>
      </c>
      <c r="AB193" s="115">
        <f t="shared" si="28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R194" s="65" t="s">
        <v>15</v>
      </c>
      <c r="S194" s="45">
        <f>COUNTIF($D$189:$P$189,"*최근*")+COUNTIF($D$194:$P$194,"*최근*")+COUNTIF($D$199:$P$199,"*최근*")+COUNTIF($D$204:$P$204,"*최근*")+COUNTIF($D$213:$P$213,"*최근*")</f>
        <v>0</v>
      </c>
      <c r="T194" s="163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79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AA209" si="29">U194+Z157</f>
        <v>0</v>
      </c>
      <c r="AA194" s="88">
        <f t="shared" si="27"/>
        <v>0</v>
      </c>
      <c r="AB194" s="115">
        <f t="shared" si="28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R195" s="65" t="s">
        <v>16</v>
      </c>
      <c r="S195" s="45">
        <f>COUNTIF($D$189:$P$189,"*상록*")+COUNTIF($D$194:$P$194,"*상록*")+COUNTIF($D$199:$P$199,"*상록*")+COUNTIF($D$204:$P$204,"*상록*")+COUNTIF($D$213:$P$213,"*상록*")</f>
        <v>0</v>
      </c>
      <c r="T195" s="163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79">
        <f>COUNTIF($D$204:$P$205,"*상록*")</f>
        <v>0</v>
      </c>
      <c r="W195" s="217"/>
      <c r="X195" s="34">
        <f>COUNTIF($AC$76:$AO$76,"*상록*")+COUNTIF($AC$78:$AO$78,"*상록*")+COUNTIF($AC$79:$AO$79,"*상록*")+COUNTIF($AC$80:$AO$80,"*상록*")+COUNTIF($AC$82:$AO$82,"*상록*")</f>
        <v>0</v>
      </c>
      <c r="Y195" s="217"/>
      <c r="Z195" s="47">
        <f t="shared" si="29"/>
        <v>3</v>
      </c>
      <c r="AA195" s="88">
        <f t="shared" si="27"/>
        <v>1</v>
      </c>
      <c r="AB195" s="115">
        <f t="shared" si="28"/>
        <v>0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R196" s="65" t="s">
        <v>17</v>
      </c>
      <c r="S196" s="45">
        <f>COUNTIF($D$189:$P$189,"*신우*")+COUNTIF($D$194:$P$194,"*신우*")+COUNTIF($D$199:$P$199,"*신우*")+COUNTIF($D$204:$P$204,"*신우*")+COUNTIF($D$213:$P$213,"*신우*")</f>
        <v>0</v>
      </c>
      <c r="T196" s="163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79">
        <f>COUNTIF($D$204:$P$205,"*신우*")</f>
        <v>0</v>
      </c>
      <c r="W196" s="217"/>
      <c r="X196" s="34">
        <f>COUNTIF($AC$76:$AO$76,"*신우*")+COUNTIF($AC$78:$AO$78,"*신우*")+COUNTIF($AC$79:$AO$79,"*신우*")+COUNTIF($AC$80:$AO$80,"*신우*")+COUNTIF($AC$82:$AO$82,"*신우*")</f>
        <v>0</v>
      </c>
      <c r="Y196" s="217"/>
      <c r="Z196" s="47">
        <f>U196+Z160</f>
        <v>2</v>
      </c>
      <c r="AA196" s="88">
        <f>V196+AA160</f>
        <v>0</v>
      </c>
      <c r="AB196" s="115">
        <f>X196+AB160</f>
        <v>1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R197" s="65"/>
      <c r="S197" s="49"/>
      <c r="T197" s="164"/>
      <c r="U197" s="49"/>
      <c r="V197" s="50"/>
      <c r="W197" s="217"/>
      <c r="X197" s="34"/>
      <c r="Y197" s="217"/>
      <c r="Z197" s="47"/>
      <c r="AA197" s="88"/>
      <c r="AB197" s="115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R198" s="65" t="s">
        <v>18</v>
      </c>
      <c r="S198" s="45">
        <f>COUNTIF($D$189:$P$189,"*다운*")+COUNTIF($D$194:$P$194,"*다운*")+COUNTIF($D$199:$P$199,"*다운*")+COUNTIF($D$204:$P$204,"*다운*")+COUNTIF($D$213:$P$213,"*다운*")</f>
        <v>0</v>
      </c>
      <c r="T198" s="163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79">
        <f>COUNTIF($D$204:$P$205,"*다운*")</f>
        <v>0</v>
      </c>
      <c r="W198" s="217"/>
      <c r="X198" s="34">
        <f>COUNTIF($AC$76:$AO$76,"*다운*")+COUNTIF($AC$78:$AO$78,"*다운*")+COUNTIF($AC$79:$AO$79,"*다운*")+COUNTIF($AC$80:$AO$80,"*다운*")+COUNTIF($AC$82:$AO$82,"*다운*")</f>
        <v>0</v>
      </c>
      <c r="Y198" s="217"/>
      <c r="Z198" s="47">
        <f t="shared" si="29"/>
        <v>2</v>
      </c>
      <c r="AA198" s="88">
        <f t="shared" si="27"/>
        <v>0</v>
      </c>
      <c r="AB198" s="115">
        <f t="shared" si="28"/>
        <v>1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R199" s="65" t="s">
        <v>19</v>
      </c>
      <c r="S199" s="45">
        <f>COUNTIF($D$189:$P$189,"*지성*")+COUNTIF($D$194:$P$194,"*지성*")+COUNTIF($D$199:$P$199,"*지성*")+COUNTIF($D$204:$P$204,"*지성*")+COUNTIF($D$213:$P$213,"*지성*")</f>
        <v>0</v>
      </c>
      <c r="T199" s="163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79">
        <f>COUNTIF($D$204:$P$205,"*지성*")</f>
        <v>0</v>
      </c>
      <c r="W199" s="217"/>
      <c r="X199" s="34">
        <f>COUNTIF($AC$76:$AO$76,"*지성*")+COUNTIF($AC$78:$AO$78,"*지성*")+COUNTIF($AC$79:$AO$79,"*지성*")+COUNTIF($AC$80:$AO$80,"*지성*")+COUNTIF($AC$82:$AO$82,"*지성*")</f>
        <v>0</v>
      </c>
      <c r="Y199" s="217"/>
      <c r="Z199" s="47">
        <f t="shared" si="29"/>
        <v>0</v>
      </c>
      <c r="AA199" s="88">
        <f t="shared" si="27"/>
        <v>0</v>
      </c>
      <c r="AB199" s="115">
        <f t="shared" si="28"/>
        <v>0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R200" s="65" t="s">
        <v>20</v>
      </c>
      <c r="S200" s="45">
        <f>COUNTIF($D$189:$P$189,"*용철*")+COUNTIF($D$194:$P$194,"*용철*")+COUNTIF($D$199:$P$199,"*용철*")+COUNTIF($D$204:$P$204,"*용철*")+COUNTIF($D$213:$P$213,"*용철*")</f>
        <v>0</v>
      </c>
      <c r="T200" s="163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79">
        <f>COUNTIF($D$204:$P$205,"*용철*")</f>
        <v>0</v>
      </c>
      <c r="W200" s="217"/>
      <c r="X200" s="34">
        <f>COUNTIF($AC$76:$AO$76,"*용철*")+COUNTIF($AC$78:$AO$78,"*용철*")+COUNTIF($AC$79:$AO$79,"*용철*")+COUNTIF($AC$80:$AO$80,"*용철*")+COUNTIF($AC$82:$AO$82,"*용철*")</f>
        <v>0</v>
      </c>
      <c r="Y200" s="217"/>
      <c r="Z200" s="47">
        <f>U200+Z164</f>
        <v>0</v>
      </c>
      <c r="AA200" s="88">
        <f>V200+AA164</f>
        <v>0</v>
      </c>
      <c r="AB200" s="115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R201" s="65" t="s">
        <v>21</v>
      </c>
      <c r="S201" s="45">
        <f>COUNTIF($D$189:$P$189,"*윤호*")+COUNTIF($D$194:$P$194,"*윤호*")+COUNTIF($D$199:$P$199,"*윤호*")+COUNTIF($D$204:$P$204,"*윤호*")+COUNTIF($D$213:$P$213,"*윤호*")</f>
        <v>0</v>
      </c>
      <c r="T201" s="163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79">
        <f>COUNTIF($D$204:$P$205,"*윤호*")</f>
        <v>0</v>
      </c>
      <c r="W201" s="217"/>
      <c r="X201" s="34">
        <f>COUNTIF($AC$76:$AO$76,"*윤호*")+COUNTIF($AC$78:$AO$78,"*윤호*")+COUNTIF($AC$79:$AO$79,"*윤호*")+COUNTIF($AC$80:$AO$80,"*윤호*")+COUNTIF($AC$82:$AO$82,"*윤호*")</f>
        <v>0</v>
      </c>
      <c r="Y201" s="217"/>
      <c r="Z201" s="47">
        <f>U201+Z165</f>
        <v>3</v>
      </c>
      <c r="AA201" s="88">
        <f>V201+AA165</f>
        <v>0</v>
      </c>
      <c r="AB201" s="115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R202" s="65"/>
      <c r="S202" s="49"/>
      <c r="T202" s="164"/>
      <c r="U202" s="49"/>
      <c r="V202" s="50"/>
      <c r="W202" s="217"/>
      <c r="X202" s="34"/>
      <c r="Y202" s="217"/>
      <c r="Z202" s="47"/>
      <c r="AA202" s="88"/>
      <c r="AB202" s="115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R203" s="65" t="s">
        <v>23</v>
      </c>
      <c r="S203" s="45">
        <f>COUNTIF($D$189:$P$189,"*정은*")+COUNTIF($D$194:$P$194,"*정은*")+COUNTIF($D$199:$P$199,"*정은*")+COUNTIF($D$204:$P$204,"*정은*")+COUNTIF($D$213:$P$213,"*정은*")</f>
        <v>0</v>
      </c>
      <c r="T203" s="163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79">
        <f>COUNTIF($D$204:$P$205,"*정은*")</f>
        <v>0</v>
      </c>
      <c r="W203" s="217"/>
      <c r="X203" s="34">
        <f>COUNTIF($AC$76:$AO$76,"*정은*")+COUNTIF($AC$78:$AO$78,"*정은*")+COUNTIF($AC$79:$AO$79,"*정은*")+COUNTIF($AC$80:$AO$80,"*정은*")+COUNTIF($AC$82:$AO$82,"*정은*")</f>
        <v>0</v>
      </c>
      <c r="Y203" s="217"/>
      <c r="Z203" s="47">
        <f t="shared" si="29"/>
        <v>5</v>
      </c>
      <c r="AA203" s="88">
        <f t="shared" si="29"/>
        <v>1</v>
      </c>
      <c r="AB203" s="115">
        <f t="shared" si="28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R204" s="65" t="s">
        <v>22</v>
      </c>
      <c r="S204" s="45">
        <f>COUNTIF($D$189:$P$189,"*지현*")+COUNTIF($D$194:$P$194,"*지현*")+COUNTIF($D$199:$P$199,"*지현*")+COUNTIF($D$204:$P$204,"*지현*")+COUNTIF($D$213:$P$213,"*지현*")</f>
        <v>0</v>
      </c>
      <c r="T204" s="163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79">
        <f>COUNTIF($D$204:$P$205,"*지현*")</f>
        <v>0</v>
      </c>
      <c r="W204" s="217"/>
      <c r="X204" s="34">
        <f>COUNTIF($AC$76:$AO$76,"*지현*")+COUNTIF($AC$78:$AO$78,"*지현*")+COUNTIF($AC$79:$AO$79,"*지현*")+COUNTIF($AC$80:$AO$80,"*지현*")+COUNTIF($AC$82:$AO$82,"*지현*")</f>
        <v>0</v>
      </c>
      <c r="Y204" s="217"/>
      <c r="Z204" s="47">
        <f t="shared" si="29"/>
        <v>4</v>
      </c>
      <c r="AA204" s="88">
        <f t="shared" si="29"/>
        <v>1</v>
      </c>
      <c r="AB204" s="115">
        <f t="shared" si="28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R205" s="65" t="s">
        <v>69</v>
      </c>
      <c r="S205" s="45">
        <f>COUNTIF($D$189:$P$189,"*태우*")+COUNTIF($D$194:$P$194,"*태우*")+COUNTIF($D$199:$P$199,"*태우*")+COUNTIF($D$204:$P$204,"*태우*")+COUNTIF($D$213:$P$213,"*태우*")</f>
        <v>0</v>
      </c>
      <c r="T205" s="163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217"/>
      <c r="X205" s="34">
        <f>COUNTIF($AC$76:$AO$76,"*태우*")+COUNTIF($AC$78:$AO$78,"*태우*")+COUNTIF($AC$79:$AO$79,"*태우*")+COUNTIF($AC$80:$AO$80,"*태우*")+COUNTIF($AC$82:$AO$82,"*태우*")</f>
        <v>0</v>
      </c>
      <c r="Y205" s="217"/>
      <c r="Z205" s="47">
        <f>U205+Z169</f>
        <v>6</v>
      </c>
      <c r="AA205" s="88">
        <f>V205+AA169</f>
        <v>2</v>
      </c>
      <c r="AB205" s="115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R206" s="65" t="s">
        <v>70</v>
      </c>
      <c r="S206" s="45">
        <f>COUNTIF($D$189:$P$189,"*훈*")+COUNTIF($D$194:$P$194,"*훈*")+COUNTIF($D$199:$P$199,"*훈*")+COUNTIF($D$204:$P$204,"*훈*")+COUNTIF($D$213:$P$213,"*훈*")</f>
        <v>0</v>
      </c>
      <c r="T206" s="163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29"/>
        <v>6</v>
      </c>
      <c r="AA206" s="88">
        <f>V206+AA170</f>
        <v>1</v>
      </c>
      <c r="AB206" s="115">
        <f>X206+AB170</f>
        <v>1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12"/>
      <c r="C207" s="112"/>
      <c r="D207" s="112"/>
      <c r="E207" s="3"/>
      <c r="F207" s="3"/>
      <c r="G207" s="112"/>
      <c r="H207" s="3"/>
      <c r="I207" s="3"/>
      <c r="J207" s="112"/>
      <c r="K207" s="3"/>
      <c r="L207" s="3"/>
      <c r="M207" s="112"/>
      <c r="R207" s="65"/>
      <c r="S207" s="45"/>
      <c r="T207" s="163"/>
      <c r="U207" s="45"/>
      <c r="V207" s="3"/>
      <c r="W207" s="3"/>
      <c r="X207" s="34"/>
      <c r="Y207" s="3"/>
      <c r="Z207" s="47"/>
      <c r="AA207" s="88"/>
      <c r="AB207" s="115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R208" s="65" t="s">
        <v>71</v>
      </c>
      <c r="S208" s="45">
        <f>COUNTIF($D$189:$P$189,"*누리*")+COUNTIF($D$194:$P$194,"*누리*")+COUNTIF($D$199:$P$199,"*누리*")+COUNTIF($D$204:$P$204,"*누리*")+COUNTIF($D$213:$P$213,"*누리*")</f>
        <v>0</v>
      </c>
      <c r="T208" s="163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4</v>
      </c>
      <c r="AA208" s="88">
        <f t="shared" si="29"/>
        <v>1</v>
      </c>
      <c r="AB208" s="115">
        <f t="shared" si="28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R209" s="65" t="s">
        <v>73</v>
      </c>
      <c r="S209" s="45">
        <f>COUNTIF($D$189:$P$189,"*미소*")+COUNTIF($D$194:$P$194,"*미소*")+COUNTIF($D$199:$P$199,"*미소*")+COUNTIF($D$204:$P$204,"*미소*")+COUNTIF($D$213:$P$213,"*미소*")</f>
        <v>0</v>
      </c>
      <c r="T209" s="163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4</v>
      </c>
      <c r="AA209" s="88">
        <f t="shared" si="29"/>
        <v>0</v>
      </c>
      <c r="AB209" s="115">
        <f t="shared" si="28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R210" s="4" t="s">
        <v>77</v>
      </c>
      <c r="S210" s="45">
        <f>COUNTIF($D$189:$P$189,"*소희*")+COUNTIF($D$194:$P$194,"*소희*")+COUNTIF($D$199:$P$199,"*소희*")+COUNTIF($D$204:$P$204,"*소희*")+COUNTIF($D$213:$P$213,"*소희*")</f>
        <v>0</v>
      </c>
      <c r="T210" s="79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1"/>
      <c r="Z210" s="47">
        <f t="shared" ref="Z210:AA212" si="31">U210+Z174</f>
        <v>0</v>
      </c>
      <c r="AA210" s="77">
        <f t="shared" si="31"/>
        <v>0</v>
      </c>
      <c r="AB210" s="115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R211" s="111"/>
      <c r="S211" s="49"/>
      <c r="T211" s="50"/>
      <c r="U211" s="49"/>
      <c r="V211" s="217"/>
      <c r="W211" s="217"/>
      <c r="X211" s="217"/>
      <c r="Y211" s="111"/>
      <c r="Z211" s="47"/>
      <c r="AA211" s="77"/>
      <c r="AB211" s="115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R212" s="53" t="s">
        <v>148</v>
      </c>
      <c r="S212" s="51">
        <f>COUNTIF($D$189:$P$189,"*현동*")+COUNTIF($D$194:$P$194,"*현동*")+COUNTIF($D$199:$P$199,"*현동*")+COUNTIF($D$204:$P$204,"*현동*")+COUNTIF($D$213:$P$213,"*현동*")</f>
        <v>0</v>
      </c>
      <c r="T212" s="225">
        <f>COUNTIF($D$190:$P$190,"*현동*")+COUNTIF($D$195:$P$195,"*현동*")+COUNTIF($D$200:$P$200,"*현동*")+COUNTIF($D$205:$P$205,"*현동*")+COUNTIF($D$214:$P$214,"*현동*")</f>
        <v>0</v>
      </c>
      <c r="U212" s="51">
        <f t="shared" si="30"/>
        <v>0</v>
      </c>
      <c r="V212" s="167">
        <f>COUNTIF($D$204:$P$205,"*현동*")</f>
        <v>0</v>
      </c>
      <c r="W212" s="167"/>
      <c r="X212" s="167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1"/>
        <v>0</v>
      </c>
      <c r="AA212" s="231">
        <f t="shared" si="31"/>
        <v>0</v>
      </c>
      <c r="AB212" s="183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R213" s="3"/>
      <c r="S213" s="79"/>
      <c r="T213" s="79"/>
      <c r="U213" s="79"/>
      <c r="V213" s="3"/>
      <c r="W213" s="3"/>
      <c r="X213" s="3"/>
      <c r="Y213" s="217"/>
      <c r="Z213" s="133"/>
      <c r="AA213" s="77"/>
      <c r="AB213" s="174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R214" s="3"/>
      <c r="S214" s="79"/>
      <c r="T214" s="79"/>
      <c r="U214" s="79"/>
      <c r="V214" s="3"/>
      <c r="W214" s="3"/>
      <c r="X214" s="3"/>
      <c r="Y214" s="217"/>
      <c r="Z214" s="133"/>
      <c r="AA214" s="77"/>
      <c r="AB214" s="174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R215" s="3"/>
      <c r="S215" s="79"/>
      <c r="T215" s="79"/>
      <c r="U215" s="79"/>
      <c r="V215" s="3"/>
      <c r="W215" s="3"/>
      <c r="X215" s="3"/>
      <c r="Y215" s="217"/>
      <c r="Z215" s="133"/>
      <c r="AA215" s="77"/>
      <c r="AB215" s="174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R216" s="3"/>
      <c r="S216" s="79"/>
      <c r="T216" s="79"/>
      <c r="U216" s="79"/>
      <c r="V216" s="3"/>
      <c r="W216" s="3"/>
      <c r="X216" s="3"/>
      <c r="Y216" s="112"/>
      <c r="Z216" s="133"/>
      <c r="AA216" s="77"/>
      <c r="AB216" s="174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R217" s="3"/>
      <c r="S217" s="79"/>
      <c r="T217" s="79"/>
      <c r="U217" s="79"/>
      <c r="V217" s="3"/>
      <c r="W217" s="3"/>
      <c r="X217" s="3"/>
      <c r="Y217" s="112"/>
      <c r="Z217" s="133"/>
      <c r="AA217" s="77"/>
      <c r="AB217" s="174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  <row r="218" spans="2:42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</row>
    <row r="219" spans="2:42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</row>
    <row r="220" spans="2:42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</row>
    <row r="221" spans="2:42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</row>
    <row r="222" spans="2:42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</row>
    <row r="223" spans="2:42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</row>
    <row r="224" spans="2:42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</row>
    <row r="225" spans="2:13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</row>
    <row r="226" spans="2:13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</row>
    <row r="227" spans="2:13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</row>
    <row r="228" spans="2:13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</row>
    <row r="229" spans="2:13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</row>
    <row r="230" spans="2:13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</row>
    <row r="231" spans="2:13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</row>
    <row r="232" spans="2:13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</row>
    <row r="233" spans="2:13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</row>
    <row r="234" spans="2:13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</row>
    <row r="235" spans="2:13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</row>
    <row r="236" spans="2:13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</row>
    <row r="237" spans="2:13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</row>
    <row r="238" spans="2:13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</row>
    <row r="239" spans="2:13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</row>
    <row r="240" spans="2:13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</row>
    <row r="241" spans="2:13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</row>
    <row r="242" spans="2:13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</row>
    <row r="243" spans="2:13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</row>
    <row r="244" spans="2:13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</row>
    <row r="245" spans="2:13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</row>
    <row r="246" spans="2:13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</row>
    <row r="247" spans="2:13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</row>
    <row r="248" spans="2:13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</row>
    <row r="249" spans="2:13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</row>
    <row r="250" spans="2:13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</row>
    <row r="251" spans="2:13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</row>
    <row r="252" spans="2:13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</row>
    <row r="253" spans="2:13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</row>
    <row r="254" spans="2:13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</row>
    <row r="255" spans="2:13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</row>
    <row r="256" spans="2:13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</row>
    <row r="257" spans="2:13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</row>
    <row r="258" spans="2:13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</row>
    <row r="259" spans="2:13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</row>
    <row r="260" spans="2:13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</row>
    <row r="261" spans="2:13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</row>
    <row r="262" spans="2:13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</row>
    <row r="263" spans="2:13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</row>
    <row r="264" spans="2:13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</row>
    <row r="265" spans="2:13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</row>
    <row r="266" spans="2:13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</row>
    <row r="267" spans="2:13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</row>
    <row r="268" spans="2:13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</row>
    <row r="269" spans="2:13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</row>
    <row r="270" spans="2:13"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</row>
    <row r="271" spans="2:13"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</row>
    <row r="272" spans="2:13"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</row>
    <row r="273" spans="2:13"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</row>
    <row r="274" spans="2:13"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</row>
    <row r="275" spans="2:13"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</row>
    <row r="276" spans="2:13"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</row>
    <row r="277" spans="2:13"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</row>
    <row r="278" spans="2:13"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</row>
    <row r="279" spans="2:13"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</row>
    <row r="280" spans="2:13"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</row>
    <row r="281" spans="2:13"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</row>
    <row r="282" spans="2:13"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</row>
    <row r="283" spans="2:13"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</row>
    <row r="284" spans="2:13"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</row>
    <row r="285" spans="2:13"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</row>
    <row r="286" spans="2:13"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</row>
    <row r="287" spans="2:13"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</row>
    <row r="288" spans="2:13"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</row>
    <row r="289" spans="2:13"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</row>
    <row r="290" spans="2:13"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</row>
    <row r="291" spans="2:13"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</row>
    <row r="292" spans="2:13"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</row>
    <row r="293" spans="2:13"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</row>
    <row r="294" spans="2:13"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</row>
    <row r="295" spans="2:13"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</row>
    <row r="296" spans="2:13"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</row>
    <row r="297" spans="2:13"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</row>
    <row r="298" spans="2:13"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</row>
    <row r="299" spans="2:13"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</row>
    <row r="300" spans="2:13"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</row>
    <row r="301" spans="2:13"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</row>
    <row r="302" spans="2:13"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</row>
    <row r="303" spans="2:13"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</row>
    <row r="304" spans="2:13"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</row>
    <row r="305" spans="2:13"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</row>
    <row r="306" spans="2:13"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</row>
    <row r="307" spans="2:13"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</row>
    <row r="308" spans="2:1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</row>
    <row r="309" spans="2:13"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</row>
    <row r="310" spans="2:13"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</row>
    <row r="311" spans="2:13"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</row>
    <row r="312" spans="2:13"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</row>
    <row r="313" spans="2:13"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</row>
    <row r="314" spans="2:13"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</row>
    <row r="315" spans="2:13"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</row>
    <row r="316" spans="2:13"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</row>
    <row r="317" spans="2:13"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</row>
    <row r="318" spans="2:13"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</row>
    <row r="319" spans="2:13"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</row>
    <row r="320" spans="2:13"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</row>
    <row r="321" spans="2:13"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</row>
    <row r="322" spans="2:13"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</row>
    <row r="323" spans="2:13"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</row>
    <row r="324" spans="2:13"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</row>
    <row r="325" spans="2:13">
      <c r="C325" s="112"/>
    </row>
    <row r="326" spans="2:13">
      <c r="C326" s="112"/>
    </row>
    <row r="327" spans="2:13">
      <c r="C327" s="112"/>
    </row>
    <row r="328" spans="2:13">
      <c r="C328" s="112"/>
    </row>
    <row r="329" spans="2:13">
      <c r="C329" s="112"/>
    </row>
    <row r="330" spans="2:13">
      <c r="C330" s="112"/>
    </row>
    <row r="331" spans="2:13">
      <c r="C331" s="112"/>
    </row>
    <row r="332" spans="2:13">
      <c r="C332" s="112"/>
    </row>
    <row r="333" spans="2:13">
      <c r="C333" s="112"/>
    </row>
    <row r="334" spans="2:13">
      <c r="C334" s="112"/>
    </row>
    <row r="335" spans="2:13">
      <c r="C335" s="112"/>
    </row>
    <row r="336" spans="2:13">
      <c r="C336" s="112"/>
    </row>
    <row r="337" spans="3:3">
      <c r="C337" s="112"/>
    </row>
    <row r="338" spans="3:3">
      <c r="C338" s="112"/>
    </row>
    <row r="339" spans="3:3">
      <c r="C339" s="112"/>
    </row>
    <row r="340" spans="3:3">
      <c r="C340" s="112"/>
    </row>
    <row r="341" spans="3:3">
      <c r="C341" s="112"/>
    </row>
    <row r="342" spans="3:3">
      <c r="C342" s="112"/>
    </row>
    <row r="343" spans="3:3">
      <c r="C343" s="112"/>
    </row>
    <row r="344" spans="3:3">
      <c r="C344" s="112"/>
    </row>
    <row r="345" spans="3:3">
      <c r="C345" s="112"/>
    </row>
    <row r="346" spans="3:3">
      <c r="C346" s="112"/>
    </row>
    <row r="347" spans="3:3">
      <c r="C347" s="112"/>
    </row>
    <row r="348" spans="3:3">
      <c r="C348" s="112"/>
    </row>
    <row r="349" spans="3:3">
      <c r="C349" s="112"/>
    </row>
    <row r="350" spans="3:3">
      <c r="C350" s="112"/>
    </row>
    <row r="351" spans="3:3">
      <c r="C351" s="112"/>
    </row>
    <row r="352" spans="3:3">
      <c r="C352" s="112"/>
    </row>
    <row r="353" spans="3:3">
      <c r="C353" s="112"/>
    </row>
    <row r="354" spans="3:3">
      <c r="C354" s="112"/>
    </row>
    <row r="355" spans="3:3">
      <c r="C355" s="112"/>
    </row>
    <row r="356" spans="3:3">
      <c r="C356" s="112"/>
    </row>
    <row r="357" spans="3:3">
      <c r="C357" s="112"/>
    </row>
    <row r="358" spans="3:3">
      <c r="C358" s="112"/>
    </row>
    <row r="359" spans="3:3">
      <c r="C359" s="112"/>
    </row>
    <row r="360" spans="3:3">
      <c r="C360" s="112"/>
    </row>
    <row r="361" spans="3:3">
      <c r="C361" s="112"/>
    </row>
    <row r="362" spans="3:3">
      <c r="C362" s="112"/>
    </row>
    <row r="363" spans="3:3">
      <c r="C363" s="112"/>
    </row>
    <row r="364" spans="3:3">
      <c r="C364" s="112"/>
    </row>
    <row r="365" spans="3:3">
      <c r="C365" s="112"/>
    </row>
    <row r="366" spans="3:3">
      <c r="C366" s="112"/>
    </row>
    <row r="367" spans="3:3">
      <c r="C367" s="112"/>
    </row>
    <row r="368" spans="3:3">
      <c r="C368" s="112"/>
    </row>
    <row r="369" spans="3:3">
      <c r="C369" s="112"/>
    </row>
    <row r="370" spans="3:3">
      <c r="C370" s="112"/>
    </row>
    <row r="371" spans="3:3">
      <c r="C371" s="112"/>
    </row>
    <row r="372" spans="3:3">
      <c r="C372" s="112"/>
    </row>
    <row r="373" spans="3:3">
      <c r="C373" s="112"/>
    </row>
    <row r="374" spans="3:3">
      <c r="C374" s="112"/>
    </row>
    <row r="375" spans="3:3">
      <c r="C375" s="112"/>
    </row>
    <row r="376" spans="3:3">
      <c r="C376" s="112"/>
    </row>
    <row r="377" spans="3:3">
      <c r="C377" s="112"/>
    </row>
    <row r="378" spans="3:3">
      <c r="C378" s="112"/>
    </row>
    <row r="379" spans="3:3">
      <c r="C379" s="112"/>
    </row>
    <row r="380" spans="3:3">
      <c r="C380" s="112"/>
    </row>
    <row r="381" spans="3:3">
      <c r="C381" s="112"/>
    </row>
    <row r="382" spans="3:3">
      <c r="C382" s="112"/>
    </row>
    <row r="383" spans="3:3">
      <c r="C383" s="112"/>
    </row>
  </sheetData>
  <dataConsolidate/>
  <mergeCells count="75">
    <mergeCell ref="AC84:AO84"/>
    <mergeCell ref="B61:B62"/>
    <mergeCell ref="S54:X54"/>
    <mergeCell ref="B143:B144"/>
    <mergeCell ref="X84:AB84"/>
    <mergeCell ref="S144:V144"/>
    <mergeCell ref="X144:AB144"/>
    <mergeCell ref="S84:V84"/>
    <mergeCell ref="D61:D62"/>
    <mergeCell ref="B45:B47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32:P33"/>
    <mergeCell ref="D18:I18"/>
    <mergeCell ref="F19:I19"/>
    <mergeCell ref="K19:M19"/>
    <mergeCell ref="D42:P42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2019-12-29T23:57:24Z</cp:lastPrinted>
  <dcterms:created xsi:type="dcterms:W3CDTF">2014-01-16T13:44:40Z</dcterms:created>
  <dcterms:modified xsi:type="dcterms:W3CDTF">2020-10-24T07:24:02Z</dcterms:modified>
</cp:coreProperties>
</file>