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690"/>
  </bookViews>
  <sheets>
    <sheet name="편성표" sheetId="1" r:id="rId1"/>
  </sheets>
  <calcPr calcId="145621"/>
</workbook>
</file>

<file path=xl/calcChain.xml><?xml version="1.0" encoding="utf-8"?>
<calcChain xmlns="http://schemas.openxmlformats.org/spreadsheetml/2006/main">
  <c r="AS156" i="1" l="1"/>
  <c r="AS157" i="1"/>
  <c r="AS161" i="1"/>
  <c r="AS162" i="1"/>
  <c r="AS164" i="1"/>
  <c r="AS165" i="1"/>
  <c r="S103" i="1" l="1"/>
  <c r="S109" i="1" l="1"/>
  <c r="T175" i="1" l="1"/>
  <c r="T212" i="1" l="1"/>
  <c r="S212" i="1"/>
  <c r="S174" i="1"/>
  <c r="S175" i="1"/>
  <c r="T114" i="1"/>
  <c r="T198" i="1" l="1"/>
  <c r="T210" i="1"/>
  <c r="T184" i="1"/>
  <c r="T172" i="1"/>
  <c r="T170" i="1"/>
  <c r="T171" i="1"/>
  <c r="T174" i="1"/>
  <c r="S114" i="1"/>
  <c r="V212" i="1" l="1"/>
  <c r="AA212" i="1" s="1"/>
  <c r="V210" i="1"/>
  <c r="S210" i="1"/>
  <c r="AV175" i="1"/>
  <c r="AQ175" i="1"/>
  <c r="AV174" i="1"/>
  <c r="AT174" i="1"/>
  <c r="AR174" i="1"/>
  <c r="AP174" i="1"/>
  <c r="V175" i="1"/>
  <c r="V174" i="1"/>
  <c r="V193" i="1"/>
  <c r="T193" i="1"/>
  <c r="S193" i="1"/>
  <c r="AV156" i="1"/>
  <c r="AU156" i="1"/>
  <c r="AT156" i="1"/>
  <c r="AR156" i="1"/>
  <c r="AQ156" i="1"/>
  <c r="AP156" i="1"/>
  <c r="V156" i="1"/>
  <c r="T156" i="1"/>
  <c r="S156" i="1"/>
  <c r="U156" i="1" l="1"/>
  <c r="U175" i="1"/>
  <c r="U174" i="1"/>
  <c r="U210" i="1"/>
  <c r="AW174" i="1"/>
  <c r="U212" i="1"/>
  <c r="AW175" i="1"/>
  <c r="Z212" i="1" l="1"/>
  <c r="V114" i="1" l="1"/>
  <c r="Y114" i="1"/>
  <c r="Y175" i="1" s="1"/>
  <c r="V113" i="1"/>
  <c r="T113" i="1"/>
  <c r="Y113" i="1" s="1"/>
  <c r="Y174" i="1" s="1"/>
  <c r="S113" i="1"/>
  <c r="V95" i="1"/>
  <c r="T95" i="1"/>
  <c r="Y95" i="1" s="1"/>
  <c r="Y156" i="1" s="1"/>
  <c r="S95" i="1"/>
  <c r="U114" i="1" l="1"/>
  <c r="U113" i="1"/>
  <c r="U95" i="1"/>
  <c r="AA114" i="1" l="1"/>
  <c r="X114" i="1"/>
  <c r="X175" i="1" s="1"/>
  <c r="AA113" i="1"/>
  <c r="AA174" i="1" s="1"/>
  <c r="AA210" i="1" s="1"/>
  <c r="X113" i="1"/>
  <c r="X174" i="1" s="1"/>
  <c r="V209" i="1"/>
  <c r="T209" i="1"/>
  <c r="S209" i="1"/>
  <c r="AV172" i="1"/>
  <c r="AT172" i="1"/>
  <c r="AR172" i="1"/>
  <c r="AP172" i="1"/>
  <c r="V172" i="1"/>
  <c r="S172" i="1"/>
  <c r="V112" i="1"/>
  <c r="T112" i="1"/>
  <c r="S112" i="1"/>
  <c r="V208" i="1"/>
  <c r="T208" i="1"/>
  <c r="S208" i="1"/>
  <c r="AV171" i="1"/>
  <c r="AT171" i="1"/>
  <c r="AR171" i="1"/>
  <c r="AP171" i="1"/>
  <c r="V171" i="1"/>
  <c r="S171" i="1"/>
  <c r="V111" i="1"/>
  <c r="T111" i="1"/>
  <c r="S111" i="1"/>
  <c r="V206" i="1"/>
  <c r="T206" i="1"/>
  <c r="S206" i="1"/>
  <c r="AV170" i="1"/>
  <c r="AU170" i="1"/>
  <c r="AT170" i="1"/>
  <c r="AR170" i="1"/>
  <c r="AP170" i="1"/>
  <c r="V170" i="1"/>
  <c r="S170" i="1"/>
  <c r="V109" i="1"/>
  <c r="T109" i="1"/>
  <c r="V205" i="1"/>
  <c r="T205" i="1"/>
  <c r="S205" i="1"/>
  <c r="AV169" i="1"/>
  <c r="AU169" i="1"/>
  <c r="V169" i="1"/>
  <c r="T169" i="1"/>
  <c r="S169" i="1"/>
  <c r="V108" i="1"/>
  <c r="T108" i="1"/>
  <c r="S108" i="1"/>
  <c r="V204" i="1"/>
  <c r="T204" i="1"/>
  <c r="S204" i="1"/>
  <c r="AV167" i="1"/>
  <c r="AP167" i="1"/>
  <c r="V167" i="1"/>
  <c r="T167" i="1"/>
  <c r="S167" i="1"/>
  <c r="V107" i="1"/>
  <c r="T107" i="1"/>
  <c r="S107" i="1"/>
  <c r="V203" i="1"/>
  <c r="T203" i="1"/>
  <c r="S203" i="1"/>
  <c r="AV166" i="1"/>
  <c r="AT166" i="1"/>
  <c r="AR166" i="1"/>
  <c r="AQ166" i="1"/>
  <c r="AP166" i="1"/>
  <c r="V166" i="1"/>
  <c r="T166" i="1"/>
  <c r="S166" i="1"/>
  <c r="V106" i="1"/>
  <c r="T106" i="1"/>
  <c r="S106" i="1"/>
  <c r="V201" i="1"/>
  <c r="T201" i="1"/>
  <c r="S201" i="1"/>
  <c r="AV165" i="1"/>
  <c r="AU165" i="1"/>
  <c r="AT165" i="1"/>
  <c r="AR165" i="1"/>
  <c r="AQ165" i="1"/>
  <c r="AP165" i="1"/>
  <c r="V165" i="1"/>
  <c r="T165" i="1"/>
  <c r="S165" i="1"/>
  <c r="V104" i="1"/>
  <c r="T104" i="1"/>
  <c r="S104" i="1"/>
  <c r="V200" i="1"/>
  <c r="T200" i="1"/>
  <c r="S200" i="1"/>
  <c r="AV164" i="1"/>
  <c r="AU164" i="1"/>
  <c r="V164" i="1"/>
  <c r="T164" i="1"/>
  <c r="S164" i="1"/>
  <c r="V103" i="1"/>
  <c r="T103" i="1"/>
  <c r="V199" i="1"/>
  <c r="T199" i="1"/>
  <c r="S199" i="1"/>
  <c r="AV162" i="1"/>
  <c r="AU162" i="1"/>
  <c r="AT162" i="1"/>
  <c r="AR162" i="1"/>
  <c r="V162" i="1"/>
  <c r="T162" i="1"/>
  <c r="S162" i="1"/>
  <c r="V102" i="1"/>
  <c r="T102" i="1"/>
  <c r="S102" i="1"/>
  <c r="V198" i="1"/>
  <c r="S198" i="1"/>
  <c r="AV161" i="1"/>
  <c r="AU161" i="1"/>
  <c r="AT161" i="1"/>
  <c r="AR161" i="1"/>
  <c r="AQ161" i="1"/>
  <c r="AP161" i="1"/>
  <c r="V161" i="1"/>
  <c r="T161" i="1"/>
  <c r="S161" i="1"/>
  <c r="V100" i="1"/>
  <c r="T100" i="1"/>
  <c r="S100" i="1"/>
  <c r="V196" i="1"/>
  <c r="T196" i="1"/>
  <c r="S196" i="1"/>
  <c r="AV160" i="1"/>
  <c r="AU160" i="1"/>
  <c r="AP160" i="1"/>
  <c r="V160" i="1"/>
  <c r="T160" i="1"/>
  <c r="S160" i="1"/>
  <c r="V99" i="1"/>
  <c r="T99" i="1"/>
  <c r="S99" i="1"/>
  <c r="V195" i="1"/>
  <c r="T195" i="1"/>
  <c r="S195" i="1"/>
  <c r="AV158" i="1"/>
  <c r="AU158" i="1"/>
  <c r="AQ158" i="1"/>
  <c r="V158" i="1"/>
  <c r="T158" i="1"/>
  <c r="S158" i="1"/>
  <c r="V98" i="1"/>
  <c r="T98" i="1"/>
  <c r="S98" i="1"/>
  <c r="V97" i="1"/>
  <c r="T97" i="1"/>
  <c r="S97" i="1"/>
  <c r="V194" i="1"/>
  <c r="T194" i="1"/>
  <c r="S194" i="1"/>
  <c r="AV157" i="1"/>
  <c r="AU157" i="1"/>
  <c r="AT157" i="1"/>
  <c r="AR157" i="1"/>
  <c r="AQ157" i="1"/>
  <c r="AP157" i="1"/>
  <c r="V157" i="1"/>
  <c r="T157" i="1"/>
  <c r="S157" i="1"/>
  <c r="AA95" i="1"/>
  <c r="X95" i="1"/>
  <c r="X156" i="1" s="1"/>
  <c r="V191" i="1"/>
  <c r="T191" i="1"/>
  <c r="S191" i="1"/>
  <c r="AV155" i="1"/>
  <c r="AT155" i="1"/>
  <c r="AR155" i="1"/>
  <c r="V155" i="1"/>
  <c r="T155" i="1"/>
  <c r="S155" i="1"/>
  <c r="V94" i="1"/>
  <c r="T94" i="1"/>
  <c r="S94" i="1"/>
  <c r="V190" i="1"/>
  <c r="T190" i="1"/>
  <c r="S190" i="1"/>
  <c r="AV153" i="1"/>
  <c r="AU153" i="1"/>
  <c r="AP153" i="1"/>
  <c r="V153" i="1"/>
  <c r="T153" i="1"/>
  <c r="S153" i="1"/>
  <c r="V93" i="1"/>
  <c r="T93" i="1"/>
  <c r="S93" i="1"/>
  <c r="V189" i="1"/>
  <c r="T189" i="1"/>
  <c r="S189" i="1"/>
  <c r="AV152" i="1"/>
  <c r="AU152" i="1"/>
  <c r="AP152" i="1"/>
  <c r="V152" i="1"/>
  <c r="T152" i="1"/>
  <c r="S152" i="1"/>
  <c r="V92" i="1"/>
  <c r="T92" i="1"/>
  <c r="S92" i="1"/>
  <c r="V188" i="1"/>
  <c r="T188" i="1"/>
  <c r="S188" i="1"/>
  <c r="AV151" i="1"/>
  <c r="AU151" i="1"/>
  <c r="AT151" i="1"/>
  <c r="AS151" i="1"/>
  <c r="AR151" i="1"/>
  <c r="AQ151" i="1"/>
  <c r="AP151" i="1"/>
  <c r="V151" i="1"/>
  <c r="T151" i="1"/>
  <c r="S151" i="1"/>
  <c r="V90" i="1"/>
  <c r="T90" i="1"/>
  <c r="S90" i="1"/>
  <c r="AA175" i="1" l="1"/>
  <c r="AF95" i="1"/>
  <c r="AA156" i="1"/>
  <c r="AO79" i="1"/>
  <c r="AO78" i="1"/>
  <c r="AO76" i="1"/>
  <c r="AO75" i="1"/>
  <c r="AO74" i="1"/>
  <c r="AO73" i="1"/>
  <c r="AO71" i="1"/>
  <c r="AO70" i="1"/>
  <c r="AO69" i="1"/>
  <c r="AO68" i="1"/>
  <c r="AO66" i="1"/>
  <c r="AO65" i="1"/>
  <c r="AO64" i="1"/>
  <c r="AO62" i="1"/>
  <c r="AO61" i="1"/>
  <c r="AO60" i="1"/>
  <c r="AL79" i="1"/>
  <c r="AL78" i="1"/>
  <c r="AL76" i="1"/>
  <c r="AL75" i="1"/>
  <c r="AL74" i="1"/>
  <c r="AL73" i="1"/>
  <c r="AL71" i="1"/>
  <c r="AL70" i="1"/>
  <c r="AL69" i="1"/>
  <c r="AL68" i="1"/>
  <c r="AL66" i="1"/>
  <c r="AL65" i="1"/>
  <c r="AL64" i="1"/>
  <c r="AL62" i="1"/>
  <c r="AL61" i="1"/>
  <c r="AL60" i="1"/>
  <c r="AI79" i="1"/>
  <c r="AI78" i="1"/>
  <c r="AI76" i="1"/>
  <c r="AI75" i="1"/>
  <c r="AI74" i="1"/>
  <c r="AI73" i="1"/>
  <c r="AI71" i="1"/>
  <c r="AI70" i="1"/>
  <c r="AI69" i="1"/>
  <c r="AI68" i="1"/>
  <c r="AI66" i="1"/>
  <c r="AI65" i="1"/>
  <c r="AI64" i="1"/>
  <c r="AI62" i="1"/>
  <c r="AI61" i="1"/>
  <c r="AI60" i="1"/>
  <c r="AF79" i="1"/>
  <c r="AF78" i="1"/>
  <c r="AF76" i="1"/>
  <c r="AF75" i="1"/>
  <c r="AF74" i="1"/>
  <c r="AF73" i="1"/>
  <c r="AF71" i="1"/>
  <c r="AF70" i="1"/>
  <c r="AF69" i="1"/>
  <c r="AF68" i="1"/>
  <c r="AF66" i="1"/>
  <c r="AF65" i="1"/>
  <c r="AF64" i="1"/>
  <c r="AF62" i="1"/>
  <c r="AF61" i="1"/>
  <c r="AF60" i="1"/>
  <c r="AC79" i="1"/>
  <c r="AC78" i="1"/>
  <c r="AC76" i="1"/>
  <c r="AC75" i="1"/>
  <c r="AC74" i="1"/>
  <c r="AC73" i="1"/>
  <c r="AC71" i="1"/>
  <c r="AC70" i="1"/>
  <c r="AC69" i="1"/>
  <c r="AC68" i="1"/>
  <c r="AC66" i="1"/>
  <c r="AC65" i="1"/>
  <c r="AC64" i="1"/>
  <c r="AC62" i="1"/>
  <c r="AC61" i="1"/>
  <c r="AC60" i="1"/>
  <c r="AO59" i="1"/>
  <c r="AL59" i="1"/>
  <c r="AI59" i="1"/>
  <c r="AF59" i="1"/>
  <c r="AC59" i="1"/>
  <c r="AO58" i="1"/>
  <c r="AL58" i="1"/>
  <c r="AI58" i="1"/>
  <c r="AF58" i="1"/>
  <c r="AC58" i="1"/>
  <c r="AO57" i="1"/>
  <c r="AL57" i="1"/>
  <c r="AI57" i="1"/>
  <c r="AF57" i="1"/>
  <c r="AC57" i="1"/>
  <c r="AO80" i="1"/>
  <c r="AL80" i="1"/>
  <c r="AI80" i="1"/>
  <c r="AF80" i="1"/>
  <c r="AC80" i="1"/>
  <c r="AO82" i="1"/>
  <c r="AL82" i="1"/>
  <c r="AI82" i="1"/>
  <c r="AF82" i="1"/>
  <c r="AC82" i="1"/>
  <c r="AO83" i="1"/>
  <c r="AL83" i="1"/>
  <c r="AI83" i="1"/>
  <c r="AF83" i="1"/>
  <c r="AC83" i="1"/>
  <c r="AO56" i="1"/>
  <c r="AL56" i="1"/>
  <c r="AI56" i="1"/>
  <c r="AC56" i="1"/>
  <c r="AO54" i="1"/>
  <c r="AL54" i="1"/>
  <c r="AI54" i="1"/>
  <c r="AF54" i="1"/>
  <c r="AC54" i="1"/>
  <c r="X212" i="1" l="1"/>
  <c r="AB212" i="1" s="1"/>
  <c r="AB156" i="1"/>
  <c r="X210" i="1"/>
  <c r="AB175" i="1"/>
  <c r="AB174" i="1"/>
  <c r="X193" i="1"/>
  <c r="AB114" i="1"/>
  <c r="AB113" i="1"/>
  <c r="X205" i="1"/>
  <c r="X204" i="1"/>
  <c r="X196" i="1"/>
  <c r="X189" i="1"/>
  <c r="X198" i="1"/>
  <c r="X194" i="1"/>
  <c r="X199" i="1"/>
  <c r="X188" i="1"/>
  <c r="X200" i="1"/>
  <c r="X206" i="1"/>
  <c r="X208" i="1"/>
  <c r="X201" i="1"/>
  <c r="X190" i="1"/>
  <c r="X191" i="1"/>
  <c r="X209" i="1"/>
  <c r="X203" i="1"/>
  <c r="X195" i="1"/>
  <c r="AB95" i="1"/>
  <c r="AB111" i="1"/>
  <c r="AB167" i="1"/>
  <c r="AB164" i="1"/>
  <c r="AB160" i="1"/>
  <c r="AB97" i="1"/>
  <c r="AB152" i="1"/>
  <c r="AB171" i="1"/>
  <c r="AB106" i="1"/>
  <c r="AB102" i="1"/>
  <c r="AB98" i="1"/>
  <c r="AB94" i="1"/>
  <c r="AB90" i="1"/>
  <c r="AB109" i="1"/>
  <c r="AB166" i="1"/>
  <c r="AB162" i="1"/>
  <c r="AB158" i="1"/>
  <c r="AB155" i="1"/>
  <c r="AB151" i="1"/>
  <c r="AB170" i="1"/>
  <c r="AB108" i="1"/>
  <c r="AB104" i="1"/>
  <c r="AB100" i="1"/>
  <c r="AB157" i="1"/>
  <c r="AB93" i="1"/>
  <c r="AB112" i="1"/>
  <c r="AB169" i="1"/>
  <c r="AB165" i="1"/>
  <c r="AB161" i="1"/>
  <c r="AB153" i="1"/>
  <c r="AB172" i="1"/>
  <c r="AB107" i="1"/>
  <c r="AB103" i="1"/>
  <c r="AB99" i="1"/>
  <c r="AB92" i="1"/>
  <c r="AA112" i="1"/>
  <c r="Y112" i="1"/>
  <c r="X112" i="1"/>
  <c r="AA111" i="1"/>
  <c r="Y111" i="1"/>
  <c r="X111" i="1"/>
  <c r="AA109" i="1"/>
  <c r="AF109" i="1" s="1"/>
  <c r="Y109" i="1"/>
  <c r="X109" i="1"/>
  <c r="AA108" i="1"/>
  <c r="Y108" i="1"/>
  <c r="X108" i="1"/>
  <c r="AA107" i="1"/>
  <c r="Y107" i="1"/>
  <c r="X107" i="1"/>
  <c r="AA106" i="1"/>
  <c r="Y106" i="1"/>
  <c r="X106" i="1"/>
  <c r="AA104" i="1"/>
  <c r="AF104" i="1" s="1"/>
  <c r="Y104" i="1"/>
  <c r="X104" i="1"/>
  <c r="AA103" i="1"/>
  <c r="Y103" i="1"/>
  <c r="X103" i="1"/>
  <c r="AI114" i="1" l="1"/>
  <c r="AB210" i="1"/>
  <c r="AI113" i="1"/>
  <c r="AI95" i="1"/>
  <c r="AA102" i="1"/>
  <c r="AF102" i="1" s="1"/>
  <c r="Y102" i="1"/>
  <c r="X102" i="1"/>
  <c r="AA100" i="1"/>
  <c r="AF100" i="1" s="1"/>
  <c r="Y100" i="1"/>
  <c r="X100" i="1"/>
  <c r="AA99" i="1"/>
  <c r="AF99" i="1" s="1"/>
  <c r="Y99" i="1"/>
  <c r="X99" i="1"/>
  <c r="AA98" i="1"/>
  <c r="AF98" i="1" s="1"/>
  <c r="Y98" i="1"/>
  <c r="X98" i="1"/>
  <c r="AA97" i="1"/>
  <c r="AF97" i="1" s="1"/>
  <c r="Y97" i="1"/>
  <c r="X97" i="1"/>
  <c r="AA94" i="1"/>
  <c r="AF94" i="1" s="1"/>
  <c r="Y94" i="1"/>
  <c r="X94" i="1"/>
  <c r="AA93" i="1"/>
  <c r="Y93" i="1"/>
  <c r="X93" i="1"/>
  <c r="AA92" i="1"/>
  <c r="AF92" i="1" s="1"/>
  <c r="Y92" i="1"/>
  <c r="X92" i="1"/>
  <c r="AA90" i="1"/>
  <c r="AF90" i="1" s="1"/>
  <c r="Y90" i="1"/>
  <c r="X90" i="1"/>
  <c r="V184" i="1" l="1"/>
  <c r="S184" i="1"/>
  <c r="V185" i="1"/>
  <c r="T185" i="1"/>
  <c r="S185" i="1"/>
  <c r="V186" i="1"/>
  <c r="T186" i="1"/>
  <c r="S186" i="1"/>
  <c r="U188" i="1"/>
  <c r="U189" i="1"/>
  <c r="U190" i="1"/>
  <c r="U191" i="1"/>
  <c r="U193" i="1"/>
  <c r="U194" i="1"/>
  <c r="U195" i="1"/>
  <c r="U196" i="1"/>
  <c r="U198" i="1"/>
  <c r="U199" i="1"/>
  <c r="U200" i="1"/>
  <c r="U201" i="1"/>
  <c r="U203" i="1"/>
  <c r="U204" i="1"/>
  <c r="U205" i="1"/>
  <c r="U206" i="1"/>
  <c r="U208" i="1"/>
  <c r="U209" i="1"/>
  <c r="Z114" i="1"/>
  <c r="AC114" i="1" s="1"/>
  <c r="Z113" i="1"/>
  <c r="Z174" i="1" s="1"/>
  <c r="Z210" i="1" s="1"/>
  <c r="U172" i="1"/>
  <c r="U171" i="1"/>
  <c r="U170" i="1"/>
  <c r="U169" i="1"/>
  <c r="U167" i="1"/>
  <c r="AW166" i="1"/>
  <c r="U166" i="1"/>
  <c r="U165" i="1"/>
  <c r="U164" i="1"/>
  <c r="U162" i="1"/>
  <c r="U161" i="1"/>
  <c r="U160" i="1"/>
  <c r="U158" i="1"/>
  <c r="U157" i="1"/>
  <c r="AW156" i="1"/>
  <c r="Z95" i="1"/>
  <c r="Z156" i="1" s="1"/>
  <c r="U155" i="1"/>
  <c r="U153" i="1"/>
  <c r="AW152" i="1"/>
  <c r="U152" i="1"/>
  <c r="U151" i="1"/>
  <c r="AV150" i="1"/>
  <c r="AU150" i="1"/>
  <c r="AT150" i="1"/>
  <c r="AS150" i="1"/>
  <c r="AR150" i="1"/>
  <c r="AQ150" i="1"/>
  <c r="AP150" i="1"/>
  <c r="AB150" i="1"/>
  <c r="V150" i="1"/>
  <c r="T150" i="1"/>
  <c r="S150" i="1"/>
  <c r="AB148" i="1"/>
  <c r="AV148" i="1"/>
  <c r="AU148" i="1"/>
  <c r="AP148" i="1"/>
  <c r="V148" i="1"/>
  <c r="T148" i="1"/>
  <c r="S148" i="1"/>
  <c r="AA147" i="1"/>
  <c r="Z147" i="1"/>
  <c r="Y147" i="1"/>
  <c r="X147" i="1"/>
  <c r="AV147" i="1"/>
  <c r="AU147" i="1"/>
  <c r="AT147" i="1"/>
  <c r="AS147" i="1"/>
  <c r="AR147" i="1"/>
  <c r="AQ147" i="1"/>
  <c r="AP147" i="1"/>
  <c r="AB147" i="1"/>
  <c r="V147" i="1"/>
  <c r="T147" i="1"/>
  <c r="S147" i="1"/>
  <c r="AA184" i="1" l="1"/>
  <c r="U150" i="1"/>
  <c r="U148" i="1"/>
  <c r="U147" i="1"/>
  <c r="Z175" i="1"/>
  <c r="AC95" i="1"/>
  <c r="AC113" i="1"/>
  <c r="U185" i="1"/>
  <c r="U186" i="1"/>
  <c r="U184" i="1"/>
  <c r="Z184" i="1" s="1"/>
  <c r="AW153" i="1"/>
  <c r="AW164" i="1"/>
  <c r="AW148" i="1"/>
  <c r="AW161" i="1"/>
  <c r="AW171" i="1"/>
  <c r="AW167" i="1"/>
  <c r="AW151" i="1"/>
  <c r="AW157" i="1"/>
  <c r="AW147" i="1"/>
  <c r="AW155" i="1"/>
  <c r="AW165" i="1"/>
  <c r="AW158" i="1"/>
  <c r="AW169" i="1"/>
  <c r="AW150" i="1"/>
  <c r="AW162" i="1"/>
  <c r="AW172" i="1"/>
  <c r="AW160" i="1"/>
  <c r="AW170" i="1"/>
  <c r="V87" i="1" l="1"/>
  <c r="AA87" i="1" s="1"/>
  <c r="AF87" i="1" s="1"/>
  <c r="T87" i="1"/>
  <c r="Y87" i="1" s="1"/>
  <c r="S87" i="1"/>
  <c r="X87" i="1" s="1"/>
  <c r="U87" i="1" l="1"/>
  <c r="Z87" i="1" s="1"/>
  <c r="AC87" i="1" s="1"/>
  <c r="X161" i="1"/>
  <c r="U112" i="1"/>
  <c r="Z112" i="1" s="1"/>
  <c r="AC112" i="1" s="1"/>
  <c r="U111" i="1"/>
  <c r="Z111" i="1" s="1"/>
  <c r="AC111" i="1" s="1"/>
  <c r="U103" i="1"/>
  <c r="Z103" i="1" s="1"/>
  <c r="AC103" i="1" s="1"/>
  <c r="Y161" i="1"/>
  <c r="U100" i="1"/>
  <c r="Z100" i="1" s="1"/>
  <c r="AC100" i="1" s="1"/>
  <c r="U90" i="1"/>
  <c r="Z90" i="1" s="1"/>
  <c r="AC90" i="1" s="1"/>
  <c r="V89" i="1"/>
  <c r="AA89" i="1" s="1"/>
  <c r="AF89" i="1" s="1"/>
  <c r="T89" i="1"/>
  <c r="Y89" i="1" s="1"/>
  <c r="S89" i="1"/>
  <c r="V88" i="1"/>
  <c r="AA88" i="1" s="1"/>
  <c r="T88" i="1"/>
  <c r="Y88" i="1" s="1"/>
  <c r="S88" i="1"/>
  <c r="U89" i="1" l="1"/>
  <c r="Z89" i="1" s="1"/>
  <c r="AC89" i="1" s="1"/>
  <c r="X89" i="1"/>
  <c r="U88" i="1"/>
  <c r="Z88" i="1" s="1"/>
  <c r="AC88" i="1" s="1"/>
  <c r="X88" i="1"/>
  <c r="Y171" i="1"/>
  <c r="Y170" i="1"/>
  <c r="AA171" i="1"/>
  <c r="AA208" i="1" s="1"/>
  <c r="AA169" i="1"/>
  <c r="AA205" i="1" s="1"/>
  <c r="Y166" i="1"/>
  <c r="Y162" i="1"/>
  <c r="AA160" i="1"/>
  <c r="AA196" i="1" s="1"/>
  <c r="Y152" i="1"/>
  <c r="AA153" i="1"/>
  <c r="AA190" i="1" s="1"/>
  <c r="Y151" i="1"/>
  <c r="Y148" i="1"/>
  <c r="AA150" i="1"/>
  <c r="AA186" i="1" s="1"/>
  <c r="AA158" i="1"/>
  <c r="AA195" i="1" s="1"/>
  <c r="U93" i="1"/>
  <c r="Z93" i="1" s="1"/>
  <c r="AC93" i="1" s="1"/>
  <c r="U99" i="1"/>
  <c r="Z99" i="1" s="1"/>
  <c r="AC99" i="1" s="1"/>
  <c r="U102" i="1"/>
  <c r="Z102" i="1" s="1"/>
  <c r="AC102" i="1" s="1"/>
  <c r="U106" i="1"/>
  <c r="Z106" i="1" s="1"/>
  <c r="AC106" i="1" s="1"/>
  <c r="U98" i="1"/>
  <c r="U107" i="1"/>
  <c r="Z107" i="1" s="1"/>
  <c r="AC107" i="1" s="1"/>
  <c r="Y158" i="1"/>
  <c r="U108" i="1"/>
  <c r="Z108" i="1" s="1"/>
  <c r="AC108" i="1" s="1"/>
  <c r="X158" i="1"/>
  <c r="U92" i="1"/>
  <c r="Z92" i="1" s="1"/>
  <c r="AC92" i="1" s="1"/>
  <c r="U97" i="1"/>
  <c r="Z97" i="1" s="1"/>
  <c r="AC97" i="1" s="1"/>
  <c r="U109" i="1"/>
  <c r="Z109" i="1" s="1"/>
  <c r="AC109" i="1" s="1"/>
  <c r="U94" i="1"/>
  <c r="Z94" i="1" s="1"/>
  <c r="AC94" i="1" s="1"/>
  <c r="U104" i="1"/>
  <c r="Z104" i="1" s="1"/>
  <c r="AC104" i="1" s="1"/>
  <c r="N22" i="1"/>
  <c r="N19" i="1"/>
  <c r="J19" i="1"/>
  <c r="Z98" i="1" l="1"/>
  <c r="AC98" i="1" s="1"/>
  <c r="X172" i="1"/>
  <c r="AA172" i="1"/>
  <c r="AA209" i="1" s="1"/>
  <c r="Y172" i="1"/>
  <c r="X171" i="1"/>
  <c r="Z171" i="1"/>
  <c r="Z208" i="1" s="1"/>
  <c r="Z172" i="1"/>
  <c r="Z209" i="1" s="1"/>
  <c r="X170" i="1"/>
  <c r="Z170" i="1"/>
  <c r="Z169" i="1"/>
  <c r="Z205" i="1" s="1"/>
  <c r="Y169" i="1"/>
  <c r="X169" i="1"/>
  <c r="AA170" i="1"/>
  <c r="AA206" i="1" s="1"/>
  <c r="Y167" i="1"/>
  <c r="X167" i="1"/>
  <c r="Z167" i="1"/>
  <c r="Z204" i="1" s="1"/>
  <c r="Z166" i="1"/>
  <c r="Z203" i="1" s="1"/>
  <c r="X166" i="1"/>
  <c r="AA167" i="1"/>
  <c r="AA204" i="1" s="1"/>
  <c r="Z165" i="1"/>
  <c r="Z201" i="1" s="1"/>
  <c r="X165" i="1"/>
  <c r="Y165" i="1"/>
  <c r="AA166" i="1"/>
  <c r="AA203" i="1" s="1"/>
  <c r="Z164" i="1"/>
  <c r="Z200" i="1" s="1"/>
  <c r="Y164" i="1"/>
  <c r="X164" i="1"/>
  <c r="AA165" i="1"/>
  <c r="AA201" i="1" s="1"/>
  <c r="X162" i="1"/>
  <c r="AA164" i="1"/>
  <c r="AA200" i="1" s="1"/>
  <c r="AA162" i="1"/>
  <c r="AA199" i="1" s="1"/>
  <c r="Z162" i="1"/>
  <c r="Z199" i="1" s="1"/>
  <c r="Z160" i="1"/>
  <c r="Z196" i="1" s="1"/>
  <c r="Y160" i="1"/>
  <c r="X160" i="1"/>
  <c r="AA161" i="1"/>
  <c r="AA198" i="1" s="1"/>
  <c r="Z161" i="1"/>
  <c r="Z198" i="1" s="1"/>
  <c r="Y157" i="1"/>
  <c r="Z157" i="1"/>
  <c r="Z194" i="1" s="1"/>
  <c r="X157" i="1"/>
  <c r="Z193" i="1"/>
  <c r="AA193" i="1"/>
  <c r="AA157" i="1"/>
  <c r="AA194" i="1" s="1"/>
  <c r="X155" i="1"/>
  <c r="Z155" i="1"/>
  <c r="Z191" i="1" s="1"/>
  <c r="Y155" i="1"/>
  <c r="X153" i="1"/>
  <c r="Y153" i="1"/>
  <c r="AA155" i="1"/>
  <c r="AA191" i="1" s="1"/>
  <c r="X152" i="1"/>
  <c r="Z152" i="1"/>
  <c r="Z189" i="1" s="1"/>
  <c r="Z153" i="1"/>
  <c r="Z190" i="1" s="1"/>
  <c r="Z151" i="1"/>
  <c r="Z188" i="1" s="1"/>
  <c r="X151" i="1"/>
  <c r="AA152" i="1"/>
  <c r="AA189" i="1" s="1"/>
  <c r="X150" i="1"/>
  <c r="Y150" i="1"/>
  <c r="AA151" i="1"/>
  <c r="AA188" i="1" s="1"/>
  <c r="X148" i="1"/>
  <c r="Z150" i="1"/>
  <c r="Z186" i="1" s="1"/>
  <c r="Z148" i="1"/>
  <c r="Z185" i="1" s="1"/>
  <c r="AA148" i="1"/>
  <c r="AA185" i="1" s="1"/>
  <c r="Z206" i="1" l="1"/>
  <c r="Z158" i="1"/>
  <c r="Z195" i="1" s="1"/>
  <c r="S54" i="1"/>
  <c r="X184" i="1" l="1"/>
  <c r="X185" i="1"/>
  <c r="AB193" i="1"/>
  <c r="X186" i="1"/>
  <c r="AB196" i="1" l="1"/>
  <c r="AB195" i="1"/>
  <c r="AB206" i="1"/>
  <c r="AB199" i="1"/>
  <c r="AB201" i="1"/>
  <c r="AB198" i="1"/>
  <c r="AB204" i="1"/>
  <c r="AB208" i="1"/>
  <c r="AB188" i="1"/>
  <c r="AB200" i="1"/>
  <c r="AB189" i="1"/>
  <c r="AB191" i="1"/>
  <c r="AB205" i="1"/>
  <c r="AB185" i="1"/>
  <c r="AB186" i="1"/>
  <c r="AB190" i="1"/>
  <c r="AB209" i="1"/>
  <c r="AI112" i="1"/>
  <c r="AB203" i="1"/>
  <c r="AB184" i="1"/>
  <c r="AB194" i="1"/>
  <c r="AB87" i="1" l="1"/>
  <c r="AI87" i="1" s="1"/>
  <c r="AI107" i="1"/>
  <c r="AI94" i="1"/>
  <c r="AI109" i="1"/>
  <c r="AB88" i="1"/>
  <c r="AI88" i="1" s="1"/>
  <c r="AI106" i="1"/>
  <c r="AI97" i="1"/>
  <c r="AB89" i="1"/>
  <c r="AI89" i="1" s="1"/>
  <c r="AI108" i="1"/>
  <c r="AI102" i="1"/>
  <c r="AI99" i="1"/>
  <c r="AI93" i="1"/>
  <c r="AI111" i="1"/>
  <c r="AI90" i="1"/>
  <c r="AI104" i="1"/>
  <c r="AI100" i="1"/>
  <c r="AI98" i="1"/>
  <c r="AI92" i="1"/>
  <c r="AI103" i="1"/>
</calcChain>
</file>

<file path=xl/sharedStrings.xml><?xml version="1.0" encoding="utf-8"?>
<sst xmlns="http://schemas.openxmlformats.org/spreadsheetml/2006/main" count="478" uniqueCount="276">
  <si>
    <t>보조</t>
  </si>
  <si>
    <t>당직</t>
  </si>
  <si>
    <t>일자</t>
  </si>
  <si>
    <t>기타</t>
    <phoneticPr fontId="3" type="noConversion"/>
  </si>
  <si>
    <t>사업/단체</t>
    <phoneticPr fontId="3" type="noConversion"/>
  </si>
  <si>
    <t>구분/과정</t>
    <phoneticPr fontId="3" type="noConversion"/>
  </si>
  <si>
    <t>학년/인원</t>
    <phoneticPr fontId="3" type="noConversion"/>
  </si>
  <si>
    <t>보조</t>
    <phoneticPr fontId="3" type="noConversion"/>
  </si>
  <si>
    <t>근무</t>
    <phoneticPr fontId="3" type="noConversion"/>
  </si>
  <si>
    <t>야근</t>
    <phoneticPr fontId="3" type="noConversion"/>
  </si>
  <si>
    <t>담당</t>
  </si>
  <si>
    <t>강의/출장</t>
    <phoneticPr fontId="3" type="noConversion"/>
  </si>
  <si>
    <t>준범</t>
  </si>
  <si>
    <t>효동</t>
  </si>
  <si>
    <t>최근</t>
  </si>
  <si>
    <t>상록</t>
  </si>
  <si>
    <t>신우</t>
  </si>
  <si>
    <t>다운</t>
  </si>
  <si>
    <t>지성</t>
  </si>
  <si>
    <t>용철</t>
  </si>
  <si>
    <t>윤호</t>
  </si>
  <si>
    <t>지현</t>
  </si>
  <si>
    <t>정은</t>
  </si>
  <si>
    <t>형민</t>
  </si>
  <si>
    <t>장비</t>
    <phoneticPr fontId="3" type="noConversion"/>
  </si>
  <si>
    <t>담당</t>
    <phoneticPr fontId="3" type="noConversion"/>
  </si>
  <si>
    <t>전</t>
    <phoneticPr fontId="3" type="noConversion"/>
  </si>
  <si>
    <t>월요일-금요일 통합</t>
    <phoneticPr fontId="3" type="noConversion"/>
  </si>
  <si>
    <t>7일 통합</t>
    <phoneticPr fontId="3" type="noConversion"/>
  </si>
  <si>
    <t>보조</t>
    <phoneticPr fontId="3" type="noConversion"/>
  </si>
  <si>
    <t>야근</t>
    <phoneticPr fontId="3" type="noConversion"/>
  </si>
  <si>
    <t>근무</t>
    <phoneticPr fontId="3" type="noConversion"/>
  </si>
  <si>
    <t>장소</t>
    <phoneticPr fontId="3" type="noConversion"/>
  </si>
  <si>
    <t>담당</t>
    <phoneticPr fontId="3" type="noConversion"/>
  </si>
  <si>
    <t>REV: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</si>
  <si>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</si>
  <si>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</si>
  <si>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</si>
  <si>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</si>
  <si>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</si>
  <si>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</si>
  <si>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</si>
  <si>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횟수</t>
    <phoneticPr fontId="3" type="noConversion"/>
  </si>
  <si>
    <t>분류</t>
    <phoneticPr fontId="3" type="noConversion"/>
  </si>
  <si>
    <t>사업 및 단체명</t>
    <phoneticPr fontId="3" type="noConversion"/>
  </si>
  <si>
    <t>인원</t>
    <phoneticPr fontId="3" type="noConversion"/>
  </si>
  <si>
    <t>일시</t>
    <phoneticPr fontId="3" type="noConversion"/>
  </si>
  <si>
    <t>일수</t>
    <phoneticPr fontId="3" type="noConversion"/>
  </si>
  <si>
    <t>총인원</t>
    <phoneticPr fontId="3" type="noConversion"/>
  </si>
  <si>
    <t>순인원</t>
    <phoneticPr fontId="3" type="noConversion"/>
  </si>
  <si>
    <t>연인원</t>
    <phoneticPr fontId="3" type="noConversion"/>
  </si>
  <si>
    <t>09:15~09:50</t>
    <phoneticPr fontId="3" type="noConversion"/>
  </si>
  <si>
    <t>지도자
 안전교육
참석자</t>
    <phoneticPr fontId="3" type="noConversion"/>
  </si>
  <si>
    <t>지도자       안전교육  내용</t>
    <phoneticPr fontId="3" type="noConversion"/>
  </si>
  <si>
    <t>응급후송체계 숙지</t>
    <phoneticPr fontId="3" type="noConversion"/>
  </si>
  <si>
    <t>당직근무 철저</t>
    <phoneticPr fontId="3" type="noConversion"/>
  </si>
  <si>
    <t>프로그램 전후 인솔 철저</t>
    <phoneticPr fontId="3" type="noConversion"/>
  </si>
  <si>
    <t>참가자      안전교육     내용</t>
    <phoneticPr fontId="8" type="noConversion"/>
  </si>
  <si>
    <t>화재, 방호, 천재지변 등 비상시 대처 요령 교육 및 비상대피로 안내</t>
    <phoneticPr fontId="8" type="noConversion"/>
  </si>
  <si>
    <t>성희롱, 성폭력 방지 예방 교육 및 수호천사제도 안내</t>
    <phoneticPr fontId="8" type="noConversion"/>
  </si>
  <si>
    <t>각 프로그램별 사전 안전교육 실시</t>
    <phoneticPr fontId="8" type="noConversion"/>
  </si>
  <si>
    <t>중점업무     사항</t>
    <phoneticPr fontId="3" type="noConversion"/>
  </si>
  <si>
    <t>교육/세미나</t>
    <phoneticPr fontId="3" type="noConversion"/>
  </si>
  <si>
    <t>학년/인원</t>
    <phoneticPr fontId="3" type="noConversion"/>
  </si>
  <si>
    <t>안전교육</t>
    <phoneticPr fontId="3" type="noConversion"/>
  </si>
  <si>
    <t>입퇴소보조</t>
    <phoneticPr fontId="3" type="noConversion"/>
  </si>
  <si>
    <t>특이사항</t>
    <phoneticPr fontId="3" type="noConversion"/>
  </si>
  <si>
    <t>15:30~17:40</t>
    <phoneticPr fontId="3" type="noConversion"/>
  </si>
  <si>
    <t>비고/장소</t>
    <phoneticPr fontId="3" type="noConversion"/>
  </si>
  <si>
    <t>19:00~20:30</t>
    <phoneticPr fontId="3" type="noConversion"/>
  </si>
  <si>
    <t>13:10~15:20</t>
    <phoneticPr fontId="3" type="noConversion"/>
  </si>
  <si>
    <t>///</t>
    <phoneticPr fontId="3" type="noConversion"/>
  </si>
  <si>
    <t>성진</t>
  </si>
  <si>
    <t>종섭</t>
  </si>
  <si>
    <t>상은</t>
  </si>
  <si>
    <t>태우</t>
  </si>
  <si>
    <t>훈</t>
  </si>
  <si>
    <t>누리</t>
  </si>
  <si>
    <t>성진</t>
    <phoneticPr fontId="3" type="noConversion"/>
  </si>
  <si>
    <t>종섭</t>
    <phoneticPr fontId="3" type="noConversion"/>
  </si>
  <si>
    <t>원석</t>
    <phoneticPr fontId="3" type="noConversion"/>
  </si>
  <si>
    <t>원석</t>
  </si>
  <si>
    <t>휴일</t>
    <phoneticPr fontId="3" type="noConversion"/>
  </si>
  <si>
    <t>보조</t>
    <phoneticPr fontId="3" type="noConversion"/>
  </si>
  <si>
    <t>근무</t>
    <phoneticPr fontId="3" type="noConversion"/>
  </si>
  <si>
    <t>야근</t>
    <phoneticPr fontId="3" type="noConversion"/>
  </si>
  <si>
    <t>T</t>
    <phoneticPr fontId="3" type="noConversion"/>
  </si>
  <si>
    <t>T</t>
    <phoneticPr fontId="3" type="noConversion"/>
  </si>
  <si>
    <t>미소</t>
  </si>
  <si>
    <t>칸위치 변경하지 말 것</t>
    <phoneticPr fontId="3" type="noConversion"/>
  </si>
  <si>
    <t>후</t>
    <phoneticPr fontId="3" type="noConversion"/>
  </si>
  <si>
    <t>담당</t>
    <phoneticPr fontId="3" type="noConversion"/>
  </si>
  <si>
    <t>보조</t>
    <phoneticPr fontId="3" type="noConversion"/>
  </si>
  <si>
    <t>근무</t>
    <phoneticPr fontId="3" type="noConversion"/>
  </si>
  <si>
    <t>야근</t>
    <phoneticPr fontId="3" type="noConversion"/>
  </si>
  <si>
    <t>월요일-금요일 통합</t>
    <phoneticPr fontId="3" type="noConversion"/>
  </si>
  <si>
    <t>장비</t>
    <phoneticPr fontId="3" type="noConversion"/>
  </si>
  <si>
    <t>소희</t>
  </si>
  <si>
    <t>안전교육</t>
    <phoneticPr fontId="3" type="noConversion"/>
  </si>
  <si>
    <t>방송</t>
    <phoneticPr fontId="3" type="noConversion"/>
  </si>
  <si>
    <t>슬비</t>
    <phoneticPr fontId="3" type="noConversion"/>
  </si>
  <si>
    <t>현동</t>
    <phoneticPr fontId="3" type="noConversion"/>
  </si>
  <si>
    <t>현동</t>
    <phoneticPr fontId="3" type="noConversion"/>
  </si>
  <si>
    <t>슬비</t>
    <phoneticPr fontId="3" type="noConversion"/>
  </si>
  <si>
    <t>사업/단체</t>
    <phoneticPr fontId="3" type="noConversion"/>
  </si>
  <si>
    <t>안전/체온</t>
    <phoneticPr fontId="3" type="noConversion"/>
  </si>
  <si>
    <t>체온측정</t>
    <phoneticPr fontId="3" type="noConversion"/>
  </si>
  <si>
    <t>김다운/신용철/하지성/유지현/김정은/김태우/정 훈/최누리/배준범/이슬비/장현동/</t>
    <phoneticPr fontId="3" type="noConversion"/>
  </si>
  <si>
    <t>2020년 10월 4주 우주활동부 운영계획</t>
    <phoneticPr fontId="3" type="noConversion"/>
  </si>
  <si>
    <t>2020. 10.19. ~ 10. 25.</t>
    <phoneticPr fontId="3" type="noConversion"/>
  </si>
  <si>
    <t>사회배려</t>
    <phoneticPr fontId="3" type="noConversion"/>
  </si>
  <si>
    <t>10.20.</t>
    <phoneticPr fontId="3" type="noConversion"/>
  </si>
  <si>
    <t>찾아가는 유니버스_나주 중앙초등학교</t>
    <phoneticPr fontId="3" type="noConversion"/>
  </si>
  <si>
    <t>찾아가는 유니버스_담양 한재중학교</t>
    <phoneticPr fontId="3" type="noConversion"/>
  </si>
  <si>
    <t>당일체험</t>
    <phoneticPr fontId="3" type="noConversion"/>
  </si>
  <si>
    <t>당일체험_광양 백운고등학교</t>
    <phoneticPr fontId="3" type="noConversion"/>
  </si>
  <si>
    <t>당일체험_여수 여도초</t>
    <phoneticPr fontId="3" type="noConversion"/>
  </si>
  <si>
    <t>10.22.</t>
    <phoneticPr fontId="3" type="noConversion"/>
  </si>
  <si>
    <t>10.23.</t>
    <phoneticPr fontId="3" type="noConversion"/>
  </si>
  <si>
    <t>사회배려</t>
    <phoneticPr fontId="3" type="noConversion"/>
  </si>
  <si>
    <t>순천시청소년상담복지센터 가족캠프</t>
    <phoneticPr fontId="3" type="noConversion"/>
  </si>
  <si>
    <t>10.23.~25.</t>
    <phoneticPr fontId="3" type="noConversion"/>
  </si>
  <si>
    <t>2020.10.19.</t>
    <phoneticPr fontId="3" type="noConversion"/>
  </si>
  <si>
    <t>강원석/안성진/정종섭/정상은/이효동/오최근/이상록/정신우/김소희/</t>
    <phoneticPr fontId="3" type="noConversion"/>
  </si>
  <si>
    <t>코로나19 감염 예방을 위한 생활방역 지침 준수</t>
    <phoneticPr fontId="3" type="noConversion"/>
  </si>
  <si>
    <t>10.20.(화)</t>
    <phoneticPr fontId="3" type="noConversion"/>
  </si>
  <si>
    <t>봉규</t>
    <phoneticPr fontId="3" type="noConversion"/>
  </si>
  <si>
    <t>태우</t>
    <phoneticPr fontId="3" type="noConversion"/>
  </si>
  <si>
    <t>상은</t>
    <phoneticPr fontId="3" type="noConversion"/>
  </si>
  <si>
    <t>10.23.(금)</t>
    <phoneticPr fontId="3" type="noConversion"/>
  </si>
  <si>
    <t>10.24.(토)</t>
    <phoneticPr fontId="3" type="noConversion"/>
  </si>
  <si>
    <t>10.25.(일)</t>
    <phoneticPr fontId="3" type="noConversion"/>
  </si>
  <si>
    <t>10.22(목)</t>
    <phoneticPr fontId="3" type="noConversion"/>
  </si>
  <si>
    <t>순천시청소년상담복지센터</t>
    <phoneticPr fontId="3" type="noConversion"/>
  </si>
  <si>
    <t>달 표면 걷기</t>
    <phoneticPr fontId="3" type="noConversion"/>
  </si>
  <si>
    <t>천체투영관에서 본 하늘</t>
    <phoneticPr fontId="3" type="noConversion"/>
  </si>
  <si>
    <t>담당:</t>
    <phoneticPr fontId="3" type="noConversion"/>
  </si>
  <si>
    <t>37명</t>
    <phoneticPr fontId="3" type="noConversion"/>
  </si>
  <si>
    <t xml:space="preserve">가족24명,인솔7명, 멘토6명 </t>
    <phoneticPr fontId="3" type="noConversion"/>
  </si>
  <si>
    <t>둥근세상만들기캠프</t>
    <phoneticPr fontId="3" type="noConversion"/>
  </si>
  <si>
    <t>30명</t>
    <phoneticPr fontId="3" type="noConversion"/>
  </si>
  <si>
    <t>09:00~10:30</t>
    <phoneticPr fontId="3" type="noConversion"/>
  </si>
  <si>
    <t>회전하는 물체 그리고 공전</t>
    <phoneticPr fontId="3" type="noConversion"/>
  </si>
  <si>
    <t>대기비행의 원리와 종이비행기</t>
    <phoneticPr fontId="3" type="noConversion"/>
  </si>
  <si>
    <t>천체투영관</t>
    <phoneticPr fontId="3" type="noConversion"/>
  </si>
  <si>
    <t>자체진행</t>
    <phoneticPr fontId="3" type="noConversion"/>
  </si>
  <si>
    <t>찾아가는/나주 중앙초등학교 90명</t>
    <phoneticPr fontId="3" type="noConversion"/>
  </si>
  <si>
    <t>10:40~12:00</t>
    <phoneticPr fontId="3" type="noConversion"/>
  </si>
  <si>
    <t>대기비행의 안전성과 폼로켓</t>
    <phoneticPr fontId="3" type="noConversion"/>
  </si>
  <si>
    <t>여수여도초등학교/96명, 인솔 5명</t>
    <phoneticPr fontId="3" type="noConversion"/>
  </si>
  <si>
    <t>B(48명)</t>
    <phoneticPr fontId="3" type="noConversion"/>
  </si>
  <si>
    <t xml:space="preserve"> A(48명)</t>
    <phoneticPr fontId="3" type="noConversion"/>
  </si>
  <si>
    <t>14:20~15:20</t>
    <phoneticPr fontId="3" type="noConversion"/>
  </si>
  <si>
    <t>15:30~16:30</t>
    <phoneticPr fontId="3" type="noConversion"/>
  </si>
  <si>
    <t>16:40~17:40</t>
    <phoneticPr fontId="3" type="noConversion"/>
  </si>
  <si>
    <t>///</t>
    <phoneticPr fontId="3" type="noConversion"/>
  </si>
  <si>
    <t>비고/장소</t>
    <phoneticPr fontId="3" type="noConversion"/>
  </si>
  <si>
    <t>방탈출</t>
    <phoneticPr fontId="3" type="noConversion"/>
  </si>
  <si>
    <t>도전 골든별</t>
    <phoneticPr fontId="3" type="noConversion"/>
  </si>
  <si>
    <t>찾길바래! 빛의방향</t>
    <phoneticPr fontId="3" type="noConversion"/>
  </si>
  <si>
    <t>대기비행의 안전성과 폼로켓</t>
    <phoneticPr fontId="3" type="noConversion"/>
  </si>
  <si>
    <t>세미나실, 팀미팅룸, 위블</t>
    <phoneticPr fontId="3" type="noConversion"/>
  </si>
  <si>
    <t>균형잡기와 우주인 흔련</t>
    <phoneticPr fontId="3" type="noConversion"/>
  </si>
  <si>
    <t>지현</t>
    <phoneticPr fontId="3" type="noConversion"/>
  </si>
  <si>
    <t>지현</t>
    <phoneticPr fontId="3" type="noConversion"/>
  </si>
  <si>
    <t>준범</t>
    <phoneticPr fontId="3" type="noConversion"/>
  </si>
  <si>
    <t>소희 현동</t>
    <phoneticPr fontId="3" type="noConversion"/>
  </si>
  <si>
    <t>소희 현동</t>
    <phoneticPr fontId="3" type="noConversion"/>
  </si>
  <si>
    <t>미소</t>
    <phoneticPr fontId="3" type="noConversion"/>
  </si>
  <si>
    <t>정은</t>
    <phoneticPr fontId="3" type="noConversion"/>
  </si>
  <si>
    <t>누리</t>
    <phoneticPr fontId="3" type="noConversion"/>
  </si>
  <si>
    <t>상은</t>
    <phoneticPr fontId="3" type="noConversion"/>
  </si>
  <si>
    <t>대관</t>
    <phoneticPr fontId="3" type="noConversion"/>
  </si>
  <si>
    <t>당일</t>
    <phoneticPr fontId="3" type="noConversion"/>
  </si>
  <si>
    <t>찾아</t>
    <phoneticPr fontId="3" type="noConversion"/>
  </si>
  <si>
    <t>둥근</t>
    <phoneticPr fontId="3" type="noConversion"/>
  </si>
  <si>
    <t>학단</t>
    <phoneticPr fontId="3" type="noConversion"/>
  </si>
  <si>
    <t>달표면 걷기(고1)</t>
    <phoneticPr fontId="3" type="noConversion"/>
  </si>
  <si>
    <t>당일체험/광양백운고</t>
    <phoneticPr fontId="3" type="noConversion"/>
  </si>
  <si>
    <t>60명,고1(30명) 고2(30명)</t>
    <phoneticPr fontId="3" type="noConversion"/>
  </si>
  <si>
    <t>사업/단체</t>
    <phoneticPr fontId="3" type="noConversion"/>
  </si>
  <si>
    <t>찾아가는/담양한재중학교</t>
    <phoneticPr fontId="3" type="noConversion"/>
  </si>
  <si>
    <t>학년/인원</t>
    <phoneticPr fontId="3" type="noConversion"/>
  </si>
  <si>
    <t>중1/32명</t>
    <phoneticPr fontId="3" type="noConversion"/>
  </si>
  <si>
    <t>세미나실</t>
    <phoneticPr fontId="3" type="noConversion"/>
  </si>
  <si>
    <t>팀미팅룸</t>
    <phoneticPr fontId="3" type="noConversion"/>
  </si>
  <si>
    <t>09:30~11:30</t>
    <phoneticPr fontId="3" type="noConversion"/>
  </si>
  <si>
    <t>회전하는 물체 그리고 공전</t>
    <phoneticPr fontId="3" type="noConversion"/>
  </si>
  <si>
    <t>균형잡기와 우주인 흔련</t>
    <phoneticPr fontId="3" type="noConversion"/>
  </si>
  <si>
    <t>달표면 걷기</t>
    <phoneticPr fontId="3" type="noConversion"/>
  </si>
  <si>
    <t>비고/장소</t>
    <phoneticPr fontId="3" type="noConversion"/>
  </si>
  <si>
    <t>세미나실</t>
    <phoneticPr fontId="3" type="noConversion"/>
  </si>
  <si>
    <t>11:40~12:40</t>
    <phoneticPr fontId="3" type="noConversion"/>
  </si>
  <si>
    <t>대기비행의 원리와 종이비행기</t>
    <phoneticPr fontId="3" type="noConversion"/>
  </si>
  <si>
    <t>대기비행의 안전성과 폼로켓</t>
    <phoneticPr fontId="3" type="noConversion"/>
  </si>
  <si>
    <t>천체투영관에서 본 하늘</t>
    <phoneticPr fontId="3" type="noConversion"/>
  </si>
  <si>
    <t>천체투영관</t>
    <phoneticPr fontId="3" type="noConversion"/>
  </si>
  <si>
    <t>상은</t>
    <phoneticPr fontId="3" type="noConversion"/>
  </si>
  <si>
    <t>효동</t>
    <phoneticPr fontId="3" type="noConversion"/>
  </si>
  <si>
    <t>상록</t>
    <phoneticPr fontId="3" type="noConversion"/>
  </si>
  <si>
    <t>용철</t>
    <phoneticPr fontId="3" type="noConversion"/>
  </si>
  <si>
    <t>미소</t>
    <phoneticPr fontId="3" type="noConversion"/>
  </si>
  <si>
    <t>태우</t>
    <phoneticPr fontId="3" type="noConversion"/>
  </si>
  <si>
    <t>훈</t>
    <phoneticPr fontId="3" type="noConversion"/>
  </si>
  <si>
    <t>지성</t>
    <phoneticPr fontId="3" type="noConversion"/>
  </si>
  <si>
    <t>소희</t>
    <phoneticPr fontId="3" type="noConversion"/>
  </si>
  <si>
    <t>13:10~14:10</t>
    <phoneticPr fontId="3" type="noConversion"/>
  </si>
  <si>
    <t>신우</t>
    <phoneticPr fontId="3" type="noConversion"/>
  </si>
  <si>
    <t>태우 성진 #효동</t>
    <phoneticPr fontId="3" type="noConversion"/>
  </si>
  <si>
    <t>현동 용철 #상록</t>
    <phoneticPr fontId="3" type="noConversion"/>
  </si>
  <si>
    <t>담당: 흔</t>
    <phoneticPr fontId="3" type="noConversion"/>
  </si>
  <si>
    <t>담당: 누.리</t>
    <phoneticPr fontId="3" type="noConversion"/>
  </si>
  <si>
    <t>담당: 상.은 준.범</t>
    <phoneticPr fontId="3" type="noConversion"/>
  </si>
  <si>
    <t>휴일근무(토)</t>
    <phoneticPr fontId="3" type="noConversion"/>
  </si>
  <si>
    <t>12:30~18:00/5h</t>
    <phoneticPr fontId="3" type="noConversion"/>
  </si>
  <si>
    <t>지.현 준.범 소.희 현.동</t>
    <phoneticPr fontId="3" type="noConversion"/>
  </si>
  <si>
    <t>담당: 훈</t>
    <phoneticPr fontId="3" type="noConversion"/>
  </si>
  <si>
    <t>체온측정: 4명</t>
    <phoneticPr fontId="3" type="noConversion"/>
  </si>
  <si>
    <t>방역</t>
    <phoneticPr fontId="3" type="noConversion"/>
  </si>
  <si>
    <t>팀미팅룸: 운영 팀</t>
    <phoneticPr fontId="3" type="noConversion"/>
  </si>
  <si>
    <t>천체투영관: 23일오전(4명)</t>
    <phoneticPr fontId="3" type="noConversion"/>
  </si>
  <si>
    <t>참가자 선택부스형 운영/10.24./순천시청소년상담복지센터/37명</t>
    <phoneticPr fontId="3" type="noConversion"/>
  </si>
  <si>
    <t>찾아가는 유니버스/10.22./담양한재중/32명/상록,효동</t>
    <phoneticPr fontId="3" type="noConversion"/>
  </si>
  <si>
    <t>찾아가는 유니버스/10.20./나주중앙초/90명/신우,상록,용철,태우,훈,지성</t>
    <phoneticPr fontId="3" type="noConversion"/>
  </si>
  <si>
    <t>휴일근무(일)</t>
    <phoneticPr fontId="3" type="noConversion"/>
  </si>
  <si>
    <t>10.19.(월)~20.(화) 빛의 속임수 트러스 분해(준범 외)</t>
    <phoneticPr fontId="3" type="noConversion"/>
  </si>
  <si>
    <t>10.21.(수) 10주년 비전워크숍(전사)</t>
    <phoneticPr fontId="3" type="noConversion"/>
  </si>
  <si>
    <t>10.19.(월) 평가회의 10:00~(프로그램 및 소모품 관련)</t>
    <phoneticPr fontId="3" type="noConversion"/>
  </si>
  <si>
    <t>누.리</t>
    <phoneticPr fontId="3" type="noConversion"/>
  </si>
  <si>
    <t>09:00~18:00/8h 최.근</t>
    <phoneticPr fontId="3" type="noConversion"/>
  </si>
  <si>
    <t>11:00~18:00/6.5h 누.리</t>
    <phoneticPr fontId="3" type="noConversion"/>
  </si>
  <si>
    <t>08:30~11:30/3h</t>
    <phoneticPr fontId="3" type="noConversion"/>
  </si>
  <si>
    <t xml:space="preserve">3D교육컨텐츠 제작/10.22./준범/ 중앙/손정아, 전우진 </t>
    <phoneticPr fontId="3" type="noConversion"/>
  </si>
  <si>
    <t>초4~6학년/37명</t>
    <phoneticPr fontId="3" type="noConversion"/>
  </si>
  <si>
    <t>식사 후 퇴소</t>
    <phoneticPr fontId="3" type="noConversion"/>
  </si>
  <si>
    <t>10주년 비전 워크숍/10.21/세미나실/</t>
    <phoneticPr fontId="3" type="noConversion"/>
  </si>
  <si>
    <t>09:00~</t>
    <phoneticPr fontId="3" type="noConversion"/>
  </si>
  <si>
    <t>실험실</t>
    <phoneticPr fontId="3" type="noConversion"/>
  </si>
  <si>
    <t>위성블럭실</t>
    <phoneticPr fontId="3" type="noConversion"/>
  </si>
  <si>
    <t>3층 체험관 4D</t>
    <phoneticPr fontId="3" type="noConversion"/>
  </si>
  <si>
    <t>로비</t>
    <phoneticPr fontId="3" type="noConversion"/>
  </si>
  <si>
    <t>부스지원: 최.근 지.성</t>
    <phoneticPr fontId="3" type="noConversion"/>
  </si>
  <si>
    <t xml:space="preserve"> 14:30~15:30</t>
    <phoneticPr fontId="3" type="noConversion"/>
  </si>
  <si>
    <t>방송, 식사안내: 상은</t>
    <phoneticPr fontId="3" type="noConversion"/>
  </si>
  <si>
    <t>소희</t>
    <phoneticPr fontId="3" type="noConversion"/>
  </si>
  <si>
    <t>2021년 사전신고/10.20./정은,지현</t>
    <phoneticPr fontId="3" type="noConversion"/>
  </si>
  <si>
    <t>방역: 자체</t>
    <phoneticPr fontId="3" type="noConversion"/>
  </si>
  <si>
    <t>26일 방역: 4명</t>
    <phoneticPr fontId="3" type="noConversion"/>
  </si>
  <si>
    <t>성진 신우</t>
    <phoneticPr fontId="3" type="noConversion"/>
  </si>
  <si>
    <t xml:space="preserve">훈 </t>
    <phoneticPr fontId="3" type="noConversion"/>
  </si>
  <si>
    <r>
      <t>//정은지현성진다운</t>
    </r>
    <r>
      <rPr>
        <b/>
        <sz val="8"/>
        <color rgb="FF0070C0"/>
        <rFont val="맑은 고딕"/>
        <family val="3"/>
        <charset val="129"/>
      </rPr>
      <t>효동준범</t>
    </r>
    <r>
      <rPr>
        <b/>
        <sz val="8"/>
        <color rgb="FF000000"/>
        <rFont val="맑은 고딕"/>
        <family val="3"/>
        <charset val="129"/>
      </rPr>
      <t xml:space="preserve">/미소 </t>
    </r>
    <phoneticPr fontId="3" type="noConversion"/>
  </si>
  <si>
    <t xml:space="preserve">포스트코로나TFT 보고서작성/10.22~23./중앙/정은 </t>
    <phoneticPr fontId="3" type="noConversion"/>
  </si>
  <si>
    <t>상록용철준범</t>
    <phoneticPr fontId="3" type="noConversion"/>
  </si>
  <si>
    <r>
      <t xml:space="preserve">태우 성진 </t>
    </r>
    <r>
      <rPr>
        <b/>
        <sz val="8"/>
        <color rgb="FF00B0F0"/>
        <rFont val="맑은 고딕"/>
        <family val="3"/>
        <charset val="129"/>
      </rPr>
      <t>미소</t>
    </r>
    <phoneticPr fontId="3" type="noConversion"/>
  </si>
  <si>
    <r>
      <t xml:space="preserve">체온: 4명 인솔: </t>
    </r>
    <r>
      <rPr>
        <b/>
        <sz val="8"/>
        <color rgb="FF00B0F0"/>
        <rFont val="맑은 고딕"/>
        <family val="3"/>
        <charset val="129"/>
      </rPr>
      <t>용.철</t>
    </r>
    <phoneticPr fontId="3" type="noConversion"/>
  </si>
  <si>
    <r>
      <t>//다운</t>
    </r>
    <r>
      <rPr>
        <b/>
        <sz val="8"/>
        <color rgb="FF00B0F0"/>
        <rFont val="맑은 고딕"/>
        <family val="3"/>
        <charset val="129"/>
      </rPr>
      <t>정은</t>
    </r>
    <r>
      <rPr>
        <b/>
        <sz val="8"/>
        <color rgb="FF000000"/>
        <rFont val="맑은 고딕"/>
        <family val="3"/>
        <charset val="129"/>
      </rPr>
      <t>/지성</t>
    </r>
    <phoneticPr fontId="3" type="noConversion"/>
  </si>
  <si>
    <r>
      <t>//다운준범</t>
    </r>
    <r>
      <rPr>
        <b/>
        <sz val="8"/>
        <color rgb="FF00B0F0"/>
        <rFont val="맑은 고딕"/>
        <family val="3"/>
        <charset val="129"/>
      </rPr>
      <t>정은</t>
    </r>
    <r>
      <rPr>
        <b/>
        <sz val="8"/>
        <color rgb="FF000000"/>
        <rFont val="맑은 고딕"/>
        <family val="3"/>
        <charset val="129"/>
      </rPr>
      <t>/용철지성</t>
    </r>
    <phoneticPr fontId="3" type="noConversion"/>
  </si>
  <si>
    <t>연구주간/10.19~23./다운/r&amp;d</t>
    <phoneticPr fontId="3" type="noConversion"/>
  </si>
  <si>
    <t>장비, 세미나실 방역: 4명</t>
    <phoneticPr fontId="3" type="noConversion"/>
  </si>
  <si>
    <t>천체투영관: 2명</t>
    <phoneticPr fontId="3" type="noConversion"/>
  </si>
  <si>
    <t>영상관: 2명</t>
    <phoneticPr fontId="3" type="noConversion"/>
  </si>
  <si>
    <t>팀미팅룸</t>
    <phoneticPr fontId="3" type="noConversion"/>
  </si>
  <si>
    <t>현동</t>
    <phoneticPr fontId="3" type="noConversion"/>
  </si>
  <si>
    <t>태우현동지성</t>
    <phoneticPr fontId="3" type="noConversion"/>
  </si>
  <si>
    <t>지현</t>
    <phoneticPr fontId="3" type="noConversion"/>
  </si>
  <si>
    <t>(세)신.우, 소.희/체온: 2명</t>
    <phoneticPr fontId="3" type="noConversion"/>
  </si>
  <si>
    <t>세미나실, 팀미팅룸, 영상관</t>
    <phoneticPr fontId="3" type="noConversion"/>
  </si>
  <si>
    <t>4층</t>
    <phoneticPr fontId="3" type="noConversion"/>
  </si>
  <si>
    <t>세미나실</t>
    <phoneticPr fontId="3" type="noConversion"/>
  </si>
  <si>
    <t xml:space="preserve">신.우 미.소 정.은 지.성 </t>
    <phoneticPr fontId="3" type="noConversion"/>
  </si>
  <si>
    <t>훈</t>
    <phoneticPr fontId="3" type="noConversion"/>
  </si>
  <si>
    <r>
      <t xml:space="preserve"> 태우 </t>
    </r>
    <r>
      <rPr>
        <b/>
        <sz val="8"/>
        <color rgb="FF00B0F0"/>
        <rFont val="맑은 고딕"/>
        <family val="3"/>
        <charset val="129"/>
      </rPr>
      <t>현동 지현</t>
    </r>
    <phoneticPr fontId="3" type="noConversion"/>
  </si>
  <si>
    <t>14:00~15:00</t>
    <phoneticPr fontId="3" type="noConversion"/>
  </si>
  <si>
    <t>15:00~16:00</t>
    <phoneticPr fontId="3" type="noConversion"/>
  </si>
  <si>
    <t>16:00~17:00</t>
    <phoneticPr fontId="3" type="noConversion"/>
  </si>
  <si>
    <t xml:space="preserve">   13:30~14:30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</si>
</sst>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37">
    <font>
      <sz val="11"/>
      <color rgb="FF000000"/>
      <name val="맑은 고딕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4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8"/>
      <color rgb="FF0033CC"/>
      <name val="맑은 고딕"/>
      <family val="3"/>
      <charset val="129"/>
    </font>
    <font>
      <sz val="8"/>
      <color theme="0" tint="-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4" tint="-0.499984740745262"/>
      <name val="맑은 고딕"/>
      <family val="3"/>
      <charset val="129"/>
    </font>
    <font>
      <sz val="8"/>
      <name val="맑은 고딕"/>
      <family val="3"/>
      <charset val="129"/>
    </font>
    <font>
      <sz val="6"/>
      <color theme="0" tint="-0.3499862666707357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6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70C0"/>
      <name val="맑은 고딕"/>
      <family val="3"/>
      <charset val="129"/>
    </font>
    <font>
      <b/>
      <sz val="8"/>
      <color rgb="FF002060"/>
      <name val="맑은 고딕"/>
      <family val="3"/>
      <charset val="129"/>
    </font>
    <font>
      <sz val="8"/>
      <color rgb="FF002060"/>
      <name val="맑은 고딕"/>
      <family val="3"/>
      <charset val="129"/>
    </font>
    <font>
      <sz val="8"/>
      <color rgb="FF00B0F0"/>
      <name val="맑은 고딕"/>
      <family val="3"/>
      <charset val="129"/>
    </font>
    <font>
      <b/>
      <sz val="8"/>
      <color rgb="FF00B0F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E6E0E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</cellStyleXfs>
  <cellXfs count="3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6" fillId="0" borderId="9" xfId="0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17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176" fontId="14" fillId="0" borderId="2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7" fillId="0" borderId="3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5" fillId="0" borderId="9" xfId="0" applyNumberFormat="1" applyFont="1" applyFill="1" applyBorder="1" applyAlignment="1">
      <alignment horizontal="center" vertical="center"/>
    </xf>
    <xf numFmtId="0" fontId="25" fillId="0" borderId="15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15" fillId="0" borderId="15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5" fillId="0" borderId="6" xfId="0" applyNumberFormat="1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vertical="center"/>
    </xf>
    <xf numFmtId="0" fontId="2" fillId="14" borderId="0" xfId="0" applyNumberFormat="1" applyFont="1" applyFill="1" applyAlignment="1">
      <alignment horizontal="center" vertical="center"/>
    </xf>
    <xf numFmtId="0" fontId="2" fillId="16" borderId="0" xfId="0" applyNumberFormat="1" applyFont="1" applyFill="1" applyAlignment="1">
      <alignment horizontal="center" vertical="center"/>
    </xf>
    <xf numFmtId="0" fontId="2" fillId="15" borderId="0" xfId="0" applyNumberFormat="1" applyFont="1" applyFill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2" fillId="13" borderId="0" xfId="0" applyNumberFormat="1" applyFont="1" applyFill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2" fontId="1" fillId="0" borderId="0" xfId="0" applyNumberFormat="1" applyFont="1" applyFill="1" applyAlignment="1">
      <alignment horizontal="left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76" fontId="14" fillId="0" borderId="2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31" fontId="1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7">
    <cellStyle name="나쁨 2" xfId="4"/>
    <cellStyle name="쉼표 [0] 2" xfId="5"/>
    <cellStyle name="좋음 2" xfId="3"/>
    <cellStyle name="표준" xfId="0" builtinId="0"/>
    <cellStyle name="표준 2" xfId="1"/>
    <cellStyle name="표준 2 2" xfId="6"/>
    <cellStyle name="표준 3" xfId="2"/>
  </cellStyles>
  <dxfs count="0"/>
  <tableStyles count="0" defaultTableStyle="TableStyleMedium2" defaultPivotStyle="PivotStyleLight16"/>
  <colors>
    <mruColors>
      <color rgb="FFFD23F8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38100</xdr:colOff>
      <xdr:row>55</xdr:row>
      <xdr:rowOff>47625</xdr:rowOff>
    </xdr:from>
    <xdr:to>
      <xdr:col>21</xdr:col>
      <xdr:colOff>47625</xdr:colOff>
      <xdr:row>56</xdr:row>
      <xdr:rowOff>66488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9420225"/>
          <a:ext cx="238125" cy="247463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85725</xdr:colOff>
      <xdr:row>55</xdr:row>
      <xdr:rowOff>66675</xdr:rowOff>
    </xdr:from>
    <xdr:to>
      <xdr:col>23</xdr:col>
      <xdr:colOff>45720</xdr:colOff>
      <xdr:row>56</xdr:row>
      <xdr:rowOff>66675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9439275"/>
          <a:ext cx="27432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95250</xdr:colOff>
      <xdr:row>55</xdr:row>
      <xdr:rowOff>38100</xdr:rowOff>
    </xdr:from>
    <xdr:to>
      <xdr:col>24</xdr:col>
      <xdr:colOff>152400</xdr:colOff>
      <xdr:row>56</xdr:row>
      <xdr:rowOff>95250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9410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114300</xdr:colOff>
      <xdr:row>55</xdr:row>
      <xdr:rowOff>38100</xdr:rowOff>
    </xdr:from>
    <xdr:to>
      <xdr:col>19</xdr:col>
      <xdr:colOff>180975</xdr:colOff>
      <xdr:row>56</xdr:row>
      <xdr:rowOff>104775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94107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47</xdr:row>
      <xdr:rowOff>76200</xdr:rowOff>
    </xdr:from>
    <xdr:to>
      <xdr:col>12</xdr:col>
      <xdr:colOff>38100</xdr:colOff>
      <xdr:row>51</xdr:row>
      <xdr:rowOff>114300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8448675"/>
          <a:ext cx="2085975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28575</xdr:rowOff>
    </xdr:from>
    <xdr:to>
      <xdr:col>6</xdr:col>
      <xdr:colOff>552450</xdr:colOff>
      <xdr:row>3</xdr:row>
      <xdr:rowOff>142875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2476500" cy="54292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55</xdr:row>
      <xdr:rowOff>38100</xdr:rowOff>
    </xdr:from>
    <xdr:to>
      <xdr:col>18</xdr:col>
      <xdr:colOff>38100</xdr:colOff>
      <xdr:row>56</xdr:row>
      <xdr:rowOff>95250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9410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56</xdr:row>
      <xdr:rowOff>95250</xdr:rowOff>
    </xdr:from>
    <xdr:to>
      <xdr:col>18</xdr:col>
      <xdr:colOff>66675</xdr:colOff>
      <xdr:row>58</xdr:row>
      <xdr:rowOff>76200</xdr:rowOff>
    </xdr:to>
    <xdr:pic>
      <xdr:nvPicPr>
        <xdr:cNvPr id="11" name="그림 10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969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133350</xdr:colOff>
      <xdr:row>56</xdr:row>
      <xdr:rowOff>95250</xdr:rowOff>
    </xdr:from>
    <xdr:to>
      <xdr:col>19</xdr:col>
      <xdr:colOff>190500</xdr:colOff>
      <xdr:row>58</xdr:row>
      <xdr:rowOff>95250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6964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55</xdr:row>
      <xdr:rowOff>0</xdr:rowOff>
    </xdr:from>
    <xdr:to>
      <xdr:col>30</xdr:col>
      <xdr:colOff>23495</xdr:colOff>
      <xdr:row>56</xdr:row>
      <xdr:rowOff>123825</xdr:rowOff>
    </xdr:to>
    <xdr:pic>
      <xdr:nvPicPr>
        <xdr:cNvPr id="12" name="그림 11" descr="íë¦¬ê³  ë¹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9372600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34</xdr:col>
      <xdr:colOff>137795</xdr:colOff>
      <xdr:row>56</xdr:row>
      <xdr:rowOff>123825</xdr:rowOff>
    </xdr:to>
    <xdr:pic>
      <xdr:nvPicPr>
        <xdr:cNvPr id="13" name="그림 12" descr="êµ¬ë¦ë§ì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9372600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85725</xdr:colOff>
      <xdr:row>53</xdr:row>
      <xdr:rowOff>114300</xdr:rowOff>
    </xdr:from>
    <xdr:to>
      <xdr:col>37</xdr:col>
      <xdr:colOff>213995</xdr:colOff>
      <xdr:row>56</xdr:row>
      <xdr:rowOff>95250</xdr:rowOff>
    </xdr:to>
    <xdr:pic>
      <xdr:nvPicPr>
        <xdr:cNvPr id="15" name="그림 14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9344025"/>
          <a:ext cx="37592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114301</xdr:colOff>
      <xdr:row>53</xdr:row>
      <xdr:rowOff>123824</xdr:rowOff>
    </xdr:from>
    <xdr:to>
      <xdr:col>40</xdr:col>
      <xdr:colOff>97482</xdr:colOff>
      <xdr:row>56</xdr:row>
      <xdr:rowOff>105149</xdr:rowOff>
    </xdr:to>
    <xdr:pic>
      <xdr:nvPicPr>
        <xdr:cNvPr id="16" name="그림 15" descr="구름많고 비/눈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1" y="9353549"/>
          <a:ext cx="364181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53</xdr:row>
      <xdr:rowOff>104775</xdr:rowOff>
    </xdr:from>
    <xdr:to>
      <xdr:col>41</xdr:col>
      <xdr:colOff>61995</xdr:colOff>
      <xdr:row>56</xdr:row>
      <xdr:rowOff>86100</xdr:rowOff>
    </xdr:to>
    <xdr:pic>
      <xdr:nvPicPr>
        <xdr:cNvPr id="17" name="그림 16" descr="눈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125" y="9334500"/>
          <a:ext cx="376320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76200</xdr:colOff>
      <xdr:row>54</xdr:row>
      <xdr:rowOff>9525</xdr:rowOff>
    </xdr:from>
    <xdr:to>
      <xdr:col>42</xdr:col>
      <xdr:colOff>109620</xdr:colOff>
      <xdr:row>56</xdr:row>
      <xdr:rowOff>114675</xdr:rowOff>
    </xdr:to>
    <xdr:pic>
      <xdr:nvPicPr>
        <xdr:cNvPr id="18" name="그림 17" descr="가끔 비, 한때 비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363075"/>
          <a:ext cx="376320" cy="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920750</xdr:colOff>
      <xdr:row>52</xdr:row>
      <xdr:rowOff>190500</xdr:rowOff>
    </xdr:from>
    <xdr:to>
      <xdr:col>16</xdr:col>
      <xdr:colOff>6350</xdr:colOff>
      <xdr:row>55</xdr:row>
      <xdr:rowOff>82550</xdr:rowOff>
    </xdr:to>
    <xdr:pic>
      <xdr:nvPicPr>
        <xdr:cNvPr id="20" name="그림 19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9328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927100</xdr:colOff>
      <xdr:row>77</xdr:row>
      <xdr:rowOff>95250</xdr:rowOff>
    </xdr:from>
    <xdr:to>
      <xdr:col>16</xdr:col>
      <xdr:colOff>12700</xdr:colOff>
      <xdr:row>81</xdr:row>
      <xdr:rowOff>0</xdr:rowOff>
    </xdr:to>
    <xdr:pic>
      <xdr:nvPicPr>
        <xdr:cNvPr id="21" name="그림 20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7650" y="12172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908050</xdr:colOff>
      <xdr:row>101</xdr:row>
      <xdr:rowOff>82550</xdr:rowOff>
    </xdr:from>
    <xdr:to>
      <xdr:col>15</xdr:col>
      <xdr:colOff>1193800</xdr:colOff>
      <xdr:row>104</xdr:row>
      <xdr:rowOff>6350</xdr:rowOff>
    </xdr:to>
    <xdr:pic>
      <xdr:nvPicPr>
        <xdr:cNvPr id="22" name="그림 21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4547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933450</xdr:colOff>
      <xdr:row>126</xdr:row>
      <xdr:rowOff>50800</xdr:rowOff>
    </xdr:from>
    <xdr:to>
      <xdr:col>16</xdr:col>
      <xdr:colOff>19050</xdr:colOff>
      <xdr:row>129</xdr:row>
      <xdr:rowOff>19050</xdr:rowOff>
    </xdr:to>
    <xdr:pic>
      <xdr:nvPicPr>
        <xdr:cNvPr id="23" name="그림 22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56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908050</xdr:colOff>
      <xdr:row>159</xdr:row>
      <xdr:rowOff>95250</xdr:rowOff>
    </xdr:from>
    <xdr:to>
      <xdr:col>15</xdr:col>
      <xdr:colOff>1193800</xdr:colOff>
      <xdr:row>163</xdr:row>
      <xdr:rowOff>0</xdr:rowOff>
    </xdr:to>
    <xdr:pic>
      <xdr:nvPicPr>
        <xdr:cNvPr id="24" name="그림 23" descr="ë§ì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20510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Y217"/>
  <sheetViews>
    <sheetView showGridLines="0" tabSelected="1" zoomScaleNormal="100" workbookViewId="0">
      <selection activeCell="B5" sqref="B5:P5"/>
    </sheetView>
  </sheetViews>
  <sheetFormatPr defaultColWidth="19.5" defaultRowHeight="11.5"/>
  <cols>
    <col min="1" max="1" width="0.33203125" style="1" customWidth="1"/>
    <col min="2" max="2" width="8.08203125" style="1" customWidth="1"/>
    <col min="3" max="3" width="0.33203125" style="31" customWidth="1"/>
    <col min="4" max="4" width="15.75" style="1" customWidth="1"/>
    <col min="5" max="6" width="0.33203125" style="7" customWidth="1"/>
    <col min="7" max="7" width="15.75" style="1" customWidth="1"/>
    <col min="8" max="9" width="0.33203125" style="1" customWidth="1"/>
    <col min="10" max="10" width="15.75" style="1" customWidth="1"/>
    <col min="11" max="12" width="0.33203125" style="1" customWidth="1"/>
    <col min="13" max="13" width="15.75" style="1" customWidth="1"/>
    <col min="14" max="15" width="0.33203125" style="1" customWidth="1"/>
    <col min="16" max="16" width="15.75" style="1" customWidth="1"/>
    <col min="17" max="17" width="0.33203125" style="1" customWidth="1"/>
    <col min="18" max="18" width="4.5" style="38" customWidth="1"/>
    <col min="19" max="21" width="3" style="39" customWidth="1"/>
    <col min="22" max="22" width="3" style="38" customWidth="1"/>
    <col min="23" max="23" width="1.08203125" style="31" customWidth="1"/>
    <col min="24" max="27" width="3" style="38" customWidth="1"/>
    <col min="28" max="28" width="2.83203125" style="1" customWidth="1"/>
    <col min="29" max="29" width="2.08203125" style="1" customWidth="1"/>
    <col min="30" max="31" width="0.33203125" style="1" customWidth="1"/>
    <col min="32" max="32" width="2.33203125" style="1" customWidth="1"/>
    <col min="33" max="34" width="0.33203125" style="1" customWidth="1"/>
    <col min="35" max="35" width="2.5" style="1" customWidth="1"/>
    <col min="36" max="37" width="0.33203125" style="1" customWidth="1"/>
    <col min="38" max="38" width="4.25" style="1" customWidth="1"/>
    <col min="39" max="40" width="0.33203125" style="1" customWidth="1"/>
    <col min="41" max="48" width="4.5" style="1" customWidth="1"/>
    <col min="49" max="49" width="5.08203125" style="1" customWidth="1"/>
    <col min="50" max="16384" width="19.5" style="1"/>
  </cols>
  <sheetData>
    <row r="4" spans="2:26" ht="12" thickBot="1"/>
    <row r="5" spans="2:26" ht="42" customHeight="1" thickBot="1">
      <c r="B5" s="300" t="s">
        <v>108</v>
      </c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2"/>
      <c r="Z5"/>
    </row>
    <row r="6" spans="2:26" ht="12" thickBot="1">
      <c r="C6" s="114"/>
    </row>
    <row r="7" spans="2:26" ht="27.75" customHeight="1" thickBot="1">
      <c r="B7" s="303" t="s">
        <v>109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5"/>
    </row>
    <row r="8" spans="2:26">
      <c r="C8" s="114"/>
    </row>
    <row r="9" spans="2:26" ht="20.25" customHeight="1">
      <c r="B9" s="110" t="s">
        <v>43</v>
      </c>
      <c r="C9" s="23"/>
      <c r="D9" s="299" t="s">
        <v>44</v>
      </c>
      <c r="E9" s="299"/>
      <c r="F9" s="299"/>
      <c r="G9" s="299"/>
      <c r="H9" s="299"/>
      <c r="I9" s="299"/>
      <c r="J9" s="110" t="s">
        <v>45</v>
      </c>
      <c r="K9" s="299" t="s">
        <v>46</v>
      </c>
      <c r="L9" s="299"/>
      <c r="M9" s="299"/>
      <c r="N9" s="299" t="s">
        <v>47</v>
      </c>
      <c r="O9" s="299"/>
      <c r="P9" s="299"/>
    </row>
    <row r="10" spans="2:26" ht="16.5" customHeight="1">
      <c r="B10" s="110" t="s">
        <v>110</v>
      </c>
      <c r="C10" s="24"/>
      <c r="D10" s="299" t="s">
        <v>112</v>
      </c>
      <c r="E10" s="299"/>
      <c r="F10" s="299"/>
      <c r="G10" s="299"/>
      <c r="H10" s="299"/>
      <c r="I10" s="299"/>
      <c r="J10" s="110">
        <v>90</v>
      </c>
      <c r="K10" s="299" t="s">
        <v>111</v>
      </c>
      <c r="L10" s="299"/>
      <c r="M10" s="299"/>
      <c r="N10" s="299">
        <v>1</v>
      </c>
      <c r="O10" s="299"/>
      <c r="P10" s="299"/>
    </row>
    <row r="11" spans="2:26" ht="16.5" customHeight="1">
      <c r="B11" s="222" t="s">
        <v>110</v>
      </c>
      <c r="C11" s="24"/>
      <c r="D11" s="299" t="s">
        <v>113</v>
      </c>
      <c r="E11" s="299"/>
      <c r="F11" s="299"/>
      <c r="G11" s="299"/>
      <c r="H11" s="299"/>
      <c r="I11" s="299"/>
      <c r="J11" s="110">
        <v>32</v>
      </c>
      <c r="K11" s="299" t="s">
        <v>117</v>
      </c>
      <c r="L11" s="299"/>
      <c r="M11" s="299"/>
      <c r="N11" s="299">
        <v>1</v>
      </c>
      <c r="O11" s="299"/>
      <c r="P11" s="299"/>
    </row>
    <row r="12" spans="2:26" ht="16.5" customHeight="1">
      <c r="B12" s="110" t="s">
        <v>114</v>
      </c>
      <c r="C12" s="24"/>
      <c r="D12" s="299" t="s">
        <v>115</v>
      </c>
      <c r="E12" s="299"/>
      <c r="F12" s="299"/>
      <c r="G12" s="299"/>
      <c r="H12" s="299"/>
      <c r="I12" s="299"/>
      <c r="J12" s="110">
        <v>60</v>
      </c>
      <c r="K12" s="299" t="s">
        <v>117</v>
      </c>
      <c r="L12" s="299"/>
      <c r="M12" s="299"/>
      <c r="N12" s="299">
        <v>1</v>
      </c>
      <c r="O12" s="299"/>
      <c r="P12" s="299"/>
    </row>
    <row r="13" spans="2:26" ht="16.5" customHeight="1">
      <c r="B13" s="222" t="s">
        <v>114</v>
      </c>
      <c r="C13" s="24"/>
      <c r="D13" s="299" t="s">
        <v>116</v>
      </c>
      <c r="E13" s="299"/>
      <c r="F13" s="299"/>
      <c r="G13" s="299"/>
      <c r="H13" s="299"/>
      <c r="I13" s="299"/>
      <c r="J13" s="110">
        <v>96</v>
      </c>
      <c r="K13" s="299" t="s">
        <v>118</v>
      </c>
      <c r="L13" s="299"/>
      <c r="M13" s="299"/>
      <c r="N13" s="299">
        <v>1</v>
      </c>
      <c r="O13" s="299"/>
      <c r="P13" s="299"/>
    </row>
    <row r="14" spans="2:26" ht="16.5" customHeight="1">
      <c r="B14" s="110" t="s">
        <v>119</v>
      </c>
      <c r="C14" s="24"/>
      <c r="D14" s="299" t="s">
        <v>120</v>
      </c>
      <c r="E14" s="299"/>
      <c r="F14" s="299"/>
      <c r="G14" s="299"/>
      <c r="H14" s="299"/>
      <c r="I14" s="299"/>
      <c r="J14" s="110">
        <v>34</v>
      </c>
      <c r="K14" s="299" t="s">
        <v>121</v>
      </c>
      <c r="L14" s="299"/>
      <c r="M14" s="299"/>
      <c r="N14" s="299">
        <v>3</v>
      </c>
      <c r="O14" s="299"/>
      <c r="P14" s="299"/>
    </row>
    <row r="15" spans="2:26" ht="16.5" customHeight="1">
      <c r="B15" s="110"/>
      <c r="C15" s="24"/>
      <c r="D15" s="299"/>
      <c r="E15" s="299"/>
      <c r="F15" s="299"/>
      <c r="G15" s="299"/>
      <c r="H15" s="299"/>
      <c r="I15" s="299"/>
      <c r="J15" s="110"/>
      <c r="K15" s="299"/>
      <c r="L15" s="299"/>
      <c r="M15" s="299"/>
      <c r="N15" s="299"/>
      <c r="O15" s="299"/>
      <c r="P15" s="299"/>
    </row>
    <row r="16" spans="2:26" ht="16.5" customHeight="1">
      <c r="B16" s="110"/>
      <c r="C16" s="24"/>
      <c r="D16" s="299"/>
      <c r="E16" s="299"/>
      <c r="F16" s="299"/>
      <c r="G16" s="299"/>
      <c r="H16" s="299"/>
      <c r="I16" s="299"/>
      <c r="J16" s="110"/>
      <c r="K16" s="299"/>
      <c r="L16" s="299"/>
      <c r="M16" s="299"/>
      <c r="N16" s="299"/>
      <c r="O16" s="299"/>
      <c r="P16" s="299"/>
    </row>
    <row r="17" spans="2:27" ht="16.5" customHeight="1">
      <c r="B17" s="110"/>
      <c r="C17" s="24"/>
      <c r="D17" s="299"/>
      <c r="E17" s="299"/>
      <c r="F17" s="299"/>
      <c r="G17" s="299"/>
      <c r="H17" s="299"/>
      <c r="I17" s="299"/>
      <c r="J17" s="110"/>
      <c r="K17" s="299"/>
      <c r="L17" s="299"/>
      <c r="M17" s="299"/>
      <c r="N17" s="299"/>
      <c r="O17" s="299"/>
      <c r="P17" s="299"/>
    </row>
    <row r="18" spans="2:27" ht="16.5" customHeight="1" thickBot="1">
      <c r="B18" s="111"/>
      <c r="C18" s="28"/>
      <c r="D18" s="309"/>
      <c r="E18" s="309"/>
      <c r="F18" s="309"/>
      <c r="G18" s="309"/>
      <c r="H18" s="309"/>
      <c r="I18" s="309"/>
      <c r="J18" s="111"/>
      <c r="K18" s="309"/>
      <c r="L18" s="309"/>
      <c r="M18" s="309"/>
      <c r="N18" s="309"/>
      <c r="O18" s="309"/>
      <c r="P18" s="309"/>
    </row>
    <row r="19" spans="2:27" ht="16.5" customHeight="1" thickTop="1" thickBot="1">
      <c r="B19" s="310" t="s">
        <v>48</v>
      </c>
      <c r="C19" s="310"/>
      <c r="D19" s="310"/>
      <c r="E19" s="310"/>
      <c r="F19" s="310" t="s">
        <v>49</v>
      </c>
      <c r="G19" s="310"/>
      <c r="H19" s="310"/>
      <c r="I19" s="310"/>
      <c r="J19" s="112">
        <f>SUM(J10:J18)</f>
        <v>312</v>
      </c>
      <c r="K19" s="310" t="s">
        <v>50</v>
      </c>
      <c r="L19" s="310"/>
      <c r="M19" s="310"/>
      <c r="N19" s="318">
        <f>(J10*N10+J11*N11+J12*N12+J13*N13+J14*N14+J15*N15+J16*N16+J17*N17+J18*N18)</f>
        <v>380</v>
      </c>
      <c r="O19" s="318"/>
      <c r="P19" s="318"/>
    </row>
    <row r="20" spans="2:27" ht="10.5" customHeight="1" thickTop="1">
      <c r="C20" s="114"/>
    </row>
    <row r="21" spans="2:27" s="11" customFormat="1" ht="17.25" customHeight="1">
      <c r="B21" s="109" t="s">
        <v>46</v>
      </c>
      <c r="C21" s="22"/>
      <c r="D21" s="324" t="s">
        <v>122</v>
      </c>
      <c r="E21" s="325"/>
      <c r="F21" s="325"/>
      <c r="G21" s="325"/>
      <c r="H21" s="325"/>
      <c r="I21" s="325"/>
      <c r="J21" s="325"/>
      <c r="K21" s="325" t="s">
        <v>51</v>
      </c>
      <c r="L21" s="325"/>
      <c r="M21" s="325"/>
      <c r="N21" s="325"/>
      <c r="O21" s="325"/>
      <c r="P21" s="325"/>
      <c r="R21" s="40"/>
      <c r="S21" s="41"/>
      <c r="T21" s="41"/>
      <c r="U21" s="41"/>
      <c r="V21" s="40"/>
      <c r="W21" s="42"/>
      <c r="X21" s="40"/>
      <c r="Y21" s="40"/>
      <c r="Z21" s="40"/>
      <c r="AA21" s="40"/>
    </row>
    <row r="22" spans="2:27" s="11" customFormat="1" ht="17.25" customHeight="1">
      <c r="B22" s="322" t="s">
        <v>52</v>
      </c>
      <c r="C22" s="13"/>
      <c r="D22" s="311" t="s">
        <v>123</v>
      </c>
      <c r="E22" s="312"/>
      <c r="F22" s="312"/>
      <c r="G22" s="312"/>
      <c r="H22" s="312"/>
      <c r="I22" s="312"/>
      <c r="J22" s="312"/>
      <c r="K22" s="312"/>
      <c r="L22" s="312"/>
      <c r="M22" s="313"/>
      <c r="N22" s="326" t="str">
        <f>(LEN(D22)/4)+(LEN(D23)/4)&amp;"명"</f>
        <v>20명</v>
      </c>
      <c r="O22" s="327"/>
      <c r="P22" s="328"/>
      <c r="R22" s="40"/>
      <c r="S22" s="41"/>
      <c r="T22" s="41"/>
      <c r="U22" s="41"/>
      <c r="V22" s="40"/>
      <c r="W22" s="42"/>
      <c r="X22" s="40"/>
      <c r="Y22" s="40"/>
      <c r="Z22" s="40"/>
      <c r="AA22" s="40"/>
    </row>
    <row r="23" spans="2:27" s="11" customFormat="1" ht="17.25" customHeight="1">
      <c r="B23" s="322"/>
      <c r="C23" s="13"/>
      <c r="D23" s="314" t="s">
        <v>107</v>
      </c>
      <c r="E23" s="315"/>
      <c r="F23" s="315"/>
      <c r="G23" s="315"/>
      <c r="H23" s="315"/>
      <c r="I23" s="315"/>
      <c r="J23" s="315"/>
      <c r="K23" s="315"/>
      <c r="L23" s="315"/>
      <c r="M23" s="316"/>
      <c r="N23" s="329"/>
      <c r="O23" s="330"/>
      <c r="P23" s="331"/>
      <c r="R23" s="40"/>
      <c r="S23" s="41"/>
      <c r="T23" s="41"/>
      <c r="U23" s="41"/>
      <c r="V23" s="40"/>
      <c r="W23" s="42"/>
      <c r="X23" s="40"/>
      <c r="Y23" s="40"/>
      <c r="Z23" s="40"/>
      <c r="AA23" s="40"/>
    </row>
    <row r="24" spans="2:27" s="11" customFormat="1" ht="17.25" customHeight="1">
      <c r="B24" s="319" t="s">
        <v>53</v>
      </c>
      <c r="C24" s="14"/>
      <c r="D24" s="323" t="s">
        <v>54</v>
      </c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R24" s="40"/>
      <c r="S24" s="41"/>
      <c r="T24" s="41"/>
      <c r="U24" s="41"/>
      <c r="V24" s="40"/>
      <c r="W24" s="42"/>
      <c r="X24" s="40"/>
      <c r="Y24" s="40"/>
      <c r="Z24" s="40"/>
      <c r="AA24" s="40"/>
    </row>
    <row r="25" spans="2:27" s="11" customFormat="1" ht="17.25" customHeight="1">
      <c r="B25" s="320"/>
      <c r="C25" s="14"/>
      <c r="D25" s="323" t="s">
        <v>55</v>
      </c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R25" s="40"/>
      <c r="S25" s="41"/>
      <c r="T25" s="41"/>
      <c r="U25" s="41"/>
      <c r="V25" s="40"/>
      <c r="W25" s="42"/>
      <c r="X25" s="40"/>
      <c r="Y25" s="40"/>
      <c r="Z25" s="40"/>
      <c r="AA25" s="40"/>
    </row>
    <row r="26" spans="2:27" s="11" customFormat="1" ht="17.25" customHeight="1">
      <c r="B26" s="321"/>
      <c r="C26" s="18"/>
      <c r="D26" s="323" t="s">
        <v>56</v>
      </c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R26" s="40"/>
      <c r="S26" s="41"/>
      <c r="T26" s="41"/>
      <c r="U26" s="41"/>
      <c r="V26" s="40"/>
      <c r="W26" s="42"/>
      <c r="X26" s="40"/>
      <c r="Y26" s="40"/>
      <c r="Z26" s="40"/>
      <c r="AA26" s="40"/>
    </row>
    <row r="27" spans="2:27" s="11" customFormat="1" ht="4.5" customHeight="1">
      <c r="B27" s="26"/>
      <c r="C27" s="13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R27" s="40"/>
      <c r="S27" s="41"/>
      <c r="T27" s="41"/>
      <c r="U27" s="41"/>
      <c r="V27" s="40"/>
      <c r="W27" s="42"/>
      <c r="X27" s="40"/>
      <c r="Y27" s="40"/>
      <c r="Z27" s="40"/>
      <c r="AA27" s="40"/>
    </row>
    <row r="28" spans="2:27" s="11" customFormat="1" ht="17.25" customHeight="1">
      <c r="B28" s="319" t="s">
        <v>57</v>
      </c>
      <c r="C28" s="17"/>
      <c r="D28" s="306" t="s">
        <v>58</v>
      </c>
      <c r="E28" s="307"/>
      <c r="F28" s="307"/>
      <c r="G28" s="307"/>
      <c r="H28" s="307"/>
      <c r="I28" s="307"/>
      <c r="J28" s="307"/>
      <c r="K28" s="307"/>
      <c r="L28" s="307"/>
      <c r="M28" s="307"/>
      <c r="N28" s="307"/>
      <c r="O28" s="307"/>
      <c r="P28" s="308"/>
      <c r="R28" s="40"/>
      <c r="S28" s="41"/>
      <c r="T28" s="41"/>
      <c r="U28" s="41"/>
      <c r="V28" s="40"/>
      <c r="W28" s="42"/>
      <c r="X28" s="40"/>
      <c r="Y28" s="40"/>
      <c r="Z28" s="40"/>
      <c r="AA28" s="40"/>
    </row>
    <row r="29" spans="2:27" s="11" customFormat="1" ht="17.25" customHeight="1">
      <c r="B29" s="320"/>
      <c r="C29" s="13"/>
      <c r="D29" s="306" t="s">
        <v>59</v>
      </c>
      <c r="E29" s="307"/>
      <c r="F29" s="307"/>
      <c r="G29" s="307"/>
      <c r="H29" s="307"/>
      <c r="I29" s="307"/>
      <c r="J29" s="307"/>
      <c r="K29" s="307"/>
      <c r="L29" s="307"/>
      <c r="M29" s="307"/>
      <c r="N29" s="307"/>
      <c r="O29" s="307"/>
      <c r="P29" s="308"/>
      <c r="R29" s="40"/>
      <c r="S29" s="41"/>
      <c r="T29" s="41"/>
      <c r="U29" s="41"/>
      <c r="V29" s="40"/>
      <c r="W29" s="42"/>
      <c r="X29" s="40"/>
      <c r="Y29" s="40"/>
      <c r="Z29" s="40"/>
      <c r="AA29" s="40"/>
    </row>
    <row r="30" spans="2:27" s="11" customFormat="1" ht="17.25" customHeight="1">
      <c r="B30" s="321"/>
      <c r="C30" s="19"/>
      <c r="D30" s="306" t="s">
        <v>60</v>
      </c>
      <c r="E30" s="307"/>
      <c r="F30" s="307"/>
      <c r="G30" s="307"/>
      <c r="H30" s="307"/>
      <c r="I30" s="307"/>
      <c r="J30" s="307"/>
      <c r="K30" s="307"/>
      <c r="L30" s="307"/>
      <c r="M30" s="307"/>
      <c r="N30" s="307"/>
      <c r="O30" s="307"/>
      <c r="P30" s="308"/>
      <c r="R30" s="40"/>
      <c r="S30" s="41"/>
      <c r="T30" s="41"/>
      <c r="U30" s="41"/>
      <c r="V30" s="40"/>
      <c r="W30" s="42"/>
      <c r="X30" s="40"/>
      <c r="Y30" s="40"/>
      <c r="Z30" s="40"/>
      <c r="AA30" s="40"/>
    </row>
    <row r="31" spans="2:27" s="11" customFormat="1" ht="5.25" customHeight="1">
      <c r="B31" s="26"/>
      <c r="C31" s="13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R31" s="40"/>
      <c r="S31" s="41"/>
      <c r="T31" s="41"/>
      <c r="U31" s="41"/>
      <c r="V31" s="40"/>
      <c r="W31" s="42"/>
      <c r="X31" s="40"/>
      <c r="Y31" s="40"/>
      <c r="Z31" s="40"/>
      <c r="AA31" s="40"/>
    </row>
    <row r="32" spans="2:27" ht="11.25" customHeight="1">
      <c r="B32" s="317" t="s">
        <v>61</v>
      </c>
      <c r="C32" s="20"/>
      <c r="D32" s="285" t="s">
        <v>124</v>
      </c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7"/>
    </row>
    <row r="33" spans="2:16" ht="11.25" customHeight="1">
      <c r="B33" s="317"/>
      <c r="C33" s="15"/>
      <c r="D33" s="291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3"/>
    </row>
    <row r="34" spans="2:16" ht="11.25" customHeight="1">
      <c r="B34" s="317"/>
      <c r="C34" s="15"/>
      <c r="D34" s="285" t="s">
        <v>235</v>
      </c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7"/>
    </row>
    <row r="35" spans="2:16" ht="11.25" customHeight="1">
      <c r="B35" s="317"/>
      <c r="C35" s="15"/>
      <c r="D35" s="291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3"/>
    </row>
    <row r="36" spans="2:16" ht="11.25" customHeight="1">
      <c r="B36" s="317"/>
      <c r="C36" s="15"/>
      <c r="D36" s="285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7"/>
    </row>
    <row r="37" spans="2:16" ht="11.25" customHeight="1">
      <c r="B37" s="317"/>
      <c r="C37" s="21"/>
      <c r="D37" s="291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3"/>
    </row>
    <row r="38" spans="2:16" ht="4.5" customHeight="1">
      <c r="C38" s="114"/>
      <c r="D38" s="2"/>
      <c r="E38" s="107"/>
      <c r="F38" s="107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9.75" customHeight="1">
      <c r="B39" s="281" t="s">
        <v>62</v>
      </c>
      <c r="C39" s="116"/>
      <c r="D39" s="285" t="s">
        <v>232</v>
      </c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7"/>
    </row>
    <row r="40" spans="2:16" ht="9.75" customHeight="1">
      <c r="B40" s="281"/>
      <c r="C40" s="114"/>
      <c r="D40" s="288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90"/>
    </row>
    <row r="41" spans="2:16" ht="9.75" customHeight="1">
      <c r="B41" s="281"/>
      <c r="C41" s="114"/>
      <c r="D41" s="288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89"/>
      <c r="P41" s="290"/>
    </row>
    <row r="42" spans="2:16" ht="9.75" customHeight="1">
      <c r="B42" s="281" t="s">
        <v>11</v>
      </c>
      <c r="D42" s="285" t="s">
        <v>223</v>
      </c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7"/>
    </row>
    <row r="43" spans="2:16" ht="9.75" customHeight="1">
      <c r="B43" s="281"/>
      <c r="D43" s="288" t="s">
        <v>222</v>
      </c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90"/>
    </row>
    <row r="44" spans="2:16" ht="9.75" customHeight="1">
      <c r="B44" s="281"/>
      <c r="D44" s="282" t="s">
        <v>251</v>
      </c>
      <c r="E44" s="283"/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4"/>
    </row>
    <row r="45" spans="2:16" ht="9.75" customHeight="1">
      <c r="B45" s="281" t="s">
        <v>3</v>
      </c>
      <c r="D45" s="285" t="s">
        <v>221</v>
      </c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7"/>
    </row>
    <row r="46" spans="2:16" ht="9.75" customHeight="1">
      <c r="B46" s="281"/>
      <c r="D46" s="288" t="s">
        <v>257</v>
      </c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90"/>
    </row>
    <row r="47" spans="2:16" ht="9.75" customHeight="1">
      <c r="B47" s="281"/>
      <c r="C47" s="16"/>
      <c r="D47" s="291" t="s">
        <v>245</v>
      </c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3"/>
    </row>
    <row r="52" spans="2:45" ht="20.149999999999999" customHeight="1"/>
    <row r="53" spans="2:45" ht="20.149999999999999" customHeight="1">
      <c r="C53" s="114"/>
      <c r="W53" s="114"/>
    </row>
    <row r="54" spans="2:45" s="2" customFormat="1" ht="9.75" customHeight="1">
      <c r="B54" s="6" t="s">
        <v>2</v>
      </c>
      <c r="C54" s="114"/>
      <c r="D54" s="62" t="s">
        <v>125</v>
      </c>
      <c r="E54" s="56"/>
      <c r="F54" s="56"/>
      <c r="G54" s="56" t="s">
        <v>250</v>
      </c>
      <c r="H54" s="57"/>
      <c r="I54" s="57"/>
      <c r="J54" s="57"/>
      <c r="K54" s="57"/>
      <c r="L54" s="57"/>
      <c r="M54" s="57"/>
      <c r="N54" s="57"/>
      <c r="O54" s="57"/>
      <c r="P54" s="58"/>
      <c r="Q54" s="36"/>
      <c r="R54" s="38" t="s">
        <v>34</v>
      </c>
      <c r="S54" s="294">
        <f ca="1">NOW()</f>
        <v>44128.668458449072</v>
      </c>
      <c r="T54" s="294"/>
      <c r="U54" s="294"/>
      <c r="V54" s="294"/>
      <c r="W54" s="294"/>
      <c r="X54" s="294"/>
      <c r="Y54" s="33"/>
      <c r="Z54" s="33"/>
      <c r="AA54" s="33"/>
      <c r="AC54" s="70" t="str">
        <f>IFERROR(HLOOKUP("*장비체험*",D68:D71,2,0),"")</f>
        <v/>
      </c>
      <c r="AD54" s="70"/>
      <c r="AE54" s="70"/>
      <c r="AF54" s="70" t="str">
        <f>IFERROR(HLOOKUP("*장비체험*",G68:G71,2,0),"")</f>
        <v/>
      </c>
      <c r="AG54" s="70"/>
      <c r="AH54" s="70"/>
      <c r="AI54" s="70" t="str">
        <f>IFERROR(HLOOKUP("*장비체험*",J68:J71,2,0),"")</f>
        <v/>
      </c>
      <c r="AJ54" s="70"/>
      <c r="AK54" s="70"/>
      <c r="AL54" s="70" t="str">
        <f>IFERROR(HLOOKUP("*장비체험*",M68:M71,2,0),"")</f>
        <v/>
      </c>
      <c r="AM54" s="70"/>
      <c r="AN54" s="70"/>
      <c r="AO54" s="70" t="str">
        <f>IFERROR(HLOOKUP("*장비체험*",P68:P71,2,0),"")</f>
        <v/>
      </c>
      <c r="AP54" s="70"/>
      <c r="AQ54" s="70"/>
      <c r="AR54" s="70"/>
      <c r="AS54" s="70"/>
    </row>
    <row r="55" spans="2:45" s="2" customFormat="1" ht="1.75" customHeight="1">
      <c r="B55" s="114"/>
      <c r="C55" s="114"/>
      <c r="D55" s="114"/>
      <c r="E55" s="114"/>
      <c r="F55" s="114"/>
      <c r="G55" s="114"/>
      <c r="H55" s="114"/>
      <c r="I55" s="219"/>
      <c r="J55" s="114"/>
      <c r="K55" s="114"/>
      <c r="L55" s="219"/>
      <c r="M55" s="114"/>
      <c r="N55" s="114"/>
      <c r="O55" s="3"/>
      <c r="P55" s="114"/>
      <c r="Q55" s="31"/>
      <c r="R55" s="3"/>
      <c r="S55" s="43"/>
      <c r="T55" s="43"/>
      <c r="U55" s="43"/>
      <c r="V55" s="33"/>
      <c r="W55" s="3"/>
      <c r="X55" s="33"/>
      <c r="Y55" s="33"/>
      <c r="Z55" s="33"/>
      <c r="AA55" s="33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</row>
    <row r="56" spans="2:45" s="2" customFormat="1" ht="18" customHeight="1">
      <c r="B56" s="114"/>
      <c r="C56" s="114"/>
      <c r="D56" s="114"/>
      <c r="E56" s="114"/>
      <c r="F56" s="114"/>
      <c r="G56" s="114"/>
      <c r="H56" s="114"/>
      <c r="I56" s="114"/>
      <c r="J56" s="298" t="s">
        <v>227</v>
      </c>
      <c r="K56" s="298"/>
      <c r="L56" s="298"/>
      <c r="M56" s="298"/>
      <c r="N56" s="298"/>
      <c r="O56" s="298"/>
      <c r="P56" s="298"/>
      <c r="Q56" s="34"/>
      <c r="R56" s="3"/>
      <c r="S56" s="43"/>
      <c r="T56" s="43"/>
      <c r="U56" s="43"/>
      <c r="V56" s="33"/>
      <c r="W56" s="3"/>
      <c r="X56" s="33"/>
      <c r="Y56" s="33"/>
      <c r="Z56" s="33"/>
      <c r="AA56"/>
      <c r="AC56" s="70" t="str">
        <f>IFERROR(HLOOKUP("*장비체험*",D73:D76,2,0),"")</f>
        <v/>
      </c>
      <c r="AD56" s="70"/>
      <c r="AE56" s="70"/>
      <c r="AF56"/>
      <c r="AG56" s="70"/>
      <c r="AH56" s="70"/>
      <c r="AI56" s="70" t="str">
        <f>IFERROR(HLOOKUP("*장비체험*",J73:J76,2,0),"")</f>
        <v/>
      </c>
      <c r="AJ56" s="70"/>
      <c r="AK56" s="70"/>
      <c r="AL56" s="70" t="str">
        <f>IFERROR(HLOOKUP("*장비체험*",M73:M76,2,0),"")</f>
        <v/>
      </c>
      <c r="AM56" s="70"/>
      <c r="AN56"/>
      <c r="AO56" s="70" t="str">
        <f>IFERROR(HLOOKUP("*장비체험*",P73:P76,2,0),"")</f>
        <v/>
      </c>
      <c r="AP56" s="70"/>
      <c r="AQ56" s="70"/>
      <c r="AR56" s="70"/>
      <c r="AS56" s="70"/>
    </row>
    <row r="57" spans="2:45" s="2" customFormat="1" ht="12" customHeight="1">
      <c r="B57" s="114"/>
      <c r="C57" s="114"/>
      <c r="D57" s="114"/>
      <c r="E57" s="114"/>
      <c r="F57" s="114"/>
      <c r="G57" s="114"/>
      <c r="H57" s="114"/>
      <c r="I57" s="114"/>
      <c r="J57" s="298" t="s">
        <v>225</v>
      </c>
      <c r="K57" s="298"/>
      <c r="L57" s="298"/>
      <c r="M57" s="298"/>
      <c r="N57" s="298"/>
      <c r="O57" s="298"/>
      <c r="P57" s="298"/>
      <c r="Q57" s="34"/>
      <c r="R57" s="3"/>
      <c r="S57" s="43"/>
      <c r="T57" s="43"/>
      <c r="U57" s="43"/>
      <c r="V57" s="33"/>
      <c r="W57" s="3"/>
      <c r="X57" s="33"/>
      <c r="Y57" s="33"/>
      <c r="Z57" s="33"/>
      <c r="AA57" s="33"/>
      <c r="AC57" s="70" t="str">
        <f>IFERROR(HLOOKUP("*장비체험*",D82:D85,2,0),"")</f>
        <v/>
      </c>
      <c r="AD57" s="70"/>
      <c r="AE57" s="70"/>
      <c r="AF57" s="70" t="str">
        <f>IFERROR(HLOOKUP("*장비체험*",G82:G85,2,0),"")</f>
        <v/>
      </c>
      <c r="AG57" s="70"/>
      <c r="AH57" s="70"/>
      <c r="AI57" s="70" t="str">
        <f>IFERROR(HLOOKUP("*장비체험*",J82:J85,2,0),"")</f>
        <v/>
      </c>
      <c r="AJ57" s="70"/>
      <c r="AK57" s="70"/>
      <c r="AL57" s="70" t="str">
        <f>IFERROR(HLOOKUP("*장비체험*",M82:M85,2,0),"")</f>
        <v/>
      </c>
      <c r="AM57" s="70"/>
      <c r="AN57" s="70"/>
      <c r="AO57" s="70" t="str">
        <f>IFERROR(HLOOKUP("*장비체험*",P82:P85,2,0),"")</f>
        <v/>
      </c>
      <c r="AP57" s="70"/>
      <c r="AQ57" s="70"/>
      <c r="AR57" s="70"/>
      <c r="AS57" s="70"/>
    </row>
    <row r="58" spans="2:45" s="2" customFormat="1" ht="12" customHeight="1">
      <c r="B58" s="114"/>
      <c r="C58" s="114"/>
      <c r="D58" s="114"/>
      <c r="E58" s="114"/>
      <c r="F58" s="114"/>
      <c r="G58" s="114"/>
      <c r="H58" s="114"/>
      <c r="I58" s="114"/>
      <c r="J58" s="298" t="s">
        <v>226</v>
      </c>
      <c r="K58" s="298"/>
      <c r="L58" s="298"/>
      <c r="M58" s="298"/>
      <c r="N58" s="298"/>
      <c r="O58" s="298"/>
      <c r="P58" s="298"/>
      <c r="Q58" s="34"/>
      <c r="R58" s="3"/>
      <c r="S58" s="43"/>
      <c r="T58" s="43"/>
      <c r="U58" s="43"/>
      <c r="V58" s="33"/>
      <c r="W58" s="3"/>
      <c r="X58" s="33"/>
      <c r="Y58" s="33"/>
      <c r="Z58" s="33"/>
      <c r="AA58" s="33"/>
      <c r="AC58" s="70" t="str">
        <f>IFERROR(HLOOKUP("*장비체험*",D87:D90,2,0),"")</f>
        <v/>
      </c>
      <c r="AD58" s="70"/>
      <c r="AE58" s="70"/>
      <c r="AF58" s="70" t="str">
        <f>IFERROR(HLOOKUP("*장비체험*",G87:G90,2,0),"")</f>
        <v/>
      </c>
      <c r="AG58" s="70"/>
      <c r="AH58" s="70"/>
      <c r="AI58" s="70" t="str">
        <f>IFERROR(HLOOKUP("*장비체험*",J87:J90,2,0),"")</f>
        <v/>
      </c>
      <c r="AJ58" s="70"/>
      <c r="AK58" s="70"/>
      <c r="AL58" s="70" t="str">
        <f>IFERROR(HLOOKUP("*장비체험*",M87:M90,2,0),"")</f>
        <v/>
      </c>
      <c r="AM58" s="70"/>
      <c r="AN58" s="70"/>
      <c r="AO58" s="70" t="str">
        <f>IFERROR(HLOOKUP("*장비체험*",P87:P90,2,0),"")</f>
        <v/>
      </c>
      <c r="AP58" s="70"/>
      <c r="AQ58" s="70"/>
      <c r="AR58" s="70"/>
      <c r="AS58" s="70"/>
    </row>
    <row r="59" spans="2:45" s="2" customFormat="1" ht="12" customHeight="1"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3"/>
      <c r="M59" s="114"/>
      <c r="N59" s="114"/>
      <c r="O59" s="3"/>
      <c r="P59" s="114"/>
      <c r="Q59" s="34"/>
      <c r="R59" s="3"/>
      <c r="S59" s="43"/>
      <c r="T59" s="43"/>
      <c r="U59" s="43"/>
      <c r="V59" s="33"/>
      <c r="W59" s="3"/>
      <c r="X59" s="33"/>
      <c r="Y59" s="33"/>
      <c r="Z59" s="33"/>
      <c r="AA59" s="33"/>
      <c r="AC59" s="70" t="str">
        <f>IFERROR(HLOOKUP("*장비체험*",D92:D95,2,0),"")</f>
        <v/>
      </c>
      <c r="AD59" s="70"/>
      <c r="AE59" s="70"/>
      <c r="AF59" s="70" t="str">
        <f>IFERROR(HLOOKUP("*장비체험*",G92:G95,2,0),"")</f>
        <v/>
      </c>
      <c r="AG59" s="70"/>
      <c r="AH59" s="70"/>
      <c r="AI59" s="70" t="str">
        <f>IFERROR(HLOOKUP("*장비체험*",J92:J95,2,0),"")</f>
        <v/>
      </c>
      <c r="AJ59" s="70"/>
      <c r="AK59" s="70"/>
      <c r="AL59" s="70" t="str">
        <f>IFERROR(HLOOKUP("*장비체험*",M92:M95,2,0),"")</f>
        <v/>
      </c>
      <c r="AM59" s="70"/>
      <c r="AN59" s="70"/>
      <c r="AO59" s="70" t="str">
        <f>IFERROR(HLOOKUP("*장비체험*",P92:P95,2,0),"")</f>
        <v/>
      </c>
      <c r="AP59" s="70"/>
      <c r="AQ59" s="70"/>
      <c r="AR59" s="70"/>
      <c r="AS59" s="70"/>
    </row>
    <row r="60" spans="2:45" s="2" customFormat="1" ht="12" customHeight="1">
      <c r="B60" s="242" t="s">
        <v>4</v>
      </c>
      <c r="C60" s="114"/>
      <c r="D60" s="295" t="s">
        <v>146</v>
      </c>
      <c r="E60" s="296"/>
      <c r="F60" s="296"/>
      <c r="G60" s="296"/>
      <c r="H60" s="296"/>
      <c r="I60" s="296"/>
      <c r="J60" s="297"/>
      <c r="K60" s="114"/>
      <c r="L60" s="3"/>
      <c r="M60" s="224" t="s">
        <v>216</v>
      </c>
      <c r="N60" s="114"/>
      <c r="O60" s="3"/>
      <c r="P60" s="114"/>
      <c r="Q60" s="34"/>
      <c r="R60" s="3"/>
      <c r="S60" s="43"/>
      <c r="T60" s="43"/>
      <c r="U60" s="43"/>
      <c r="V60" s="33"/>
      <c r="W60" s="3"/>
      <c r="X60" s="33"/>
      <c r="Y60" s="33"/>
      <c r="Z60" s="33"/>
      <c r="AA60"/>
      <c r="AC60" s="70" t="str">
        <f>IFERROR(HLOOKUP("*장비체험*",D97:D100,2,0),"")</f>
        <v/>
      </c>
      <c r="AD60" s="70"/>
      <c r="AE60" s="70"/>
      <c r="AF60" s="70" t="str">
        <f>IFERROR(HLOOKUP("*장비체험*",G97:G100,2,0),"")</f>
        <v/>
      </c>
      <c r="AG60" s="70"/>
      <c r="AH60" s="70"/>
      <c r="AI60" s="70" t="str">
        <f>IFERROR(HLOOKUP("*장비체험*",J97:J100,2,0),"")</f>
        <v/>
      </c>
      <c r="AJ60" s="70"/>
      <c r="AK60" s="70"/>
      <c r="AL60" s="70" t="str">
        <f>IFERROR(HLOOKUP("*장비체험*",M97:M100,2,0),"")</f>
        <v/>
      </c>
      <c r="AM60" s="70"/>
      <c r="AN60" s="70"/>
      <c r="AO60" s="70" t="str">
        <f>IFERROR(HLOOKUP("*장비체험*",P97:P100,2,0),"")</f>
        <v/>
      </c>
      <c r="AP60" s="70"/>
      <c r="AQ60" s="70"/>
      <c r="AR60" s="70"/>
      <c r="AS60" s="70"/>
    </row>
    <row r="61" spans="2:45" s="2" customFormat="1" ht="12" customHeight="1">
      <c r="B61" s="231" t="s">
        <v>66</v>
      </c>
      <c r="C61" s="114"/>
      <c r="D61" s="63" t="s">
        <v>140</v>
      </c>
      <c r="E61" s="232"/>
      <c r="F61" s="233"/>
      <c r="G61" s="63" t="s">
        <v>140</v>
      </c>
      <c r="H61" s="232"/>
      <c r="I61" s="233"/>
      <c r="J61" s="63" t="s">
        <v>140</v>
      </c>
      <c r="K61" s="114"/>
      <c r="L61" s="3"/>
      <c r="M61" s="114"/>
      <c r="N61" s="114"/>
      <c r="O61" s="3"/>
      <c r="P61" s="114"/>
      <c r="Q61" s="34"/>
      <c r="R61" s="3"/>
      <c r="S61" s="43"/>
      <c r="T61" s="43"/>
      <c r="U61" s="43"/>
      <c r="V61" s="33"/>
      <c r="W61" s="3"/>
      <c r="X61" s="33"/>
      <c r="Y61" s="33"/>
      <c r="Z61" s="33"/>
      <c r="AA61" s="33"/>
      <c r="AC61" s="70" t="str">
        <f>IFERROR(HLOOKUP("*장비체험*",D106:D109,2,0),"")</f>
        <v/>
      </c>
      <c r="AD61" s="70"/>
      <c r="AE61" s="70"/>
      <c r="AF61" s="70" t="str">
        <f>IFERROR(HLOOKUP("*장비체험*",G106:G109,2,0),"")</f>
        <v/>
      </c>
      <c r="AG61" s="70"/>
      <c r="AH61" s="70"/>
      <c r="AI61" s="70" t="str">
        <f>IFERROR(HLOOKUP("*장비체험*",J106:J109,2,0),"")</f>
        <v/>
      </c>
      <c r="AJ61" s="70"/>
      <c r="AK61" s="70"/>
      <c r="AL61" s="70" t="str">
        <f>IFERROR(HLOOKUP("*장비체험*",M106:M109,2,0),"")</f>
        <v/>
      </c>
      <c r="AM61" s="70"/>
      <c r="AN61" s="70"/>
      <c r="AO61" s="70" t="str">
        <f>IFERROR(HLOOKUP("*장비체험*",P106:P109,2,0),"")</f>
        <v/>
      </c>
      <c r="AP61" s="70"/>
      <c r="AQ61" s="70"/>
      <c r="AR61" s="70"/>
      <c r="AS61" s="70"/>
    </row>
    <row r="62" spans="2:45" s="2" customFormat="1" ht="12" customHeight="1">
      <c r="B62" s="9" t="s">
        <v>141</v>
      </c>
      <c r="C62" s="114"/>
      <c r="D62" s="9" t="s">
        <v>142</v>
      </c>
      <c r="E62" s="115"/>
      <c r="F62" s="114"/>
      <c r="G62" s="9" t="s">
        <v>142</v>
      </c>
      <c r="H62" s="115"/>
      <c r="I62" s="114"/>
      <c r="J62" s="9" t="s">
        <v>142</v>
      </c>
      <c r="K62" s="114"/>
      <c r="L62" s="3"/>
      <c r="M62" s="114"/>
      <c r="N62" s="114"/>
      <c r="O62" s="3"/>
      <c r="P62" s="114"/>
      <c r="Q62" s="34"/>
      <c r="R62" s="3"/>
      <c r="S62" s="43"/>
      <c r="T62" s="43"/>
      <c r="U62" s="43"/>
      <c r="V62" s="33"/>
      <c r="W62" s="3"/>
      <c r="X62" s="33"/>
      <c r="Y62" s="33"/>
      <c r="Z62" s="33"/>
      <c r="AA62" s="33"/>
      <c r="AC62" s="70" t="str">
        <f>IFERROR(HLOOKUP("*장비체험*",D111:D114,2,0),"")</f>
        <v/>
      </c>
      <c r="AD62" s="70"/>
      <c r="AE62" s="70"/>
      <c r="AF62" s="70" t="str">
        <f>IFERROR(HLOOKUP("*장비체험*",G111:G114,2,0),"")</f>
        <v/>
      </c>
      <c r="AG62" s="70"/>
      <c r="AH62" s="70"/>
      <c r="AI62" s="70" t="str">
        <f>IFERROR(HLOOKUP("*장비체험*",J111:J114,2,0),"")</f>
        <v/>
      </c>
      <c r="AJ62" s="70"/>
      <c r="AK62" s="70"/>
      <c r="AL62" s="70" t="str">
        <f>IFERROR(HLOOKUP("*장비체험*",M111:M114,2,0),"")</f>
        <v/>
      </c>
      <c r="AM62" s="70"/>
      <c r="AN62" s="70"/>
      <c r="AO62" s="70" t="str">
        <f>IFERROR(HLOOKUP("*장비체험*",P111:P114,2,0),"")</f>
        <v/>
      </c>
      <c r="AP62" s="70"/>
      <c r="AQ62" s="70"/>
      <c r="AR62" s="70"/>
      <c r="AS62" s="70"/>
    </row>
    <row r="63" spans="2:45" s="2" customFormat="1" ht="1.5" customHeight="1">
      <c r="B63" s="7"/>
      <c r="C63" s="114"/>
      <c r="D63" s="8"/>
      <c r="E63" s="115"/>
      <c r="F63" s="114"/>
      <c r="G63" s="8"/>
      <c r="H63" s="115"/>
      <c r="I63" s="219"/>
      <c r="J63" s="8"/>
      <c r="K63" s="114"/>
      <c r="L63" s="219"/>
      <c r="M63" s="114"/>
      <c r="N63" s="114"/>
      <c r="O63" s="3"/>
      <c r="P63" s="114"/>
      <c r="Q63" s="31"/>
      <c r="R63" s="3"/>
      <c r="S63" s="43"/>
      <c r="T63" s="43"/>
      <c r="U63" s="43"/>
      <c r="V63" s="33"/>
      <c r="W63" s="3"/>
      <c r="X63" s="33"/>
      <c r="Y63" s="33"/>
      <c r="Z63" s="33"/>
      <c r="AA63" s="3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</row>
    <row r="64" spans="2:45" s="2" customFormat="1" ht="9.75" customHeight="1">
      <c r="B64" s="221" t="s">
        <v>10</v>
      </c>
      <c r="C64" s="114"/>
      <c r="D64" s="259" t="s">
        <v>165</v>
      </c>
      <c r="E64" s="115"/>
      <c r="F64" s="114"/>
      <c r="G64" s="241" t="s">
        <v>199</v>
      </c>
      <c r="H64" s="220"/>
      <c r="I64" s="219"/>
      <c r="J64" s="241" t="s">
        <v>200</v>
      </c>
      <c r="K64" s="3"/>
      <c r="L64" s="3"/>
      <c r="M64" s="114"/>
      <c r="N64" s="3"/>
      <c r="O64" s="3"/>
      <c r="P64" s="114"/>
      <c r="R64" s="33"/>
      <c r="S64" s="43"/>
      <c r="T64" s="43"/>
      <c r="U64" s="43"/>
      <c r="V64" s="33"/>
      <c r="W64" s="3"/>
      <c r="X64" s="33"/>
      <c r="Y64" s="33"/>
      <c r="Z64" s="33"/>
      <c r="AA64" s="33"/>
      <c r="AC64" s="70" t="str">
        <f>IFERROR(HLOOKUP("*장비체험*",D116:D119,2,0),"")</f>
        <v/>
      </c>
      <c r="AD64" s="70"/>
      <c r="AE64" s="70"/>
      <c r="AF64" s="70" t="str">
        <f>IFERROR(HLOOKUP("*장비체험*",G116:G119,2,0),"")</f>
        <v/>
      </c>
      <c r="AG64" s="70"/>
      <c r="AH64" s="70"/>
      <c r="AI64" s="70" t="str">
        <f>IFERROR(HLOOKUP("*장비체험*",J116:J119,2,0),"")</f>
        <v/>
      </c>
      <c r="AJ64" s="70"/>
      <c r="AK64" s="70"/>
      <c r="AL64" s="70" t="str">
        <f>IFERROR(HLOOKUP("*장비체험*",M116:M119,2,0),"")</f>
        <v/>
      </c>
      <c r="AM64" s="70"/>
      <c r="AN64" s="70"/>
      <c r="AO64" s="70" t="str">
        <f>IFERROR(HLOOKUP("*장비체험*",P116:P119,2,0),"")</f>
        <v/>
      </c>
      <c r="AP64" s="70"/>
      <c r="AQ64" s="70"/>
      <c r="AR64" s="70"/>
      <c r="AS64" s="70"/>
    </row>
    <row r="65" spans="2:45" s="2" customFormat="1" ht="9.75" customHeight="1">
      <c r="B65" s="221" t="s">
        <v>0</v>
      </c>
      <c r="C65" s="114"/>
      <c r="D65" s="8" t="s">
        <v>202</v>
      </c>
      <c r="E65" s="114"/>
      <c r="F65" s="113"/>
      <c r="G65" s="259" t="s">
        <v>262</v>
      </c>
      <c r="H65" s="220"/>
      <c r="I65" s="219"/>
      <c r="J65" s="8" t="s">
        <v>204</v>
      </c>
      <c r="K65" s="3"/>
      <c r="L65" s="3"/>
      <c r="M65" s="114"/>
      <c r="N65" s="3"/>
      <c r="O65" s="3"/>
      <c r="P65" s="114"/>
      <c r="R65" s="33"/>
      <c r="S65" s="43"/>
      <c r="T65" s="43"/>
      <c r="U65" s="43"/>
      <c r="V65" s="33"/>
      <c r="W65" s="3"/>
      <c r="X65" s="33"/>
      <c r="Y65" s="33"/>
      <c r="Z65" s="33"/>
      <c r="AA65" s="33"/>
      <c r="AC65" s="70" t="str">
        <f>IFERROR(HLOOKUP("*장비체험*",D121:D124,2,0),"")</f>
        <v/>
      </c>
      <c r="AD65" s="70"/>
      <c r="AE65" s="70"/>
      <c r="AF65" s="70" t="str">
        <f>IFERROR(HLOOKUP("*장비체험*",G121:G124,2,0),"")</f>
        <v/>
      </c>
      <c r="AG65" s="70"/>
      <c r="AH65" s="70"/>
      <c r="AI65" s="70" t="str">
        <f>IFERROR(HLOOKUP("*장비체험*",J121:J124,2,0),"")</f>
        <v/>
      </c>
      <c r="AJ65" s="70"/>
      <c r="AK65" s="70"/>
      <c r="AL65" s="70" t="str">
        <f>IFERROR(HLOOKUP("*장비체험*",M121:M124,2,0),"")</f>
        <v/>
      </c>
      <c r="AM65" s="70"/>
      <c r="AN65" s="70"/>
      <c r="AO65" s="70" t="str">
        <f>IFERROR(HLOOKUP("*장비체험*",P121:P124,2,0),"")</f>
        <v/>
      </c>
      <c r="AP65" s="70"/>
      <c r="AQ65" s="70"/>
      <c r="AR65" s="70"/>
      <c r="AS65" s="70"/>
    </row>
    <row r="66" spans="2:45" s="2" customFormat="1" ht="9.75" customHeight="1">
      <c r="B66" s="221" t="s">
        <v>68</v>
      </c>
      <c r="C66" s="114"/>
      <c r="D66" s="79"/>
      <c r="E66" s="114"/>
      <c r="F66" s="113"/>
      <c r="G66" s="79"/>
      <c r="I66" s="106"/>
      <c r="J66" s="79"/>
      <c r="K66" s="3"/>
      <c r="L66" s="3"/>
      <c r="M66" s="114"/>
      <c r="N66" s="3"/>
      <c r="O66" s="3"/>
      <c r="P66" s="114"/>
      <c r="Q66" s="25"/>
      <c r="R66" s="33"/>
      <c r="S66" s="43"/>
      <c r="T66" s="43"/>
      <c r="U66" s="43"/>
      <c r="V66" s="33"/>
      <c r="W66" s="3"/>
      <c r="X66" s="33"/>
      <c r="Y66" s="33"/>
      <c r="Z66" s="33"/>
      <c r="AA66" s="33"/>
      <c r="AC66" s="70" t="str">
        <f>IFERROR(HLOOKUP("*장비체험*",D130:D133,2,0),"")</f>
        <v/>
      </c>
      <c r="AD66" s="70"/>
      <c r="AE66" s="70"/>
      <c r="AF66" s="70" t="str">
        <f>IFERROR(HLOOKUP("*장비체험*",G130:G133,2,0),"")</f>
        <v/>
      </c>
      <c r="AG66" s="70"/>
      <c r="AH66" s="70"/>
      <c r="AI66" s="70" t="str">
        <f>IFERROR(HLOOKUP("*장비체험*",J130:J133,2,0),"")</f>
        <v/>
      </c>
      <c r="AJ66" s="70"/>
      <c r="AK66" s="70"/>
      <c r="AL66" s="70" t="str">
        <f>IFERROR(HLOOKUP("*장비체험*",M130:M133,2,0),"")</f>
        <v/>
      </c>
      <c r="AM66" s="70"/>
      <c r="AN66" s="70"/>
      <c r="AO66" s="70" t="str">
        <f>IFERROR(HLOOKUP("*장비체험*",P130:P133,2,0),"")</f>
        <v/>
      </c>
      <c r="AP66" s="70"/>
      <c r="AQ66" s="70"/>
      <c r="AR66" s="70"/>
      <c r="AS66" s="70"/>
    </row>
    <row r="67" spans="2:45" s="3" customFormat="1" ht="1.5" customHeight="1">
      <c r="B67" s="114"/>
      <c r="C67" s="114"/>
      <c r="D67" s="114"/>
      <c r="E67" s="114"/>
      <c r="F67" s="113"/>
      <c r="G67" s="114"/>
      <c r="I67" s="4"/>
      <c r="J67" s="114"/>
      <c r="M67" s="114"/>
      <c r="P67" s="114"/>
      <c r="S67" s="12"/>
      <c r="T67" s="12"/>
      <c r="U67" s="12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2"/>
      <c r="AQ67" s="70"/>
      <c r="AR67" s="70"/>
      <c r="AS67" s="72"/>
    </row>
    <row r="68" spans="2:45" s="2" customFormat="1" ht="9.75" customHeight="1">
      <c r="B68" s="9" t="s">
        <v>147</v>
      </c>
      <c r="C68" s="114"/>
      <c r="D68" s="9" t="s">
        <v>143</v>
      </c>
      <c r="E68" s="114"/>
      <c r="F68" s="113"/>
      <c r="G68" s="9" t="s">
        <v>143</v>
      </c>
      <c r="I68" s="106"/>
      <c r="J68" s="9" t="s">
        <v>143</v>
      </c>
      <c r="K68" s="3"/>
      <c r="L68" s="219"/>
      <c r="M68" s="114"/>
      <c r="N68" s="3"/>
      <c r="O68" s="3"/>
      <c r="P68" s="114"/>
      <c r="Q68" s="25"/>
      <c r="R68" s="33"/>
      <c r="S68" s="248" t="s">
        <v>4</v>
      </c>
      <c r="T68" s="43"/>
      <c r="U68" s="249"/>
      <c r="V68" s="33" t="s">
        <v>172</v>
      </c>
      <c r="W68" s="3"/>
      <c r="X68" s="33"/>
      <c r="Y68" s="33"/>
      <c r="Z68" s="33"/>
      <c r="AA68" s="33"/>
      <c r="AC68" s="70" t="str">
        <f>IFERROR(HLOOKUP("*장비체험*",D144:D148,3,0),"")</f>
        <v/>
      </c>
      <c r="AD68" s="70"/>
      <c r="AE68" s="70"/>
      <c r="AF68" s="70" t="str">
        <f>IFERROR(HLOOKUP("*장비체험*",G144:G148,3,0),"")</f>
        <v/>
      </c>
      <c r="AG68" s="70"/>
      <c r="AH68" s="70"/>
      <c r="AI68" s="70" t="str">
        <f>IFERROR(HLOOKUP("*장비체험*",J144:J148,3,0),"")</f>
        <v/>
      </c>
      <c r="AJ68" s="70"/>
      <c r="AK68" s="70"/>
      <c r="AL68" s="70" t="str">
        <f>IFERROR(HLOOKUP("*장비체험*",M144:M148,3,0),"")</f>
        <v/>
      </c>
      <c r="AM68" s="70"/>
      <c r="AN68" s="70"/>
      <c r="AO68" s="70" t="str">
        <f>IFERROR(HLOOKUP("*장비체험*",P144:P148,3,0),"")</f>
        <v/>
      </c>
      <c r="AP68" s="70"/>
      <c r="AQ68" s="70"/>
      <c r="AR68" s="70"/>
      <c r="AS68" s="70"/>
    </row>
    <row r="69" spans="2:45" s="2" customFormat="1" ht="9.75" customHeight="1">
      <c r="B69" s="105" t="s">
        <v>10</v>
      </c>
      <c r="C69" s="114"/>
      <c r="D69" s="78" t="s">
        <v>202</v>
      </c>
      <c r="E69" s="114"/>
      <c r="F69" s="113"/>
      <c r="G69" s="78" t="s">
        <v>199</v>
      </c>
      <c r="I69" s="106"/>
      <c r="J69" s="78" t="s">
        <v>204</v>
      </c>
      <c r="K69" s="3"/>
      <c r="L69" s="219"/>
      <c r="M69" s="199" t="s">
        <v>252</v>
      </c>
      <c r="N69" s="3"/>
      <c r="O69" s="3"/>
      <c r="P69" s="114"/>
      <c r="Q69" s="25"/>
      <c r="R69" s="33"/>
      <c r="S69" s="242" t="s">
        <v>4</v>
      </c>
      <c r="T69" s="43"/>
      <c r="U69" s="245"/>
      <c r="V69" s="33" t="s">
        <v>174</v>
      </c>
      <c r="W69" s="3"/>
      <c r="X69" s="33"/>
      <c r="Y69" s="33"/>
      <c r="Z69" s="33"/>
      <c r="AA69" s="33"/>
      <c r="AC69" s="70" t="str">
        <f>IFERROR(HLOOKUP("*장비체험*",D150:D153,2,0),"")</f>
        <v/>
      </c>
      <c r="AD69" s="70"/>
      <c r="AE69" s="70"/>
      <c r="AF69" s="70" t="str">
        <f>IFERROR(HLOOKUP("*장비체험*",G150:G153,2,0),"")</f>
        <v/>
      </c>
      <c r="AG69" s="70"/>
      <c r="AH69" s="70"/>
      <c r="AI69" s="70" t="str">
        <f>IFERROR(HLOOKUP("*장비체험*",J150:J153,2,0),"")</f>
        <v/>
      </c>
      <c r="AJ69" s="70"/>
      <c r="AK69" s="70"/>
      <c r="AL69" s="70" t="str">
        <f>IFERROR(HLOOKUP("*장비체험*",M150:M153,2,0),"")</f>
        <v/>
      </c>
      <c r="AM69" s="70"/>
      <c r="AN69" s="70"/>
      <c r="AO69" s="70" t="str">
        <f>IFERROR(HLOOKUP("*장비체험*",P150:P153,2,0),"")</f>
        <v/>
      </c>
      <c r="AP69" s="70"/>
      <c r="AQ69" s="70"/>
      <c r="AR69" s="70"/>
      <c r="AS69" s="70"/>
    </row>
    <row r="70" spans="2:45" s="2" customFormat="1" ht="9.75" customHeight="1">
      <c r="B70" s="105" t="s">
        <v>0</v>
      </c>
      <c r="C70" s="114"/>
      <c r="D70" s="259" t="s">
        <v>165</v>
      </c>
      <c r="E70" s="114"/>
      <c r="F70" s="113"/>
      <c r="G70" s="259" t="s">
        <v>101</v>
      </c>
      <c r="I70" s="106"/>
      <c r="J70" s="8" t="s">
        <v>200</v>
      </c>
      <c r="K70" s="3"/>
      <c r="L70" s="219"/>
      <c r="M70" s="199" t="s">
        <v>263</v>
      </c>
      <c r="N70" s="3"/>
      <c r="O70" s="3"/>
      <c r="P70" s="114"/>
      <c r="Q70" s="25"/>
      <c r="R70" s="33"/>
      <c r="S70" s="243" t="s">
        <v>4</v>
      </c>
      <c r="T70" s="43"/>
      <c r="U70" s="246"/>
      <c r="V70" s="33" t="s">
        <v>173</v>
      </c>
      <c r="W70" s="3"/>
      <c r="X70" s="33"/>
      <c r="Y70" s="33"/>
      <c r="Z70" s="33"/>
      <c r="AA70" s="33"/>
      <c r="AC70" s="70" t="str">
        <f>IFERROR(HLOOKUP("*장비체험*",D155:D158,2,0),"")</f>
        <v/>
      </c>
      <c r="AD70" s="70"/>
      <c r="AE70" s="70"/>
      <c r="AF70" s="70" t="str">
        <f>IFERROR(HLOOKUP("*장비체험*",G155:G158,2,0),"")</f>
        <v/>
      </c>
      <c r="AG70" s="70"/>
      <c r="AH70" s="70"/>
      <c r="AI70" s="70" t="str">
        <f>IFERROR(HLOOKUP("*장비체험*",J155:J158,2,0),"")</f>
        <v/>
      </c>
      <c r="AJ70" s="70"/>
      <c r="AK70" s="70"/>
      <c r="AL70" s="70" t="str">
        <f>IFERROR(HLOOKUP("*장비체험*",M155:M158,2,0),"")</f>
        <v/>
      </c>
      <c r="AM70" s="70"/>
      <c r="AN70" s="70"/>
      <c r="AO70" s="70" t="str">
        <f>IFERROR(HLOOKUP("*장비체험*",P155:P158,2,0),"")</f>
        <v/>
      </c>
      <c r="AP70" s="70"/>
      <c r="AQ70" s="70"/>
      <c r="AR70" s="70"/>
      <c r="AS70" s="70"/>
    </row>
    <row r="71" spans="2:45" s="2" customFormat="1" ht="9.75" customHeight="1">
      <c r="B71" s="105" t="s">
        <v>68</v>
      </c>
      <c r="C71" s="114"/>
      <c r="D71" s="79"/>
      <c r="E71" s="114"/>
      <c r="F71" s="8"/>
      <c r="G71" s="79"/>
      <c r="I71" s="106"/>
      <c r="J71" s="79"/>
      <c r="K71" s="3"/>
      <c r="L71" s="219"/>
      <c r="M71" s="114"/>
      <c r="N71" s="3"/>
      <c r="O71" s="3"/>
      <c r="P71" s="114"/>
      <c r="Q71" s="25"/>
      <c r="R71" s="33"/>
      <c r="S71" s="213" t="s">
        <v>104</v>
      </c>
      <c r="T71" s="236"/>
      <c r="U71" s="244"/>
      <c r="V71" s="33" t="s">
        <v>175</v>
      </c>
      <c r="W71" s="3"/>
      <c r="X71" s="33"/>
      <c r="Y71" s="33"/>
      <c r="Z71" s="33"/>
      <c r="AA71" s="33"/>
      <c r="AC71" s="70" t="str">
        <f>IFERROR(HLOOKUP("*장비체험*",D164:D167,2,0),"")</f>
        <v/>
      </c>
      <c r="AD71" s="70"/>
      <c r="AE71" s="70"/>
      <c r="AF71" s="70" t="str">
        <f>IFERROR(HLOOKUP("*장비체험*",G164:G167,2,0),"")</f>
        <v/>
      </c>
      <c r="AG71" s="70"/>
      <c r="AH71" s="70"/>
      <c r="AI71" s="70" t="str">
        <f>IFERROR(HLOOKUP("*장비체험*",J164:J167,2,0),"")</f>
        <v/>
      </c>
      <c r="AJ71" s="70"/>
      <c r="AK71" s="70"/>
      <c r="AL71" s="70" t="str">
        <f>IFERROR(HLOOKUP("*장비체험*",M164:M167,2,0),"")</f>
        <v/>
      </c>
      <c r="AM71" s="70"/>
      <c r="AN71" s="70"/>
      <c r="AO71" s="70" t="str">
        <f>IFERROR(HLOOKUP("*장비체험*",P164:P167,2,0),"")</f>
        <v/>
      </c>
      <c r="AP71" s="70"/>
      <c r="AQ71" s="70"/>
      <c r="AR71" s="70"/>
      <c r="AS71" s="70"/>
    </row>
    <row r="72" spans="2:45" s="2" customFormat="1" ht="1.5" customHeight="1">
      <c r="B72" s="114"/>
      <c r="C72" s="114"/>
      <c r="D72" s="114"/>
      <c r="E72" s="114"/>
      <c r="F72" s="113"/>
      <c r="G72" s="114"/>
      <c r="I72" s="106"/>
      <c r="J72" s="114"/>
      <c r="K72" s="3"/>
      <c r="L72" s="219"/>
      <c r="M72" s="114"/>
      <c r="N72" s="3"/>
      <c r="O72" s="3"/>
      <c r="P72" s="114"/>
      <c r="Q72" s="25"/>
      <c r="R72" s="33"/>
      <c r="S72" s="43"/>
      <c r="T72" s="43"/>
      <c r="U72" s="43"/>
      <c r="V72" s="33"/>
      <c r="W72" s="3"/>
      <c r="X72" s="33"/>
      <c r="Y72" s="33"/>
      <c r="Z72" s="33"/>
      <c r="AA72" s="33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</row>
    <row r="73" spans="2:45" s="2" customFormat="1" ht="9.75" customHeight="1">
      <c r="B73" s="114"/>
      <c r="C73" s="114"/>
      <c r="D73" s="114"/>
      <c r="E73" s="114"/>
      <c r="F73" s="114"/>
      <c r="G73" s="114"/>
      <c r="H73" s="3"/>
      <c r="I73" s="3"/>
      <c r="J73" s="114"/>
      <c r="K73" s="3"/>
      <c r="L73" s="3"/>
      <c r="M73" s="114"/>
      <c r="N73" s="3"/>
      <c r="O73" s="3"/>
      <c r="P73" s="114"/>
      <c r="Q73" s="25"/>
      <c r="R73" s="33"/>
      <c r="S73" s="37" t="s">
        <v>4</v>
      </c>
      <c r="T73" s="43"/>
      <c r="U73" s="247"/>
      <c r="V73" s="33" t="s">
        <v>176</v>
      </c>
      <c r="W73" s="3"/>
      <c r="X73" s="33"/>
      <c r="Y73" s="33"/>
      <c r="Z73" s="33"/>
      <c r="AA73" s="33"/>
      <c r="AC73" s="70" t="str">
        <f>IFERROR(HLOOKUP("*장비체험*",D169:D172,2,0),"")</f>
        <v/>
      </c>
      <c r="AD73" s="70"/>
      <c r="AE73" s="70"/>
      <c r="AF73" s="70" t="str">
        <f>IFERROR(HLOOKUP("*장비체험*",G169:G172,2,0),"")</f>
        <v/>
      </c>
      <c r="AG73" s="70"/>
      <c r="AH73" s="70"/>
      <c r="AI73" s="70" t="str">
        <f>IFERROR(HLOOKUP("*장비체험*",J169:J172,2,0),"")</f>
        <v/>
      </c>
      <c r="AJ73" s="70"/>
      <c r="AK73" s="70"/>
      <c r="AL73" s="70" t="str">
        <f>IFERROR(HLOOKUP("*장비체험*",M169:M172,2,0),"")</f>
        <v/>
      </c>
      <c r="AM73" s="70"/>
      <c r="AN73" s="70"/>
      <c r="AO73" s="70" t="str">
        <f>IFERROR(HLOOKUP("*장비체험*",P169:P172,2,0),"")</f>
        <v/>
      </c>
      <c r="AP73" s="70"/>
      <c r="AQ73" s="70"/>
      <c r="AR73" s="70"/>
      <c r="AS73" s="70"/>
    </row>
    <row r="74" spans="2:45" s="2" customFormat="1" ht="9.75" customHeight="1">
      <c r="B74" s="114"/>
      <c r="C74" s="114"/>
      <c r="D74" s="114"/>
      <c r="E74" s="114"/>
      <c r="F74" s="114"/>
      <c r="G74" s="114"/>
      <c r="H74" s="3"/>
      <c r="I74" s="3"/>
      <c r="J74" s="114"/>
      <c r="K74" s="3"/>
      <c r="L74" s="3"/>
      <c r="M74" s="114"/>
      <c r="N74" s="3"/>
      <c r="O74" s="3"/>
      <c r="P74" s="114"/>
      <c r="Q74" s="25"/>
      <c r="R74" s="33"/>
      <c r="S74" s="55" t="s">
        <v>6</v>
      </c>
      <c r="T74" s="43"/>
      <c r="U74" s="43"/>
      <c r="V74" s="33"/>
      <c r="W74" s="3"/>
      <c r="X74" s="33"/>
      <c r="Y74" s="33"/>
      <c r="Z74" s="33"/>
      <c r="AA74" s="33"/>
      <c r="AC74" s="70" t="str">
        <f>IFERROR(HLOOKUP("*장비체험*",D174:D177,2,0),"")</f>
        <v/>
      </c>
      <c r="AD74" s="70"/>
      <c r="AE74" s="70"/>
      <c r="AF74" s="70" t="str">
        <f>IFERROR(HLOOKUP("*장비체험*",G174:G177,2,0),"")</f>
        <v/>
      </c>
      <c r="AG74" s="70"/>
      <c r="AH74" s="70"/>
      <c r="AI74" s="70" t="str">
        <f>IFERROR(HLOOKUP("*장비체험*",J174:J177,2,0),"")</f>
        <v/>
      </c>
      <c r="AJ74" s="70"/>
      <c r="AK74" s="70"/>
      <c r="AL74" s="70" t="str">
        <f>IFERROR(HLOOKUP("*장비체험*",M174:M177,2,0),"")</f>
        <v/>
      </c>
      <c r="AM74" s="70"/>
      <c r="AN74" s="70"/>
      <c r="AO74" s="70" t="str">
        <f>IFERROR(HLOOKUP("*장비체험*",P174:P177,2,0),"")</f>
        <v/>
      </c>
      <c r="AP74" s="70"/>
      <c r="AQ74" s="70"/>
      <c r="AR74" s="70"/>
      <c r="AS74" s="70"/>
    </row>
    <row r="75" spans="2:45" s="2" customFormat="1" ht="9.75" customHeight="1">
      <c r="B75" s="114"/>
      <c r="C75" s="114"/>
      <c r="D75" s="114"/>
      <c r="E75" s="114"/>
      <c r="F75" s="114"/>
      <c r="G75" s="114"/>
      <c r="H75" s="3"/>
      <c r="I75" s="3"/>
      <c r="J75" s="114"/>
      <c r="K75" s="3"/>
      <c r="L75" s="3"/>
      <c r="M75" s="114"/>
      <c r="N75" s="3"/>
      <c r="O75" s="3"/>
      <c r="P75" s="114"/>
      <c r="Q75" s="25"/>
      <c r="R75" s="33"/>
      <c r="S75" s="55" t="s">
        <v>105</v>
      </c>
      <c r="T75" s="43"/>
      <c r="U75" s="43"/>
      <c r="V75" s="33"/>
      <c r="W75" s="3"/>
      <c r="X75" s="33"/>
      <c r="Y75" s="33"/>
      <c r="Z75" s="33"/>
      <c r="AA75" s="33"/>
      <c r="AC75" s="70" t="str">
        <f>IFERROR(HLOOKUP("*장비체험*",D179:D182,2,0),"")</f>
        <v/>
      </c>
      <c r="AD75" s="70"/>
      <c r="AE75" s="70"/>
      <c r="AF75" s="70" t="str">
        <f>IFERROR(HLOOKUP("*장비체험*",G179:G182,2,0),"")</f>
        <v/>
      </c>
      <c r="AG75" s="70"/>
      <c r="AH75" s="70"/>
      <c r="AI75" s="70" t="str">
        <f>IFERROR(HLOOKUP("*장비체험*",J179:J182,2,0),"")</f>
        <v/>
      </c>
      <c r="AJ75" s="70"/>
      <c r="AK75" s="70"/>
      <c r="AL75" s="70" t="str">
        <f>IFERROR(HLOOKUP("*장비체험*",M179:M182,2,0),"")</f>
        <v/>
      </c>
      <c r="AM75" s="70"/>
      <c r="AN75" s="70"/>
      <c r="AO75" s="70" t="str">
        <f>IFERROR(HLOOKUP("*장비체험*",P179:P182,2,0),"")</f>
        <v/>
      </c>
      <c r="AP75" s="70"/>
      <c r="AQ75" s="70"/>
      <c r="AR75" s="70"/>
      <c r="AS75" s="70"/>
    </row>
    <row r="76" spans="2:45" s="2" customFormat="1" ht="9.75" customHeight="1">
      <c r="B76" s="114"/>
      <c r="C76" s="114"/>
      <c r="D76" s="114"/>
      <c r="E76" s="114"/>
      <c r="F76" s="114"/>
      <c r="G76" s="114"/>
      <c r="H76" s="3"/>
      <c r="I76" s="3"/>
      <c r="J76" s="114"/>
      <c r="K76" s="3"/>
      <c r="L76" s="3"/>
      <c r="M76" s="114"/>
      <c r="N76" s="3"/>
      <c r="O76" s="3"/>
      <c r="P76" s="114"/>
      <c r="Q76" s="25"/>
      <c r="R76" s="33"/>
      <c r="S76" s="63" t="s">
        <v>5</v>
      </c>
      <c r="T76" s="43"/>
      <c r="U76" s="43"/>
      <c r="V76" s="33"/>
      <c r="W76" s="3"/>
      <c r="X76" s="33"/>
      <c r="Y76" s="33"/>
      <c r="Z76" s="33"/>
      <c r="AA76" s="33"/>
      <c r="AC76" s="70" t="str">
        <f>IFERROR(HLOOKUP("*장비체험*",D188:D191,2,0),"")</f>
        <v/>
      </c>
      <c r="AD76" s="70"/>
      <c r="AE76" s="70"/>
      <c r="AF76" s="70" t="str">
        <f>IFERROR(HLOOKUP("*장비체험*",G188:G191,2,0),"")</f>
        <v/>
      </c>
      <c r="AG76" s="70"/>
      <c r="AH76" s="70"/>
      <c r="AI76" s="70" t="str">
        <f>IFERROR(HLOOKUP("*장비체험*",J188:J191,2,0),"")</f>
        <v/>
      </c>
      <c r="AJ76" s="70"/>
      <c r="AK76" s="70"/>
      <c r="AL76" s="70" t="str">
        <f>IFERROR(HLOOKUP("*장비체험*",M188:M191,2,0),"")</f>
        <v/>
      </c>
      <c r="AM76" s="70"/>
      <c r="AN76" s="70"/>
      <c r="AO76" s="70" t="str">
        <f>IFERROR(HLOOKUP("*장비체험*",P188:P191,2,0),"")</f>
        <v/>
      </c>
      <c r="AP76" s="70"/>
      <c r="AQ76" s="70"/>
      <c r="AR76" s="70"/>
      <c r="AS76" s="70"/>
    </row>
    <row r="77" spans="2:45" s="2" customFormat="1" ht="1.5" customHeight="1">
      <c r="B77" s="7"/>
      <c r="C77" s="114"/>
      <c r="D77" s="114"/>
      <c r="E77" s="114"/>
      <c r="F77" s="114"/>
      <c r="G77" s="114"/>
      <c r="H77" s="219"/>
      <c r="I77" s="219"/>
      <c r="J77" s="114"/>
      <c r="K77" s="3"/>
      <c r="L77" s="219"/>
      <c r="M77" s="219"/>
      <c r="N77" s="219"/>
      <c r="O77" s="219"/>
      <c r="P77" s="219"/>
      <c r="Q77" s="25"/>
      <c r="R77" s="33"/>
      <c r="T77" s="43"/>
      <c r="U77" s="43"/>
      <c r="V77" s="33"/>
      <c r="W77" s="3"/>
      <c r="X77" s="33"/>
      <c r="Y77" s="33"/>
      <c r="Z77" s="33"/>
      <c r="AA77" s="33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</row>
    <row r="78" spans="2:45" s="2" customFormat="1" ht="9.75" customHeight="1">
      <c r="B78" s="5" t="s">
        <v>1</v>
      </c>
      <c r="C78" s="114"/>
      <c r="D78" s="59"/>
      <c r="E78" s="60"/>
      <c r="F78" s="60"/>
      <c r="G78" s="60" t="s">
        <v>126</v>
      </c>
      <c r="H78" s="60"/>
      <c r="I78" s="60"/>
      <c r="J78" s="60"/>
      <c r="K78" s="60"/>
      <c r="L78" s="60"/>
      <c r="M78" s="60"/>
      <c r="N78" s="60"/>
      <c r="O78" s="60"/>
      <c r="P78" s="61"/>
      <c r="Q78" s="25"/>
      <c r="R78" s="33"/>
      <c r="T78" s="43"/>
      <c r="U78" s="43"/>
      <c r="V78" s="33"/>
      <c r="W78" s="3"/>
      <c r="X78" s="33"/>
      <c r="Y78" s="33"/>
      <c r="Z78" s="33"/>
      <c r="AA78" s="33"/>
      <c r="AC78" s="70" t="str">
        <f>IFERROR(HLOOKUP("*장비체험*",D193:D196,2,0),"")</f>
        <v/>
      </c>
      <c r="AD78" s="70"/>
      <c r="AE78" s="70"/>
      <c r="AF78" s="70" t="str">
        <f>IFERROR(HLOOKUP("*장비체험*",G193:G196,2,0),"")</f>
        <v/>
      </c>
      <c r="AG78" s="70"/>
      <c r="AH78" s="70"/>
      <c r="AI78" s="70" t="str">
        <f>IFERROR(HLOOKUP("*장비체험*",J193:J196,2,0),"")</f>
        <v/>
      </c>
      <c r="AJ78" s="70"/>
      <c r="AK78" s="70"/>
      <c r="AL78" s="70" t="str">
        <f>IFERROR(HLOOKUP("*장비체험*",M193:M196,2,0),"")</f>
        <v/>
      </c>
      <c r="AM78" s="70"/>
      <c r="AN78" s="70"/>
      <c r="AO78" s="70" t="str">
        <f>IFERROR(HLOOKUP("*장비체험*",P193:P196,2,0),"")</f>
        <v/>
      </c>
      <c r="AP78" s="70"/>
      <c r="AQ78" s="70"/>
      <c r="AR78" s="70"/>
      <c r="AS78" s="70"/>
    </row>
    <row r="79" spans="2:45" s="2" customFormat="1" ht="9.75" customHeight="1">
      <c r="B79" s="114"/>
      <c r="C79" s="114"/>
      <c r="D79" s="114"/>
      <c r="E79" s="115"/>
      <c r="F79" s="114"/>
      <c r="G79" s="114"/>
      <c r="I79" s="106"/>
      <c r="J79" s="114"/>
      <c r="K79" s="3"/>
      <c r="L79" s="106"/>
      <c r="M79" s="107"/>
      <c r="N79" s="107"/>
      <c r="O79" s="30"/>
      <c r="Q79" s="25"/>
      <c r="R79" s="33"/>
      <c r="T79" s="43"/>
      <c r="U79" s="43"/>
      <c r="V79" s="33"/>
      <c r="W79" s="3"/>
      <c r="X79" s="33"/>
      <c r="Y79" s="33"/>
      <c r="Z79" s="33"/>
      <c r="AA79" s="33"/>
      <c r="AC79" s="70" t="str">
        <f>IFERROR(HLOOKUP("*장비체험*",D198:D201,2,0),"")</f>
        <v/>
      </c>
      <c r="AD79" s="70"/>
      <c r="AE79" s="70"/>
      <c r="AF79" s="70" t="str">
        <f>IFERROR(HLOOKUP("*장비체험*",G198:G201,2,0),"")</f>
        <v/>
      </c>
      <c r="AG79" s="70"/>
      <c r="AH79" s="70"/>
      <c r="AI79" s="70" t="str">
        <f>IFERROR(HLOOKUP("*장비체험*",J198:J201,2,0),"")</f>
        <v/>
      </c>
      <c r="AJ79" s="70"/>
      <c r="AK79" s="70"/>
      <c r="AL79" s="70" t="str">
        <f>IFERROR(HLOOKUP("*장비체험*",M198:M201,2,0),"")</f>
        <v/>
      </c>
      <c r="AM79" s="70"/>
      <c r="AN79" s="70"/>
      <c r="AO79" s="70" t="str">
        <f>IFERROR(HLOOKUP("*장비체험*",P198:P201,2,0),"")</f>
        <v/>
      </c>
      <c r="AP79" s="70"/>
      <c r="AQ79" s="70"/>
      <c r="AR79" s="70"/>
      <c r="AS79" s="70"/>
    </row>
    <row r="80" spans="2:45" s="2" customFormat="1" ht="9.75" customHeight="1">
      <c r="B80" s="6" t="s">
        <v>2</v>
      </c>
      <c r="C80" s="114"/>
      <c r="D80" s="62" t="s">
        <v>132</v>
      </c>
      <c r="E80" s="56"/>
      <c r="F80" s="56"/>
      <c r="G80" s="56" t="s">
        <v>256</v>
      </c>
      <c r="H80" s="57"/>
      <c r="I80" s="57"/>
      <c r="J80" s="57"/>
      <c r="K80" s="57"/>
      <c r="L80" s="57"/>
      <c r="M80" s="57"/>
      <c r="N80" s="57"/>
      <c r="O80" s="57"/>
      <c r="P80" s="58"/>
      <c r="Q80" s="25"/>
      <c r="R80" s="33"/>
      <c r="S80" s="43"/>
      <c r="T80" s="43"/>
      <c r="U80" s="43"/>
      <c r="V80" s="33"/>
      <c r="W80" s="3"/>
      <c r="X80" s="33"/>
      <c r="Y80" s="33"/>
      <c r="Z80" s="33"/>
      <c r="AA80" s="33"/>
      <c r="AC80" s="70" t="str">
        <f>IFERROR(HLOOKUP("*장비체험*",D203:D206,2,0),"")</f>
        <v/>
      </c>
      <c r="AD80" s="70"/>
      <c r="AE80" s="70"/>
      <c r="AF80" s="70" t="str">
        <f>IFERROR(HLOOKUP("*장비체험*",G203:G206,2,0),"")</f>
        <v/>
      </c>
      <c r="AG80" s="70"/>
      <c r="AH80" s="70"/>
      <c r="AI80" s="70" t="str">
        <f>IFERROR(HLOOKUP("*장비체험*",J203:J206,2,0),"")</f>
        <v/>
      </c>
      <c r="AJ80" s="70"/>
      <c r="AK80" s="70"/>
      <c r="AL80" s="70" t="str">
        <f>IFERROR(HLOOKUP("*장비체험*",M203:M206,2,0),"")</f>
        <v/>
      </c>
      <c r="AM80" s="70"/>
      <c r="AN80" s="70"/>
      <c r="AO80" s="70" t="str">
        <f>IFERROR(HLOOKUP("*장비체험*",P203:P206,2,0),"")</f>
        <v/>
      </c>
      <c r="AP80" s="70"/>
      <c r="AQ80" s="70"/>
      <c r="AR80" s="70"/>
      <c r="AS80" s="70"/>
    </row>
    <row r="81" spans="2:49" s="2" customFormat="1" ht="1.5" customHeight="1">
      <c r="B81" s="114"/>
      <c r="C81" s="114"/>
      <c r="D81" s="114"/>
      <c r="E81" s="114"/>
      <c r="F81" s="114"/>
      <c r="G81" s="114"/>
      <c r="H81" s="219"/>
      <c r="I81" s="219"/>
      <c r="J81" s="114"/>
      <c r="K81" s="3"/>
      <c r="L81" s="219"/>
      <c r="M81" s="219"/>
      <c r="N81" s="219"/>
      <c r="O81" s="219"/>
      <c r="P81" s="219"/>
      <c r="Q81" s="25"/>
      <c r="R81" s="33"/>
      <c r="S81" s="43"/>
      <c r="T81" s="43"/>
      <c r="U81" s="43"/>
      <c r="V81" s="33"/>
      <c r="W81" s="3"/>
      <c r="X81" s="33"/>
      <c r="Y81" s="33"/>
      <c r="Z81" s="33"/>
      <c r="AA81" s="33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</row>
    <row r="82" spans="2:49" s="2" customFormat="1" ht="9.75" customHeight="1">
      <c r="B82" s="237"/>
      <c r="C82" s="237"/>
      <c r="D82" s="237"/>
      <c r="E82" s="237"/>
      <c r="F82" s="237"/>
      <c r="G82" s="226" t="s">
        <v>272</v>
      </c>
      <c r="H82" s="3"/>
      <c r="I82" s="240"/>
      <c r="J82" s="9" t="s">
        <v>177</v>
      </c>
      <c r="K82" s="3"/>
      <c r="L82" s="239"/>
      <c r="M82" s="9" t="s">
        <v>194</v>
      </c>
      <c r="O82" s="3"/>
      <c r="P82" s="243" t="s">
        <v>178</v>
      </c>
      <c r="Q82" s="25"/>
      <c r="R82" s="33"/>
      <c r="S82" s="43"/>
      <c r="T82" s="43"/>
      <c r="U82" s="43"/>
      <c r="V82" s="33"/>
      <c r="W82" s="3"/>
      <c r="X82" s="33"/>
      <c r="Y82" s="33"/>
      <c r="Z82" s="33"/>
      <c r="AA82" s="33"/>
      <c r="AC82" s="70" t="str">
        <f>IFERROR(HLOOKUP("*장비체험*",D212:D215,2,0),"")</f>
        <v/>
      </c>
      <c r="AD82" s="70"/>
      <c r="AE82" s="70"/>
      <c r="AF82" s="70" t="str">
        <f>IFERROR(HLOOKUP("*장비체험*",G212:G215,2,0),"")</f>
        <v/>
      </c>
      <c r="AG82" s="70"/>
      <c r="AH82" s="70"/>
      <c r="AI82" s="70" t="str">
        <f>IFERROR(HLOOKUP("*장비체험*",J212:J215,2,0),"")</f>
        <v/>
      </c>
      <c r="AJ82" s="70"/>
      <c r="AK82" s="70"/>
      <c r="AL82" s="70" t="str">
        <f>IFERROR(HLOOKUP("*장비체험*",M212:M215,2,0),"")</f>
        <v/>
      </c>
      <c r="AM82" s="70"/>
      <c r="AN82" s="70"/>
      <c r="AO82" s="70" t="str">
        <f>IFERROR(HLOOKUP("*장비체험*",P212:P215,2,0),"")</f>
        <v/>
      </c>
      <c r="AP82" s="70"/>
      <c r="AQ82" s="70"/>
      <c r="AR82" s="70"/>
      <c r="AS82" s="70"/>
    </row>
    <row r="83" spans="2:49" s="2" customFormat="1" ht="9.75" customHeight="1">
      <c r="B83" s="237"/>
      <c r="C83" s="237"/>
      <c r="D83" s="237"/>
      <c r="E83" s="237"/>
      <c r="F83" s="237"/>
      <c r="G83" s="237"/>
      <c r="H83" s="3"/>
      <c r="I83" s="240"/>
      <c r="J83" s="261" t="s">
        <v>270</v>
      </c>
      <c r="K83" s="3"/>
      <c r="L83" s="239"/>
      <c r="M83" s="78" t="s">
        <v>207</v>
      </c>
      <c r="O83" s="3"/>
      <c r="P83" s="223" t="s">
        <v>179</v>
      </c>
      <c r="Q83" s="25"/>
      <c r="R83" s="33"/>
      <c r="S83" s="43"/>
      <c r="T83" s="43"/>
      <c r="U83" s="43"/>
      <c r="V83" s="33"/>
      <c r="W83" s="3"/>
      <c r="X83" s="33"/>
      <c r="Y83" s="33"/>
      <c r="Z83" s="33"/>
      <c r="AA83" s="33"/>
      <c r="AC83" s="70" t="str">
        <f>IFERROR(HLOOKUP("*장비체험*",D217:D220,2,0),"")</f>
        <v/>
      </c>
      <c r="AD83" s="70"/>
      <c r="AE83" s="70"/>
      <c r="AF83" s="70" t="str">
        <f>IFERROR(HLOOKUP("*장비체험*",G217:G220,2,0),"")</f>
        <v/>
      </c>
      <c r="AG83" s="70"/>
      <c r="AH83" s="70"/>
      <c r="AI83" s="70" t="str">
        <f>IFERROR(HLOOKUP("*장비체험*",J217:J220,2,0),"")</f>
        <v/>
      </c>
      <c r="AJ83" s="70"/>
      <c r="AK83" s="70"/>
      <c r="AL83" s="70" t="str">
        <f>IFERROR(HLOOKUP("*장비체험*",M217:M220,2,0),"")</f>
        <v/>
      </c>
      <c r="AM83" s="70"/>
      <c r="AN83" s="70"/>
      <c r="AO83" s="70" t="str">
        <f>IFERROR(HLOOKUP("*장비체험*",P217:P220,2,0),"")</f>
        <v/>
      </c>
      <c r="AP83" s="70"/>
      <c r="AQ83" s="70"/>
      <c r="AR83" s="70"/>
      <c r="AS83" s="70"/>
    </row>
    <row r="84" spans="2:49" s="2" customFormat="1" ht="9.75" customHeight="1">
      <c r="B84" s="242" t="s">
        <v>180</v>
      </c>
      <c r="C84" s="237"/>
      <c r="D84" s="242" t="s">
        <v>181</v>
      </c>
      <c r="E84" s="237"/>
      <c r="F84" s="237"/>
      <c r="G84" s="224" t="s">
        <v>210</v>
      </c>
      <c r="H84" s="3"/>
      <c r="I84" s="240"/>
      <c r="J84" s="8" t="s">
        <v>271</v>
      </c>
      <c r="K84" s="3"/>
      <c r="L84" s="239"/>
      <c r="M84" s="8" t="s">
        <v>244</v>
      </c>
      <c r="O84" s="3"/>
      <c r="P84" s="224" t="s">
        <v>212</v>
      </c>
      <c r="Q84" s="25"/>
      <c r="R84" s="33"/>
      <c r="S84" s="268" t="s">
        <v>26</v>
      </c>
      <c r="T84" s="269"/>
      <c r="U84" s="269"/>
      <c r="V84" s="270"/>
      <c r="W84" s="46"/>
      <c r="X84" s="265" t="s">
        <v>27</v>
      </c>
      <c r="Y84" s="266"/>
      <c r="Z84" s="266"/>
      <c r="AA84" s="266"/>
      <c r="AB84" s="267"/>
      <c r="AC84" s="278" t="s">
        <v>28</v>
      </c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80"/>
      <c r="AP84" s="70"/>
      <c r="AQ84" s="70"/>
      <c r="AR84" s="70"/>
      <c r="AS84" s="70"/>
    </row>
    <row r="85" spans="2:49" s="2" customFormat="1" ht="9.75" customHeight="1">
      <c r="B85" s="238" t="s">
        <v>182</v>
      </c>
      <c r="C85" s="237"/>
      <c r="D85" s="79" t="s">
        <v>183</v>
      </c>
      <c r="E85" s="237"/>
      <c r="F85" s="237"/>
      <c r="G85" s="237"/>
      <c r="H85" s="3"/>
      <c r="I85" s="240"/>
      <c r="J85" s="79" t="s">
        <v>184</v>
      </c>
      <c r="K85" s="3"/>
      <c r="L85" s="239"/>
      <c r="M85" s="79" t="s">
        <v>185</v>
      </c>
      <c r="O85" s="3"/>
      <c r="P85" s="224" t="s">
        <v>217</v>
      </c>
      <c r="Q85" s="25"/>
      <c r="R85" s="3"/>
      <c r="S85" s="130" t="s">
        <v>25</v>
      </c>
      <c r="T85" s="131" t="s">
        <v>29</v>
      </c>
      <c r="U85" s="132" t="s">
        <v>8</v>
      </c>
      <c r="V85" s="127" t="s">
        <v>9</v>
      </c>
      <c r="W85" s="35"/>
      <c r="X85" s="125" t="s">
        <v>25</v>
      </c>
      <c r="Y85" s="127" t="s">
        <v>29</v>
      </c>
      <c r="Z85" s="133" t="s">
        <v>8</v>
      </c>
      <c r="AA85" s="126" t="s">
        <v>30</v>
      </c>
      <c r="AB85" s="136" t="s">
        <v>24</v>
      </c>
      <c r="AC85" s="86" t="s">
        <v>31</v>
      </c>
      <c r="AD85" s="87"/>
      <c r="AE85" s="87"/>
      <c r="AF85" s="88" t="s">
        <v>9</v>
      </c>
      <c r="AG85" s="87"/>
      <c r="AH85" s="87"/>
      <c r="AI85" s="89" t="s">
        <v>24</v>
      </c>
      <c r="AJ85" s="87"/>
      <c r="AK85" s="87"/>
      <c r="AL85" s="196" t="s">
        <v>98</v>
      </c>
      <c r="AM85" s="196"/>
      <c r="AN85" s="196"/>
      <c r="AO85" s="197" t="s">
        <v>99</v>
      </c>
      <c r="AP85" s="176"/>
      <c r="AQ85" s="176"/>
      <c r="AR85" s="176"/>
      <c r="AS85" s="176"/>
      <c r="AT85" s="3"/>
      <c r="AU85" s="3"/>
      <c r="AV85" s="3"/>
      <c r="AW85" s="3"/>
    </row>
    <row r="86" spans="2:49" s="2" customFormat="1" ht="1.5" customHeight="1">
      <c r="B86" s="237"/>
      <c r="C86" s="237"/>
      <c r="D86" s="237"/>
      <c r="F86" s="3"/>
      <c r="G86" s="3"/>
      <c r="H86" s="3"/>
      <c r="I86" s="240"/>
      <c r="J86" s="1"/>
      <c r="L86" s="239"/>
      <c r="O86" s="3"/>
      <c r="P86" s="237"/>
      <c r="Q86" s="25"/>
      <c r="R86" s="3"/>
      <c r="S86" s="82"/>
      <c r="T86" s="82"/>
      <c r="U86" s="134"/>
      <c r="V86" s="3"/>
      <c r="W86" s="3"/>
      <c r="X86" s="3"/>
      <c r="Y86" s="3"/>
      <c r="Z86" s="135"/>
      <c r="AA86" s="3"/>
      <c r="AB86" s="83"/>
      <c r="AC86" s="83"/>
      <c r="AD86" s="84"/>
      <c r="AE86" s="84"/>
      <c r="AF86" s="83"/>
      <c r="AG86" s="84"/>
      <c r="AH86" s="84"/>
      <c r="AI86" s="84"/>
      <c r="AJ86" s="70"/>
      <c r="AK86" s="70"/>
      <c r="AL86" s="70"/>
      <c r="AM86" s="70"/>
      <c r="AN86" s="70"/>
      <c r="AO86" s="72"/>
      <c r="AP86" s="72"/>
      <c r="AQ86" s="72"/>
      <c r="AR86" s="72"/>
      <c r="AS86" s="72"/>
      <c r="AT86" s="3"/>
      <c r="AU86" s="3"/>
      <c r="AV86" s="3"/>
      <c r="AW86" s="3"/>
    </row>
    <row r="87" spans="2:49" s="2" customFormat="1" ht="9.75" customHeight="1">
      <c r="B87" s="9" t="s">
        <v>186</v>
      </c>
      <c r="C87" s="237"/>
      <c r="D87" s="9" t="s">
        <v>187</v>
      </c>
      <c r="E87" s="237"/>
      <c r="F87" s="237"/>
      <c r="G87" s="226" t="s">
        <v>273</v>
      </c>
      <c r="H87" s="3"/>
      <c r="I87" s="240"/>
      <c r="J87" s="9" t="s">
        <v>194</v>
      </c>
      <c r="K87" s="3"/>
      <c r="L87" s="239"/>
      <c r="M87" s="9" t="s">
        <v>189</v>
      </c>
      <c r="O87" s="3"/>
      <c r="P87" s="254" t="s">
        <v>258</v>
      </c>
      <c r="Q87" s="25"/>
      <c r="R87" s="67" t="s">
        <v>80</v>
      </c>
      <c r="S87" s="191">
        <f>COUNTIF($D$69:$P$69,"*원석*")+COUNTIF($D$74:$P$74,"*원석*")+COUNTIF($D$83:$P$83,"*원석*")+COUNTIF($D$88:$P$88,"*원석*")+COUNTIF($D$93:$P$93,"*원석*")+COUNTIF($D$98:$P$98,"*원석*")+COUNTIF($D$107:$P$107,"*원석*")+COUNTIF($D$112:$P$112,"*원석*")+COUNTIF($D$117:$P$117,"*원석*")+COUNTIF($D$122:$P$122,"*원석*")+COUNTIF($D$131:$P$131,"*원석*")</f>
        <v>0</v>
      </c>
      <c r="T87" s="193">
        <f>COUNTIF($D$70:$P$70,"*원석*")+COUNTIF($D$75:$P$75,"*원석*")+COUNTIF($D$84:$P$84,"*원석*")+COUNTIF($D$89:$P$89,"*원석*")+COUNTIF($D$94:$P$94,"*원석*")+COUNTIF($D$99:$P$99,"*원석*")+COUNTIF($D$108:$P$108,"*원석*")+COUNTIF($D$113:$P$113,"*원석*")+COUNTIF($D$118:$P$118,"*원석*")+COUNTIF($D$123:$P$123,"*원석*")+COUNTIF($D$132:$P$132,"*원석*")</f>
        <v>0</v>
      </c>
      <c r="U87" s="44">
        <f>S87*2+T87</f>
        <v>0</v>
      </c>
      <c r="V87" s="65">
        <f>COUNTIF($D$74:$P$75,"*원석*")+COUNTIF($D$98:$P$99,"*원석*")+COUNTIF($D$122:$P$123,"*원석*")</f>
        <v>0</v>
      </c>
      <c r="W87" s="3"/>
      <c r="X87" s="64">
        <f t="shared" ref="X87:AA88" si="0">S87+S147</f>
        <v>0</v>
      </c>
      <c r="Y87" s="65">
        <f t="shared" si="0"/>
        <v>0</v>
      </c>
      <c r="Z87" s="45">
        <f t="shared" si="0"/>
        <v>0</v>
      </c>
      <c r="AA87" s="69">
        <f t="shared" si="0"/>
        <v>0</v>
      </c>
      <c r="AB87" s="120">
        <f>COUNTIF($AC$54:$AO$54,"*원석*")+COUNTIF($AC$56:$AO$56,"*원석*")+COUNTIF($AC$57:$AO$57,"*원석*")+COUNTIF($AC$58:$AO$58,"*원석*")+COUNTIF($AC$59:$AO$59,"*원석*")+COUNTIF($AC$60:$AO$60,"*원석*")+COUNTIF($AC$61:$AO$61,"*원석*")+COUNTIF($AC$62:$AO$62,"*원석*")+COUNTIF($AC$64:$AO$64,"*원석*")+COUNTIF($AC$65:$AO$65,"*원석*")+COUNTIF($AC$66:$AO$66,"*원석*")+COUNTIF($AC$68:$AO$68,"*원석*")+COUNTIF($AC$69:$AO$69,"*원석*")+COUNTIF($AC$70:$AO$70,"*원석*")+COUNTIF($AC$71:$AO$71,"*원석*")+COUNTIF($AC$73:$AO$73,"*원석*")+COUNTIF($AC$74:$AO$74,"*원석*")+COUNTIF($AC$75:$AO$75,"*원석*")</f>
        <v>0</v>
      </c>
      <c r="AC87" s="123">
        <f>Z87+U184</f>
        <v>0</v>
      </c>
      <c r="AD87" s="121"/>
      <c r="AE87" s="121"/>
      <c r="AF87" s="85">
        <f>AA87+V184</f>
        <v>0</v>
      </c>
      <c r="AG87" s="121"/>
      <c r="AH87" s="121"/>
      <c r="AI87" s="120">
        <f>AB87+X184</f>
        <v>0</v>
      </c>
      <c r="AJ87" s="121"/>
      <c r="AK87" s="121"/>
      <c r="AL87" s="201">
        <v>0</v>
      </c>
      <c r="AM87" s="121"/>
      <c r="AN87" s="121"/>
      <c r="AO87" s="155">
        <v>0</v>
      </c>
      <c r="AP87" s="176"/>
      <c r="AQ87" s="176"/>
      <c r="AR87" s="176"/>
      <c r="AS87" s="176"/>
      <c r="AT87" s="3"/>
      <c r="AU87" s="3"/>
      <c r="AV87" s="3"/>
      <c r="AW87" s="3"/>
    </row>
    <row r="88" spans="2:49" s="2" customFormat="1" ht="9.75" customHeight="1">
      <c r="B88" s="238" t="s">
        <v>10</v>
      </c>
      <c r="C88" s="237"/>
      <c r="D88" s="78" t="s">
        <v>199</v>
      </c>
      <c r="E88" s="237"/>
      <c r="F88" s="237"/>
      <c r="G88" s="237"/>
      <c r="H88" s="3"/>
      <c r="I88" s="240"/>
      <c r="J88" s="78" t="s">
        <v>170</v>
      </c>
      <c r="K88" s="3"/>
      <c r="L88" s="239"/>
      <c r="M88" s="257" t="s">
        <v>203</v>
      </c>
      <c r="O88" s="3"/>
      <c r="P88" s="237"/>
      <c r="Q88" s="25"/>
      <c r="R88" s="66" t="s">
        <v>78</v>
      </c>
      <c r="S88" s="46">
        <f>COUNTIF($D$69:$P$69,"*성진*")+COUNTIF($D$74:$P$74,"*성진*")+COUNTIF($D$83:$P$83,"*성진*")+COUNTIF($D$88:$P$88,"*성진*")+COUNTIF($D$93:$P$93,"*성진*")+COUNTIF($D$98:$P$98,"*성진*")+COUNTIF($D$107:$P$107,"*성진*")+COUNTIF($D$112:$P$112,"*성진*")+COUNTIF($D$117:$P$117,"*성진*")+COUNTIF($D$122:$P$122,"*성진*")+COUNTIF($D$131:$P$131,"*성진*")</f>
        <v>0</v>
      </c>
      <c r="T88" s="166">
        <f>COUNTIF($D$70:$P$70,"*성진*")+COUNTIF($D$75:$P$75,"*성진*")+COUNTIF($D$84:$P$84,"*성진*")+COUNTIF($D$89:$P$89,"*성진*")+COUNTIF($D$94:$P$94,"*성진*")+COUNTIF($D$99:$P$99,"*성진*")+COUNTIF($D$108:$P$108,"*성진*")+COUNTIF($D$113:$P$113,"*성진*")+COUNTIF($D$118:$P$118,"*성진*")+COUNTIF($D$123:$P$123,"*성진*")+COUNTIF($D$132:$P$132,"*성진*")</f>
        <v>3</v>
      </c>
      <c r="U88" s="47">
        <f>S88*2+T88</f>
        <v>3</v>
      </c>
      <c r="V88" s="35">
        <f>COUNTIF($D$74:$P$75,"*성진*")+COUNTIF($D$98:$P$99,"*성진*")+COUNTIF($D$122:$P$123,"*성진*")</f>
        <v>0</v>
      </c>
      <c r="W88" s="3"/>
      <c r="X88" s="4">
        <f t="shared" si="0"/>
        <v>0</v>
      </c>
      <c r="Y88" s="35">
        <f t="shared" si="0"/>
        <v>3</v>
      </c>
      <c r="Z88" s="48">
        <f t="shared" si="0"/>
        <v>3</v>
      </c>
      <c r="AA88" s="3">
        <f t="shared" si="0"/>
        <v>0</v>
      </c>
      <c r="AB88" s="90">
        <f>COUNTIF($AC$54:$AO$54,"*성진*")+COUNTIF($AC$56:$AO$56,"*성진*")+COUNTIF($AC$57:$AO$57,"*성진*")+COUNTIF($AC$58:$AO$58,"*성진*")+COUNTIF($AC$59:$AO$59,"*성진*")+COUNTIF($AC$60:$AO$60,"*성진*")+COUNTIF($AC$61:$AO$61,"*성진*")+COUNTIF($AC$62:$AO$62,"*성진*")+COUNTIF($AC$64:$AO$64,"*성진*")+COUNTIF($AC$65:$AO$65,"*성진*")+COUNTIF($AC$66:$AO$66,"*성진*")+COUNTIF($AC$68:$AO$68,"*성진*")+COUNTIF($AC$69:$AO$69,"*성진*")+COUNTIF($AC$70:$AO$70,"*성진*")+COUNTIF($AC$71:$AO$71,"*성진*")+COUNTIF($AC$73:$AO$73,"*성진*")+COUNTIF($AC$74:$AO$74,"*성진*")+COUNTIF($AC$75:$AO$75,"*성진*")</f>
        <v>0</v>
      </c>
      <c r="AC88" s="122">
        <f>Z88+U185</f>
        <v>3</v>
      </c>
      <c r="AD88" s="84"/>
      <c r="AE88" s="84"/>
      <c r="AF88" s="73">
        <v>0</v>
      </c>
      <c r="AG88" s="84"/>
      <c r="AH88" s="84"/>
      <c r="AI88" s="90">
        <f>AB88+X185</f>
        <v>0</v>
      </c>
      <c r="AJ88" s="70"/>
      <c r="AK88" s="70"/>
      <c r="AL88" s="147">
        <v>0</v>
      </c>
      <c r="AM88" s="84"/>
      <c r="AN88" s="84"/>
      <c r="AO88" s="202">
        <v>0</v>
      </c>
      <c r="AP88" s="176"/>
      <c r="AQ88" s="176"/>
      <c r="AR88" s="176"/>
      <c r="AS88" s="176"/>
      <c r="AT88" s="176"/>
      <c r="AU88" s="176"/>
      <c r="AV88" s="176"/>
      <c r="AW88" s="3"/>
    </row>
    <row r="89" spans="2:49" s="2" customFormat="1" ht="9.75" customHeight="1">
      <c r="B89" s="238" t="s">
        <v>0</v>
      </c>
      <c r="C89" s="237"/>
      <c r="D89" s="8" t="s">
        <v>198</v>
      </c>
      <c r="E89" s="237"/>
      <c r="F89" s="237"/>
      <c r="G89" s="237"/>
      <c r="H89" s="3"/>
      <c r="I89" s="240"/>
      <c r="J89" s="8" t="s">
        <v>201</v>
      </c>
      <c r="K89" s="3"/>
      <c r="L89" s="239"/>
      <c r="M89" s="8" t="s">
        <v>248</v>
      </c>
      <c r="O89" s="3"/>
      <c r="P89" s="237"/>
      <c r="Q89" s="25"/>
      <c r="R89" s="66" t="s">
        <v>79</v>
      </c>
      <c r="S89" s="46">
        <f>COUNTIF($D$69:$P$69,"*종섭*")+COUNTIF($D$74:$P$74,"*종섭*")+COUNTIF($D$83:$P$83,"*종섭*")+COUNTIF($D$88:$P$88,"*종섭*")+COUNTIF($D$93:$P$93,"*종섭*")+COUNTIF($D$98:$P$98,"*종섭*")+COUNTIF($D$107:$P$107,"*종섭*")+COUNTIF($D$112:$P$112,"*종섭*")+COUNTIF($D$117:$P$117,"*종섭*")+COUNTIF($D$122:$P$122,"*종섭*")+COUNTIF($D$131:$P$131,"*종섭*")</f>
        <v>0</v>
      </c>
      <c r="T89" s="166">
        <f>COUNTIF($D$70:$P$70,"*종섭*")+COUNTIF($D$75:$P$75,"*종섭*")+COUNTIF($D$84:$P$84,"*종섭*")+COUNTIF($D$89:$P$89,"*종섭*")+COUNTIF($D$94:$P$94,"*종섭*")+COUNTIF($D$99:$P$99,"*종섭*")+COUNTIF($D$108:$P$108,"*종섭*")+COUNTIF($D$113:$P$113,"*종섭*")+COUNTIF($D$118:$P$118,"*종섭*")+COUNTIF($D$123:$P$123,"*종섭*")+COUNTIF($D$132:$P$132,"*종섭*")</f>
        <v>0</v>
      </c>
      <c r="U89" s="47">
        <f t="shared" ref="U89" si="1">S89*2+T89</f>
        <v>0</v>
      </c>
      <c r="V89" s="35">
        <f>COUNTIF($D$74:$P$75,"*종섭*")+COUNTIF($D$98:$P$99,"*종섭*")+COUNTIF($D$122:$P$123,"*종섭*")</f>
        <v>0</v>
      </c>
      <c r="W89" s="3"/>
      <c r="X89" s="4">
        <f t="shared" ref="X89:AA90" si="2">S89+S150</f>
        <v>0</v>
      </c>
      <c r="Y89" s="35">
        <f t="shared" si="2"/>
        <v>0</v>
      </c>
      <c r="Z89" s="48">
        <f t="shared" si="2"/>
        <v>0</v>
      </c>
      <c r="AA89" s="3">
        <f t="shared" si="2"/>
        <v>0</v>
      </c>
      <c r="AB89" s="90">
        <f>COUNTIF($AC$54:$AO$54,"*종섭*")+COUNTIF($AC$56:$AO$56,"*종섭*")+COUNTIF($AC$57:$AO$57,"*종섭*")+COUNTIF($AC$58:$AO$58,"*종섭*")+COUNTIF($AC$59:$AO$59,"*종섭*")+COUNTIF($AC$60:$AO$60,"*종섭*")+COUNTIF($AC$61:$AO$61,"*종섭*")+COUNTIF($AC$62:$AO$62,"*종섭*")+COUNTIF($AC$64:$AO$64,"*종섭*")+COUNTIF($AC$65:$AO$65,"*종섭*")+COUNTIF($AC$66:$AO$66,"*종섭*")+COUNTIF($AC$68:$AO$68,"*종섭*")+COUNTIF($AC$69:$AO$69,"*종섭*")+COUNTIF($AC$70:$AO$70,"*종섭*")+COUNTIF($AC$71:$AO$71,"*종섭*")+COUNTIF($AC$73:$AO$73,"*종섭*")+COUNTIF($AC$74:$AO$74,"*종섭*")+COUNTIF($AC$75:$AO$75,"*종섭*")</f>
        <v>0</v>
      </c>
      <c r="AC89" s="122">
        <f>Z89+U186</f>
        <v>0</v>
      </c>
      <c r="AD89" s="84"/>
      <c r="AE89" s="84"/>
      <c r="AF89" s="73">
        <f>AA89+V186</f>
        <v>0</v>
      </c>
      <c r="AG89" s="84"/>
      <c r="AH89" s="84"/>
      <c r="AI89" s="90">
        <f>AB89+X186</f>
        <v>0</v>
      </c>
      <c r="AJ89" s="70"/>
      <c r="AK89" s="70"/>
      <c r="AL89" s="147">
        <v>0</v>
      </c>
      <c r="AM89" s="84"/>
      <c r="AN89" s="84"/>
      <c r="AO89" s="202">
        <v>0</v>
      </c>
      <c r="AP89" s="176"/>
      <c r="AQ89" s="176"/>
      <c r="AR89" s="176"/>
      <c r="AS89" s="176"/>
      <c r="AT89" s="176"/>
      <c r="AU89" s="176"/>
      <c r="AV89" s="176"/>
      <c r="AW89" s="3"/>
    </row>
    <row r="90" spans="2:49" s="2" customFormat="1" ht="9.75" customHeight="1">
      <c r="B90" s="238" t="s">
        <v>190</v>
      </c>
      <c r="C90" s="237"/>
      <c r="D90" s="79"/>
      <c r="E90" s="237"/>
      <c r="F90" s="237"/>
      <c r="G90" s="237"/>
      <c r="H90" s="3"/>
      <c r="I90" s="240"/>
      <c r="J90" s="79" t="s">
        <v>191</v>
      </c>
      <c r="K90" s="3"/>
      <c r="L90" s="239"/>
      <c r="M90" s="79" t="s">
        <v>185</v>
      </c>
      <c r="O90" s="3"/>
      <c r="P90" s="237"/>
      <c r="Q90" s="25"/>
      <c r="R90" s="66" t="s">
        <v>23</v>
      </c>
      <c r="S90" s="46">
        <f>COUNTIF($D$69:$P$69,"*형민*")+COUNTIF($D$74:$P$74,"*형민*")+COUNTIF($D$83:$P$83,"*형민*")+COUNTIF($D$88:$P$88,"*형민*")+COUNTIF($D$93:$P$93,"*형민*")+COUNTIF($D$98:$P$98,"*형민*")+COUNTIF($D$107:$P$107,"*형민*")+COUNTIF($D$112:$P$112,"*형민*")+COUNTIF($D$117:$P$117,"*형민*")+COUNTIF($D$122:$P$122,"*형민*")+COUNTIF($D$131:$P$131,"*형민*")</f>
        <v>0</v>
      </c>
      <c r="T90" s="166">
        <f>COUNTIF($D$70:$P$70,"*형민*")+COUNTIF($D$75:$P$75,"*형민*")+COUNTIF($D$84:$P$84,"*형민*")+COUNTIF($D$89:$P$89,"*형민*")+COUNTIF($D$94:$P$94,"*형민*")+COUNTIF($D$99:$P$99,"*형민*")+COUNTIF($D$108:$P$108,"*형민*")+COUNTIF($D$113:$P$113,"*형민*")+COUNTIF($D$118:$P$118,"*형민*")+COUNTIF($D$123:$P$123,"*형민*")+COUNTIF($D$132:$P$132,"*형민*")</f>
        <v>0</v>
      </c>
      <c r="U90" s="47">
        <f>S90*2+T90</f>
        <v>0</v>
      </c>
      <c r="V90" s="35">
        <f>COUNTIF($D$74:$P$75,"*형민*")+COUNTIF($D$98:$P$99,"*형민*")+COUNTIF($D$122:$P$123,"*형민*")</f>
        <v>0</v>
      </c>
      <c r="W90" s="3"/>
      <c r="X90" s="4">
        <f t="shared" si="2"/>
        <v>0</v>
      </c>
      <c r="Y90" s="35">
        <f t="shared" si="2"/>
        <v>0</v>
      </c>
      <c r="Z90" s="48">
        <f t="shared" si="2"/>
        <v>0</v>
      </c>
      <c r="AA90" s="3">
        <f t="shared" si="2"/>
        <v>0</v>
      </c>
      <c r="AB90" s="90">
        <f>COUNTIF($AC$54:$AO$54,"*형민*")+COUNTIF($AC$56:$AO$56,"*형민*")+COUNTIF($AC$57:$AO$57,"*형민*")+COUNTIF($AC$58:$AO$58,"*형민*")+COUNTIF($AC$59:$AO$59,"*형민*")+COUNTIF($AC$60:$AO$60,"*형민*")+COUNTIF($AC$61:$AO$61,"*형민*")+COUNTIF($AC$62:$AO$62,"*형민*")+COUNTIF($AC$64:$AO$64,"*형민*")+COUNTIF($AC$65:$AO$65,"*형민*")+COUNTIF($AC$66:$AO$66,"*형민*")+COUNTIF($AC$68:$AO$68,"*형민*")+COUNTIF($AC$69:$AO$69,"*형민*")+COUNTIF($AC$70:$AO$70,"*형민*")+COUNTIF($AC$71:$AO$71,"*형민*")+COUNTIF($AC$73:$AO$73,"*형민*")+COUNTIF($AC$74:$AO$74,"*형민*")+COUNTIF($AC$75:$AO$75,"*형민*")</f>
        <v>0</v>
      </c>
      <c r="AC90" s="122">
        <f>Z90+U188</f>
        <v>0</v>
      </c>
      <c r="AD90" s="84"/>
      <c r="AE90" s="84"/>
      <c r="AF90" s="73">
        <f>AA90+V188</f>
        <v>0</v>
      </c>
      <c r="AG90" s="84"/>
      <c r="AH90" s="84"/>
      <c r="AI90" s="90">
        <f>AB90+X188</f>
        <v>0</v>
      </c>
      <c r="AJ90" s="70"/>
      <c r="AK90" s="70"/>
      <c r="AL90" s="147">
        <v>0</v>
      </c>
      <c r="AM90" s="84"/>
      <c r="AN90" s="84"/>
      <c r="AO90" s="202">
        <v>0</v>
      </c>
      <c r="AP90" s="176"/>
      <c r="AQ90" s="176"/>
      <c r="AR90" s="176"/>
      <c r="AS90" s="176"/>
      <c r="AT90" s="176"/>
      <c r="AU90" s="176"/>
      <c r="AV90" s="176"/>
      <c r="AW90" s="3"/>
    </row>
    <row r="91" spans="2:49" s="2" customFormat="1" ht="1.5" customHeight="1">
      <c r="B91" s="7"/>
      <c r="C91" s="237"/>
      <c r="D91" s="237"/>
      <c r="F91" s="3"/>
      <c r="G91" s="3"/>
      <c r="H91" s="3"/>
      <c r="I91" s="240"/>
      <c r="J91" s="1"/>
      <c r="L91" s="239"/>
      <c r="O91" s="3"/>
      <c r="P91" s="237"/>
      <c r="Q91" s="25"/>
      <c r="R91" s="66"/>
      <c r="S91" s="46"/>
      <c r="T91" s="166"/>
      <c r="U91" s="47"/>
      <c r="V91" s="35"/>
      <c r="W91" s="3"/>
      <c r="X91" s="4"/>
      <c r="Y91" s="35"/>
      <c r="Z91" s="48"/>
      <c r="AA91" s="3"/>
      <c r="AB91" s="90"/>
      <c r="AC91" s="122"/>
      <c r="AD91" s="84"/>
      <c r="AE91" s="84"/>
      <c r="AF91" s="73"/>
      <c r="AG91" s="84"/>
      <c r="AH91" s="84"/>
      <c r="AI91" s="90"/>
      <c r="AJ91" s="70"/>
      <c r="AK91" s="70"/>
      <c r="AL91" s="147"/>
      <c r="AM91" s="84"/>
      <c r="AN91" s="84"/>
      <c r="AO91" s="202"/>
      <c r="AP91" s="176"/>
      <c r="AQ91" s="176"/>
      <c r="AR91" s="176"/>
      <c r="AS91" s="176"/>
      <c r="AT91" s="176"/>
      <c r="AU91" s="176"/>
      <c r="AV91" s="176"/>
      <c r="AW91" s="3"/>
    </row>
    <row r="92" spans="2:49" s="2" customFormat="1" ht="9.75" customHeight="1">
      <c r="B92" s="9" t="s">
        <v>192</v>
      </c>
      <c r="C92" s="237"/>
      <c r="D92" s="9" t="s">
        <v>193</v>
      </c>
      <c r="E92" s="237"/>
      <c r="F92" s="237"/>
      <c r="G92" s="226" t="s">
        <v>274</v>
      </c>
      <c r="H92" s="3"/>
      <c r="I92" s="240"/>
      <c r="J92" s="9" t="s">
        <v>188</v>
      </c>
      <c r="K92" s="3"/>
      <c r="L92" s="239"/>
      <c r="M92" s="9" t="s">
        <v>195</v>
      </c>
      <c r="O92" s="3"/>
      <c r="P92" s="237"/>
      <c r="Q92" s="25"/>
      <c r="R92" s="66" t="s">
        <v>13</v>
      </c>
      <c r="S92" s="46">
        <f>COUNTIF($D$69:$P$69,"*효동*")+COUNTIF($D$74:$P$74,"*효동*")+COUNTIF($D$83:$P$83,"*효동*")+COUNTIF($D$88:$P$88,"*효동*")+COUNTIF($D$93:$P$93,"*효동*")+COUNTIF($D$98:$P$98,"*효동*")+COUNTIF($D$107:$P$107,"*효동*")+COUNTIF($D$112:$P$112,"*효동*")+COUNTIF($D$117:$P$117,"*효동*")+COUNTIF($D$122:$P$122,"*효동*")+COUNTIF($D$131:$P$131,"*효동*")</f>
        <v>2</v>
      </c>
      <c r="T92" s="166">
        <f>COUNTIF($D$70:$P$70,"*효동*")+COUNTIF($D$75:$P$75,"*효동*")+COUNTIF($D$84:$P$84,"*효동*")+COUNTIF($D$89:$P$89,"*효동*")+COUNTIF($D$94:$P$94,"*효동*")+COUNTIF($D$99:$P$99,"*효동*")+COUNTIF($D$108:$P$108,"*효동*")+COUNTIF($D$113:$P$113,"*효동*")+COUNTIF($D$118:$P$118,"*효동*")+COUNTIF($D$123:$P$123,"*효동*")+COUNTIF($D$132:$P$132,"*효동*")</f>
        <v>2</v>
      </c>
      <c r="U92" s="47">
        <f>S92*2+T92</f>
        <v>6</v>
      </c>
      <c r="V92" s="35">
        <f>COUNTIF($D$74:$P$75,"*효동*")+COUNTIF($D$98:$P$99,"*효동*")+COUNTIF($D$122:$P$123,"*효동*")</f>
        <v>0</v>
      </c>
      <c r="W92" s="3"/>
      <c r="X92" s="4">
        <f t="shared" ref="X92:AA93" si="3">S92+S152</f>
        <v>2</v>
      </c>
      <c r="Y92" s="35">
        <f t="shared" si="3"/>
        <v>2</v>
      </c>
      <c r="Z92" s="48">
        <f t="shared" si="3"/>
        <v>6</v>
      </c>
      <c r="AA92" s="3">
        <f t="shared" si="3"/>
        <v>0</v>
      </c>
      <c r="AB92" s="90">
        <f>COUNTIF($AC$54:$AO$54,"*효동*")+COUNTIF($AC$56:$AO$56,"*효동*")+COUNTIF($AC$57:$AO$57,"*효동*")+COUNTIF($AC$58:$AO$58,"*효동*")+COUNTIF($AC$59:$AO$59,"*효동*")+COUNTIF($AC$60:$AO$60,"*효동*")+COUNTIF($AC$61:$AO$61,"*효동*")+COUNTIF($AC$62:$AO$62,"*효동*")+COUNTIF($AC$64:$AO$64,"*효동*")+COUNTIF($AC$65:$AO$65,"*효동*")+COUNTIF($AC$66:$AO$66,"*효동*")+COUNTIF($AC$68:$AO$68,"*효동*")+COUNTIF($AC$69:$AO$69,"*효동*")+COUNTIF($AC$70:$AO$70,"*효동*")+COUNTIF($AC$71:$AO$71,"*효동*")+COUNTIF($AC$73:$AO$73,"*효동*")+COUNTIF($AC$74:$AO$74,"*효동*")+COUNTIF($AC$75:$AO$75,"*효동*")</f>
        <v>0</v>
      </c>
      <c r="AC92" s="122">
        <f>Z92+U189</f>
        <v>6</v>
      </c>
      <c r="AD92" s="84"/>
      <c r="AE92" s="84"/>
      <c r="AF92" s="73">
        <f>AA92+V189</f>
        <v>0</v>
      </c>
      <c r="AG92" s="84"/>
      <c r="AH92" s="84"/>
      <c r="AI92" s="90">
        <f>AB92+X189</f>
        <v>0</v>
      </c>
      <c r="AJ92" s="70"/>
      <c r="AK92" s="70"/>
      <c r="AL92" s="147">
        <v>0</v>
      </c>
      <c r="AM92" s="84"/>
      <c r="AN92" s="84"/>
      <c r="AO92" s="202">
        <v>0</v>
      </c>
      <c r="AP92" s="176"/>
      <c r="AQ92" s="176"/>
      <c r="AR92" s="176"/>
      <c r="AS92" s="176"/>
      <c r="AT92" s="176"/>
      <c r="AU92" s="176"/>
      <c r="AV92" s="176"/>
      <c r="AW92" s="3"/>
    </row>
    <row r="93" spans="2:49" s="2" customFormat="1" ht="9.75" customHeight="1">
      <c r="B93" s="238" t="s">
        <v>10</v>
      </c>
      <c r="C93" s="237"/>
      <c r="D93" s="78" t="s">
        <v>198</v>
      </c>
      <c r="E93" s="237"/>
      <c r="F93" s="237"/>
      <c r="G93" s="237"/>
      <c r="H93" s="3"/>
      <c r="I93" s="240"/>
      <c r="J93" s="255" t="s">
        <v>249</v>
      </c>
      <c r="K93" s="3"/>
      <c r="L93" s="239"/>
      <c r="M93" s="78" t="s">
        <v>197</v>
      </c>
      <c r="O93" s="3"/>
      <c r="P93" s="237"/>
      <c r="Q93" s="25"/>
      <c r="R93" s="66" t="s">
        <v>74</v>
      </c>
      <c r="S93" s="46">
        <f>COUNTIF($D$69:$P$69,"*상은*")+COUNTIF($D$74:$P$74,"*상은*")+COUNTIF($D$83:$P$83,"*상은*")+COUNTIF($D$88:$P$88,"*상은*")+COUNTIF($D$93:$P$93,"*상은*")+COUNTIF($D$98:$P$98,"*상은*")+COUNTIF($D$107:$P$107,"*상은*")+COUNTIF($D$112:$P$112,"*상은*")+COUNTIF($D$117:$P$117,"*상은*")+COUNTIF($D$122:$P$122,"*상은*")+COUNTIF($D$131:$P$131,"*상은*")</f>
        <v>3</v>
      </c>
      <c r="T93" s="166">
        <f>COUNTIF($D$70:$P$70,"*상은*")+COUNTIF($D$75:$P$75,"*상은*")+COUNTIF($D$84:$P$84,"*상은*")+COUNTIF($D$89:$P$89,"*상은*")+COUNTIF($D$94:$P$94,"*상은*")+COUNTIF($D$99:$P$99,"*상은*")+COUNTIF($D$108:$P$108,"*상은*")+COUNTIF($D$113:$P$113,"*상은*")+COUNTIF($D$118:$P$118,"*상은*")+COUNTIF($D$123:$P$123,"*상은*")+COUNTIF($D$132:$P$132,"*상은*")</f>
        <v>0</v>
      </c>
      <c r="U93" s="47">
        <f>S93*2+T93</f>
        <v>6</v>
      </c>
      <c r="V93" s="35">
        <f>COUNTIF($D$74:$P$75,"*상은*")+COUNTIF($D$98:$P$99,"*상은*")+COUNTIF($D$122:$P$123,"*상은*")</f>
        <v>0</v>
      </c>
      <c r="W93" s="3"/>
      <c r="X93" s="4">
        <f t="shared" si="3"/>
        <v>3</v>
      </c>
      <c r="Y93" s="35">
        <f t="shared" si="3"/>
        <v>0</v>
      </c>
      <c r="Z93" s="48">
        <f t="shared" si="3"/>
        <v>6</v>
      </c>
      <c r="AA93" s="3">
        <f t="shared" si="3"/>
        <v>0</v>
      </c>
      <c r="AB93" s="90">
        <f>COUNTIF($AC$54:$AO$54,"*상은*")+COUNTIF($AC$56:$AO$56,"*상은*")+COUNTIF($AC$57:$AO$57,"*상은*")+COUNTIF($AC$58:$AO$58,"*상은*")+COUNTIF($AC$59:$AO$59,"*상은*")+COUNTIF($AC$60:$AO$60,"*상은*")+COUNTIF($AC$61:$AO$61,"*상은*")+COUNTIF($AC$62:$AO$62,"*상은*")+COUNTIF($AC$64:$AO$64,"*상은*")+COUNTIF($AC$65:$AO$65,"*상은*")+COUNTIF($AC$66:$AO$66,"*상은*")+COUNTIF($AC$68:$AO$68,"*상은*")+COUNTIF($AC$69:$AO$69,"*상은*")+COUNTIF($AC$70:$AO$70,"*상은*")+COUNTIF($AC$71:$AO$71,"*상은*")+COUNTIF($AC$73:$AO$73,"*상은*")+COUNTIF($AC$74:$AO$74,"*상은*")+COUNTIF($AC$75:$AO$75,"*상은*")</f>
        <v>0</v>
      </c>
      <c r="AC93" s="122">
        <f>Z93+U190</f>
        <v>6</v>
      </c>
      <c r="AD93" s="84"/>
      <c r="AE93" s="84"/>
      <c r="AF93" s="73">
        <v>0</v>
      </c>
      <c r="AG93" s="84"/>
      <c r="AH93" s="84"/>
      <c r="AI93" s="90">
        <f>AB93+X190</f>
        <v>0</v>
      </c>
      <c r="AJ93" s="70"/>
      <c r="AK93" s="70"/>
      <c r="AL93" s="147">
        <v>0</v>
      </c>
      <c r="AM93" s="84"/>
      <c r="AN93" s="84"/>
      <c r="AO93" s="202">
        <v>1</v>
      </c>
      <c r="AP93" s="176"/>
      <c r="AQ93" s="176"/>
      <c r="AR93" s="176"/>
      <c r="AS93" s="176"/>
      <c r="AT93" s="176"/>
      <c r="AU93" s="176"/>
      <c r="AV93" s="176"/>
      <c r="AW93" s="3"/>
    </row>
    <row r="94" spans="2:49" s="2" customFormat="1" ht="9.75" customHeight="1">
      <c r="B94" s="238" t="s">
        <v>0</v>
      </c>
      <c r="C94" s="237"/>
      <c r="D94" s="8" t="s">
        <v>199</v>
      </c>
      <c r="E94" s="237"/>
      <c r="F94" s="237"/>
      <c r="G94" s="237"/>
      <c r="H94" s="3"/>
      <c r="I94" s="240"/>
      <c r="J94" s="8" t="s">
        <v>253</v>
      </c>
      <c r="K94" s="3"/>
      <c r="L94" s="239"/>
      <c r="M94" s="8" t="s">
        <v>205</v>
      </c>
      <c r="O94" s="3"/>
      <c r="P94" s="237"/>
      <c r="Q94" s="25"/>
      <c r="R94" s="66" t="s">
        <v>12</v>
      </c>
      <c r="S94" s="46">
        <f>COUNTIF($D$69:$P$69,"*준범*")+COUNTIF($D$74:$P$74,"*준범*")+COUNTIF($D$83:$P$83,"*준범*")+COUNTIF($D$88:$P$88,"*준범*")+COUNTIF($D$93:$P$93,"*준범*")+COUNTIF($D$98:$P$98,"*준범*")+COUNTIF($D$107:$P$107,"*준범*")+COUNTIF($D$112:$P$112,"*준범*")+COUNTIF($D$117:$P$117,"*준범*")+COUNTIF($D$122:$P$122,"*준범*")+COUNTIF($D$131:$P$131,"*준범*")</f>
        <v>2</v>
      </c>
      <c r="T94" s="168">
        <f>COUNTIF($D$70:$P$70,"*준범*")+COUNTIF($D$75:$P$75,"*준범*")+COUNTIF($D$84:$P$84,"*준범*")+COUNTIF($D$89:$P$89,"*준범*")+COUNTIF($D$94:$P$94,"*준범*")+COUNTIF($D$99:$P$99,"*준범*")+COUNTIF($D$108:$P$108,"*준범*")+COUNTIF($D$113:$P$113,"*준범*")+COUNTIF($D$118:$P$118,"*준범*")+COUNTIF($D$123:$P$123,"*준범*")+COUNTIF($D$132:$P$132,"*준범*")</f>
        <v>1</v>
      </c>
      <c r="U94" s="47">
        <f>S94*2+T94</f>
        <v>5</v>
      </c>
      <c r="V94" s="35">
        <f>COUNTIF($D$74:$P$75,"*준범*")+COUNTIF($D$98:$P$99,"*준범*")+COUNTIF($D$122:$P$123,"*준범*")</f>
        <v>0</v>
      </c>
      <c r="W94" s="3"/>
      <c r="X94" s="4">
        <f t="shared" ref="X94:AA95" si="4">S94+S155</f>
        <v>4</v>
      </c>
      <c r="Y94" s="35">
        <f t="shared" si="4"/>
        <v>1</v>
      </c>
      <c r="Z94" s="48">
        <f t="shared" si="4"/>
        <v>9</v>
      </c>
      <c r="AA94" s="3">
        <f t="shared" si="4"/>
        <v>0</v>
      </c>
      <c r="AB94" s="90">
        <f>COUNTIF($AC$54:$AO$54,"*준범*")+COUNTIF($AC$56:$AO$56,"*준범*")+COUNTIF($AC$57:$AO$57,"*준범*")+COUNTIF($AC$58:$AO$58,"*준범*")+COUNTIF($AC$59:$AO$59,"*준범*")+COUNTIF($AC$60:$AO$60,"*준범*")+COUNTIF($AC$61:$AO$61,"*준범*")+COUNTIF($AC$62:$AO$62,"*준범*")+COUNTIF($AC$64:$AO$64,"*준범*")+COUNTIF($AC$65:$AO$65,"*준범*")+COUNTIF($AC$66:$AO$66,"*준범*")+COUNTIF($AC$68:$AO$68,"*준범*")+COUNTIF($AC$69:$AO$69,"*준범*")+COUNTIF($AC$70:$AO$70,"*준범*")+COUNTIF($AC$71:$AO$71,"*준범*")+COUNTIF($AC$73:$AO$73,"*준범*")+COUNTIF($AC$74:$AO$74,"*준범*")+COUNTIF($AC$75:$AO$75,"*준범*")</f>
        <v>0</v>
      </c>
      <c r="AC94" s="122">
        <f>Z94+U191</f>
        <v>9</v>
      </c>
      <c r="AD94" s="84"/>
      <c r="AE94" s="84"/>
      <c r="AF94" s="73">
        <f>AA94+V191</f>
        <v>0</v>
      </c>
      <c r="AG94" s="84"/>
      <c r="AH94" s="84"/>
      <c r="AI94" s="90">
        <f>AB94+X191</f>
        <v>0</v>
      </c>
      <c r="AJ94" s="70"/>
      <c r="AK94" s="70"/>
      <c r="AL94" s="147">
        <v>0</v>
      </c>
      <c r="AM94" s="84"/>
      <c r="AN94" s="84"/>
      <c r="AO94" s="202">
        <v>0</v>
      </c>
      <c r="AP94" s="176"/>
      <c r="AQ94" s="176"/>
      <c r="AR94" s="176"/>
      <c r="AS94" s="176"/>
      <c r="AT94" s="176"/>
      <c r="AU94" s="176"/>
      <c r="AV94" s="176"/>
      <c r="AW94" s="3"/>
    </row>
    <row r="95" spans="2:49" s="2" customFormat="1" ht="9.75" customHeight="1">
      <c r="B95" s="238" t="s">
        <v>190</v>
      </c>
      <c r="C95" s="237"/>
      <c r="D95" s="79"/>
      <c r="E95" s="237"/>
      <c r="F95" s="237"/>
      <c r="G95" s="237"/>
      <c r="H95" s="3"/>
      <c r="I95" s="240"/>
      <c r="J95" s="79" t="s">
        <v>191</v>
      </c>
      <c r="K95" s="3"/>
      <c r="L95" s="239"/>
      <c r="M95" s="79" t="s">
        <v>196</v>
      </c>
      <c r="O95" s="3"/>
      <c r="P95" s="237"/>
      <c r="Q95" s="25"/>
      <c r="R95" s="66" t="s">
        <v>100</v>
      </c>
      <c r="S95" s="46">
        <f>COUNTIF($D$69:$P$69,"*슬비*")+COUNTIF($D$74:$P$74,"*슬비*")+COUNTIF($D$83:$P$83,"*슬비*")+COUNTIF($D$88:$P$88,"*슬비*")+COUNTIF($D$93:$P$93,"*슬비*")+COUNTIF($D$98:$P$98,"*슬비*")+COUNTIF($D$107:$P$107,"*슬비*")+COUNTIF($D$112:$P$112,"*슬비*")+COUNTIF($D$117:$P$117,"*슬비*")+COUNTIF($D$122:$P$122,"*슬비*")+COUNTIF($D$131:$P$131,"*슬비*")</f>
        <v>0</v>
      </c>
      <c r="T95" s="168">
        <f>COUNTIF($D$70:$P$70,"*슬비*")+COUNTIF($D$75:$P$75,"*슬비*")+COUNTIF($D$84:$P$84,"*슬비*")+COUNTIF($D$89:$P$89,"*슬비*")+COUNTIF($D$94:$P$94,"*슬비*")+COUNTIF($D$99:$P$99,"*슬비*")+COUNTIF($D$108:$P$108,"*슬비*")+COUNTIF($D$113:$P$113,"*슬비*")+COUNTIF($D$118:$P$118,"*슬비*")+COUNTIF($D$123:$P$123,"*슬비*")+COUNTIF($D$132:$P$132,"*슬비*")</f>
        <v>0</v>
      </c>
      <c r="U95" s="47">
        <f>S95*2+T95</f>
        <v>0</v>
      </c>
      <c r="V95" s="35">
        <f>COUNTIF($D$74:$P$75,"*슬비*")+COUNTIF($D$98:$P$99,"*슬비*")+COUNTIF($D$122:$P$123,"*슬비*")</f>
        <v>0</v>
      </c>
      <c r="W95" s="3"/>
      <c r="X95" s="4">
        <f t="shared" si="4"/>
        <v>0</v>
      </c>
      <c r="Y95" s="35">
        <f t="shared" si="4"/>
        <v>0</v>
      </c>
      <c r="Z95" s="48">
        <f t="shared" si="4"/>
        <v>0</v>
      </c>
      <c r="AA95" s="3">
        <f t="shared" si="4"/>
        <v>0</v>
      </c>
      <c r="AB95" s="90">
        <f>COUNTIF($AC$54:$AO$54,"*슬비*")+COUNTIF($AC$56:$AO$56,"*슬비*")+COUNTIF($AC$57:$AO$57,"*슬비*")+COUNTIF($AC$58:$AO$58,"*슬비*")+COUNTIF($AC$59:$AO$59,"*슬비*")+COUNTIF($AC$60:$AO$60,"*슬비*")+COUNTIF($AC$61:$AO$61,"*슬비*")+COUNTIF($AC$62:$AO$62,"*슬비*")+COUNTIF($AC$64:$AO$64,"*슬비*")+COUNTIF($AC$65:$AO$65,"*슬비*")+COUNTIF($AC$66:$AO$66,"*슬비*")+COUNTIF($AC$68:$AO$68,"*슬비*")+COUNTIF($AC$69:$AO$69,"*슬비*")+COUNTIF($AC$70:$AO$70,"*슬비*")+COUNTIF($AC$71:$AO$71,"*슬비*")+COUNTIF($AC$73:$AO$73,"*슬비*")+COUNTIF($AC$74:$AO$74,"*슬비*")+COUNTIF($AC$75:$AO$75,"*슬비*")</f>
        <v>0</v>
      </c>
      <c r="AC95" s="122">
        <f>Z95+U193</f>
        <v>0</v>
      </c>
      <c r="AD95" s="84"/>
      <c r="AE95" s="84"/>
      <c r="AF95" s="73">
        <f>AA95+V193</f>
        <v>0</v>
      </c>
      <c r="AG95" s="84"/>
      <c r="AH95" s="84"/>
      <c r="AI95" s="90">
        <f>AB95+X193</f>
        <v>0</v>
      </c>
      <c r="AJ95" s="70"/>
      <c r="AK95" s="70"/>
      <c r="AL95" s="147">
        <v>0</v>
      </c>
      <c r="AM95" s="84"/>
      <c r="AN95" s="84"/>
      <c r="AO95" s="202">
        <v>0</v>
      </c>
      <c r="AP95" s="176"/>
      <c r="AQ95" s="176"/>
      <c r="AR95" s="176"/>
      <c r="AS95" s="176"/>
      <c r="AT95" s="176"/>
      <c r="AU95" s="176"/>
      <c r="AV95" s="176"/>
      <c r="AW95" s="3"/>
    </row>
    <row r="96" spans="2:49" s="2" customFormat="1" ht="1.5" customHeight="1">
      <c r="B96" s="237"/>
      <c r="C96" s="237"/>
      <c r="D96" s="237"/>
      <c r="F96" s="3"/>
      <c r="G96" s="3"/>
      <c r="H96" s="3"/>
      <c r="I96" s="240"/>
      <c r="J96" s="1"/>
      <c r="L96" s="239"/>
      <c r="O96" s="3"/>
      <c r="P96" s="237"/>
      <c r="Q96" s="25"/>
      <c r="R96" s="66"/>
      <c r="S96" s="4"/>
      <c r="T96" s="35"/>
      <c r="U96" s="49"/>
      <c r="V96" s="35"/>
      <c r="W96" s="3"/>
      <c r="X96" s="4"/>
      <c r="Y96" s="35"/>
      <c r="Z96" s="48"/>
      <c r="AA96" s="3"/>
      <c r="AB96" s="90"/>
      <c r="AC96" s="122"/>
      <c r="AD96" s="84"/>
      <c r="AE96" s="84"/>
      <c r="AF96" s="73"/>
      <c r="AG96" s="84"/>
      <c r="AH96" s="84"/>
      <c r="AI96" s="90"/>
      <c r="AJ96" s="70"/>
      <c r="AK96" s="70"/>
      <c r="AL96" s="147"/>
      <c r="AM96" s="84"/>
      <c r="AN96" s="84"/>
      <c r="AO96" s="202"/>
      <c r="AP96" s="176"/>
      <c r="AQ96" s="176"/>
      <c r="AR96" s="176"/>
      <c r="AS96" s="176"/>
      <c r="AT96" s="176"/>
      <c r="AU96" s="176"/>
      <c r="AV96" s="176"/>
      <c r="AW96" s="3"/>
    </row>
    <row r="97" spans="2:49" s="2" customFormat="1" ht="9.75" customHeight="1">
      <c r="B97" s="237"/>
      <c r="C97" s="237"/>
      <c r="D97" s="237"/>
      <c r="E97" s="237"/>
      <c r="F97" s="237"/>
      <c r="G97" s="226"/>
      <c r="H97" s="3"/>
      <c r="I97" s="240"/>
      <c r="J97" s="260"/>
      <c r="K97" s="3"/>
      <c r="L97" s="3"/>
      <c r="M97" s="260"/>
      <c r="O97" s="3"/>
      <c r="P97" s="237" t="s">
        <v>218</v>
      </c>
      <c r="Q97" s="25"/>
      <c r="R97" s="66" t="s">
        <v>14</v>
      </c>
      <c r="S97" s="46">
        <f>COUNTIF($D$69:$P$69,"*최근*")+COUNTIF($D$74:$P$74,"*최근*")+COUNTIF($D$83:$P$83,"*최근*")+COUNTIF($D$88:$P$88,"*최근*")+COUNTIF($D$93:$P$93,"*최근*")+COUNTIF($D$98:$P$98,"*최근*")+COUNTIF($D$107:$P$107,"*최근*")+COUNTIF($D$112:$P$112,"*최근*")+COUNTIF($D$117:$P$117,"*최근*")+COUNTIF($D$122:$P$122,"*최근*")+COUNTIF($D$131:$P$131,"*최근*")</f>
        <v>0</v>
      </c>
      <c r="T97" s="168">
        <f>COUNTIF($D$70:$P$70,"*최근*")+COUNTIF($D$75:$P$75,"*최근*")+COUNTIF($D$84:$P$84,"*최근*")+COUNTIF($D$89:$P$89,"*최근*")+COUNTIF($D$94:$P$94,"*최근*")+COUNTIF($D$99:$P$99,"*최근*")+COUNTIF($D$108:$P$108,"*최근*")+COUNTIF($D$113:$P$113,"*최근*")+COUNTIF($D$118:$P$118,"*최근*")+COUNTIF($D$123:$P$123,"*최근*")+COUNTIF($D$132:$P$132,"*최근*")</f>
        <v>0</v>
      </c>
      <c r="U97" s="47">
        <f>S97*2+T97</f>
        <v>0</v>
      </c>
      <c r="V97" s="35">
        <f>COUNTIF($D$74:$P$75,"*최근*")+COUNTIF($D$98:$P$99,"*최근*")+COUNTIF($D$122:$P$123,"*최근*")</f>
        <v>0</v>
      </c>
      <c r="W97" s="3"/>
      <c r="X97" s="4">
        <f t="shared" ref="X97:AA98" si="5">S97+S157</f>
        <v>0</v>
      </c>
      <c r="Y97" s="35">
        <f t="shared" si="5"/>
        <v>0</v>
      </c>
      <c r="Z97" s="48">
        <f t="shared" si="5"/>
        <v>0</v>
      </c>
      <c r="AA97" s="3">
        <f t="shared" si="5"/>
        <v>0</v>
      </c>
      <c r="AB97" s="90">
        <f>COUNTIF($AC$54:$AO$54,"*최근*")+COUNTIF($AC$56:$AO$56,"*최근*")+COUNTIF($AC$57:$AO$57,"*최근*")+COUNTIF($AC$58:$AO$58,"*최근*")+COUNTIF($AC$59:$AO$59,"*최근*")+COUNTIF($AC$60:$AO$60,"*최근*")+COUNTIF($AC$61:$AO$61,"*최근*")+COUNTIF($AC$62:$AO$62,"*최근*")+COUNTIF($AC$64:$AO$64,"*최근*")+COUNTIF($AC$65:$AO$65,"*최근*")+COUNTIF($AC$66:$AO$66,"*최근*")+COUNTIF($AC$68:$AO$68,"*최근*")+COUNTIF($AC$69:$AO$69,"*최근*")+COUNTIF($AC$70:$AO$70,"*최근*")+COUNTIF($AC$71:$AO$71,"*최근*")+COUNTIF($AC$73:$AO$73,"*최근*")+COUNTIF($AC$74:$AO$74,"*최근*")+COUNTIF($AC$75:$AO$75,"*최근*")</f>
        <v>0</v>
      </c>
      <c r="AC97" s="122">
        <f>Z97+U194</f>
        <v>0</v>
      </c>
      <c r="AD97" s="84"/>
      <c r="AE97" s="84"/>
      <c r="AF97" s="73">
        <f>AA97+V194</f>
        <v>0</v>
      </c>
      <c r="AG97" s="84"/>
      <c r="AH97" s="84"/>
      <c r="AI97" s="90">
        <f>AB97+X194</f>
        <v>0</v>
      </c>
      <c r="AJ97" s="70"/>
      <c r="AK97" s="70"/>
      <c r="AL97" s="147">
        <v>0</v>
      </c>
      <c r="AM97" s="84"/>
      <c r="AN97" s="84"/>
      <c r="AO97" s="202">
        <v>2</v>
      </c>
      <c r="AP97" s="176"/>
      <c r="AQ97" s="176"/>
      <c r="AR97" s="176"/>
      <c r="AS97" s="176"/>
      <c r="AT97" s="176"/>
      <c r="AU97" s="176"/>
      <c r="AV97" s="176"/>
      <c r="AW97" s="3"/>
    </row>
    <row r="98" spans="2:49" s="2" customFormat="1" ht="9.75" customHeight="1">
      <c r="B98" s="237"/>
      <c r="C98" s="237"/>
      <c r="D98" s="237"/>
      <c r="E98" s="237"/>
      <c r="F98" s="237"/>
      <c r="G98" s="237"/>
      <c r="H98" s="3"/>
      <c r="I98" s="240"/>
      <c r="J98" s="260"/>
      <c r="K98" s="3"/>
      <c r="L98" s="3"/>
      <c r="M98" s="260"/>
      <c r="O98" s="3"/>
      <c r="P98" s="251" t="s">
        <v>220</v>
      </c>
      <c r="R98" s="66" t="s">
        <v>15</v>
      </c>
      <c r="S98" s="46">
        <f>COUNTIF($D$69:$P$69,"*상록*")+COUNTIF($D$74:$P$74,"*상록*")+COUNTIF($D$83:$P$83,"*상록*")+COUNTIF($D$88:$P$88,"*상록*")+COUNTIF($D$93:$P$93,"*상록*")+COUNTIF($D$98:$P$98,"*상록*")+COUNTIF($D$107:$P$107,"*상록*")+COUNTIF($D$112:$P$112,"*상록*")+COUNTIF($D$117:$P$117,"*상록*")+COUNTIF($D$122:$P$122,"*상록*")+COUNTIF($D$131:$P$131,"*상록*")</f>
        <v>3</v>
      </c>
      <c r="T98" s="166">
        <f>COUNTIF($D$70:$P$70,"*상록*")+COUNTIF($D$75:$P$75,"*상록*")+COUNTIF($D$84:$P$84,"*상록*")+COUNTIF($D$89:$P$89,"*상록*")+COUNTIF($D$94:$P$94,"*상록*")+COUNTIF($D$99:$P$99,"*상록*")+COUNTIF($D$108:$P$108,"*상록*")+COUNTIF($D$113:$P$113,"*상록*")+COUNTIF($D$118:$P$118,"*상록*")+COUNTIF($D$123:$P$123,"*상록*")+COUNTIF($D$132:$P$132,"*상록*")</f>
        <v>2</v>
      </c>
      <c r="U98" s="47">
        <f>S98*2+T98</f>
        <v>8</v>
      </c>
      <c r="V98" s="35">
        <f>COUNTIF($D$74:$P$75,"*상록*")+COUNTIF($D$98:$P$99,"*상록*")+COUNTIF($D$122:$P$123,"*상록*")</f>
        <v>0</v>
      </c>
      <c r="W98" s="3"/>
      <c r="X98" s="4">
        <f t="shared" si="5"/>
        <v>3</v>
      </c>
      <c r="Y98" s="35">
        <f t="shared" si="5"/>
        <v>2</v>
      </c>
      <c r="Z98" s="48">
        <f t="shared" si="5"/>
        <v>8</v>
      </c>
      <c r="AA98" s="3">
        <f t="shared" si="5"/>
        <v>0</v>
      </c>
      <c r="AB98" s="90">
        <f>COUNTIF($AC$54:$AO$54,"*상록*")+COUNTIF($AC$56:$AO$56,"*상록*")+COUNTIF($AC$57:$AO$57,"*상록*")+COUNTIF($AC$58:$AO$58,"*상록*")+COUNTIF($AC$59:$AO$59,"*상록*")+COUNTIF($AC$60:$AO$60,"*상록*")+COUNTIF($AC$61:$AO$61,"*상록*")+COUNTIF($AC$62:$AO$62,"*상록*")+COUNTIF($AC$64:$AO$64,"*상록*")+COUNTIF($AC$65:$AO$65,"*상록*")+COUNTIF($AC$66:$AO$66,"*상록*")+COUNTIF($AC$68:$AO$68,"*상록*")+COUNTIF($AC$69:$AO$69,"*상록*")+COUNTIF($AC$70:$AO$70,"*상록*")+COUNTIF($AC$71:$AO$71,"*상록*")+COUNTIF($AC$73:$AO$73,"*상록*")+COUNTIF($AC$74:$AO$74,"*상록*")+COUNTIF($AC$75:$AO$75,"*상록*")</f>
        <v>0</v>
      </c>
      <c r="AC98" s="122">
        <f>Z98+U195</f>
        <v>8</v>
      </c>
      <c r="AD98" s="84"/>
      <c r="AE98" s="84"/>
      <c r="AF98" s="73">
        <f>AA98+V195</f>
        <v>0</v>
      </c>
      <c r="AG98" s="84"/>
      <c r="AH98" s="84"/>
      <c r="AI98" s="90">
        <f>AB98+X195</f>
        <v>0</v>
      </c>
      <c r="AJ98" s="70"/>
      <c r="AK98" s="70"/>
      <c r="AL98" s="147">
        <v>0</v>
      </c>
      <c r="AM98" s="84"/>
      <c r="AN98" s="84"/>
      <c r="AO98" s="202">
        <v>0</v>
      </c>
      <c r="AP98" s="176"/>
      <c r="AQ98" s="176"/>
      <c r="AR98" s="176"/>
      <c r="AS98" s="176"/>
      <c r="AT98" s="176"/>
      <c r="AU98" s="176"/>
      <c r="AV98" s="176"/>
      <c r="AW98" s="3"/>
    </row>
    <row r="99" spans="2:49" s="2" customFormat="1" ht="9.75" customHeight="1">
      <c r="B99" s="237"/>
      <c r="C99" s="237"/>
      <c r="D99" s="237"/>
      <c r="E99" s="237"/>
      <c r="F99" s="237"/>
      <c r="G99" s="237"/>
      <c r="H99" s="3"/>
      <c r="I99" s="240"/>
      <c r="J99" s="260"/>
      <c r="K99" s="3"/>
      <c r="L99" s="3"/>
      <c r="M99" s="260"/>
      <c r="O99" s="3"/>
      <c r="P99" s="251" t="s">
        <v>219</v>
      </c>
      <c r="R99" s="66" t="s">
        <v>16</v>
      </c>
      <c r="S99" s="46">
        <f>COUNTIF($D$69:$P$69,"*신우*")+COUNTIF($D$74:$P$74,"*신우*")+COUNTIF($D$83:$P$83,"*신우*")+COUNTIF($D$88:$P$88,"*신우*")+COUNTIF($D$93:$P$93,"*신우*")+COUNTIF($D$98:$P$98,"*신우*")+COUNTIF($D$107:$P$107,"*신우*")+COUNTIF($D$112:$P$112,"*신우*")+COUNTIF($D$117:$P$117,"*신우*")+COUNTIF($D$122:$P$122,"*신우*")+COUNTIF($D$131:$P$131,"*신우*")</f>
        <v>1</v>
      </c>
      <c r="T99" s="166">
        <f>COUNTIF($D$70:$P$70,"*신우*")+COUNTIF($D$75:$P$75,"*신우*")+COUNTIF($D$84:$P$84,"*신우*")+COUNTIF($D$89:$P$89,"*신우*")+COUNTIF($D$94:$P$94,"*신우*")+COUNTIF($D$99:$P$99,"*신우*")+COUNTIF($D$108:$P$108,"*신우*")+COUNTIF($D$113:$P$113,"*신우*")+COUNTIF($D$118:$P$118,"*신우*")+COUNTIF($D$123:$P$123,"*신우*")+COUNTIF($D$132:$P$132,"*신우*")</f>
        <v>2</v>
      </c>
      <c r="U99" s="47">
        <f>S99*2+T99</f>
        <v>4</v>
      </c>
      <c r="V99" s="35">
        <f>COUNTIF($D$74:$P$75,"*신우*")+COUNTIF($D$98:$P$99,"*신우*")+COUNTIF($D$122:$P$123,"*신우*")</f>
        <v>0</v>
      </c>
      <c r="W99" s="3"/>
      <c r="X99" s="4">
        <f t="shared" ref="X99:AA100" si="6">S99+S160</f>
        <v>1</v>
      </c>
      <c r="Y99" s="35">
        <f t="shared" si="6"/>
        <v>2</v>
      </c>
      <c r="Z99" s="48">
        <f t="shared" si="6"/>
        <v>4</v>
      </c>
      <c r="AA99" s="3">
        <f t="shared" si="6"/>
        <v>0</v>
      </c>
      <c r="AB99" s="90">
        <f>COUNTIF($AC$54:$AO$54,"*신우*")+COUNTIF($AC$56:$AO$56,"*신우*")+COUNTIF($AC$57:$AO$57,"*신우*")+COUNTIF($AC$58:$AO$58,"*신우*")+COUNTIF($AC$59:$AO$59,"*신우*")+COUNTIF($AC$60:$AO$60,"*신우*")+COUNTIF($AC$61:$AO$61,"*신우*")+COUNTIF($AC$62:$AO$62,"*신우*")+COUNTIF($AC$64:$AO$64,"*신우*")+COUNTIF($AC$65:$AO$65,"*신우*")+COUNTIF($AC$66:$AO$66,"*신우*")+COUNTIF($AC$68:$AO$68,"*신우*")+COUNTIF($AC$69:$AO$69,"*신우*")+COUNTIF($AC$70:$AO$70,"*신우*")+COUNTIF($AC$71:$AO$71,"*신우*")+COUNTIF($AC$73:$AO$73,"*신우*")+COUNTIF($AC$74:$AO$74,"*신우*")+COUNTIF($AC$75:$AO$75,"*신우*")</f>
        <v>0</v>
      </c>
      <c r="AC99" s="122">
        <f>Z99+U196</f>
        <v>4</v>
      </c>
      <c r="AD99" s="84"/>
      <c r="AE99" s="84"/>
      <c r="AF99" s="73">
        <f>AA99+V196</f>
        <v>0</v>
      </c>
      <c r="AG99" s="84"/>
      <c r="AH99" s="84"/>
      <c r="AI99" s="90">
        <f>AB99+X196</f>
        <v>0</v>
      </c>
      <c r="AJ99" s="70"/>
      <c r="AK99" s="70"/>
      <c r="AL99" s="147">
        <v>0.5</v>
      </c>
      <c r="AM99" s="84"/>
      <c r="AN99" s="84"/>
      <c r="AO99" s="202">
        <v>0</v>
      </c>
      <c r="AP99" s="176"/>
      <c r="AQ99" s="176"/>
      <c r="AR99" s="176"/>
      <c r="AS99" s="176"/>
      <c r="AT99" s="176"/>
      <c r="AU99" s="176"/>
      <c r="AV99" s="176"/>
      <c r="AW99" s="258"/>
    </row>
    <row r="100" spans="2:49" s="2" customFormat="1" ht="9.75" customHeight="1">
      <c r="B100" s="237"/>
      <c r="C100" s="237"/>
      <c r="D100" s="237"/>
      <c r="E100" s="237"/>
      <c r="F100" s="237"/>
      <c r="G100" s="237"/>
      <c r="H100" s="3"/>
      <c r="I100" s="240"/>
      <c r="J100" s="260"/>
      <c r="K100" s="3"/>
      <c r="L100" s="3"/>
      <c r="M100" s="260"/>
      <c r="O100" s="3"/>
      <c r="P100" s="237"/>
      <c r="R100" s="66" t="s">
        <v>17</v>
      </c>
      <c r="S100" s="46">
        <f>COUNTIF($D$69:$P$69,"*다운*")+COUNTIF($D$74:$P$74,"*다운*")+COUNTIF($D$83:$P$83,"*다운*")+COUNTIF($D$88:$P$88,"*다운*")+COUNTIF($D$93:$P$93,"*다운*")+COUNTIF($D$98:$P$98,"*다운*")+COUNTIF($D$107:$P$107,"*다운*")+COUNTIF($D$112:$P$112,"*다운*")+COUNTIF($D$117:$P$117,"*다운*")+COUNTIF($D$122:$P$122,"*다운*")+COUNTIF($D$131:$P$131,"*다운*")</f>
        <v>0</v>
      </c>
      <c r="T100" s="166">
        <f>COUNTIF($D$70:$P$70,"*다운*")+COUNTIF($D$75:$P$75,"*다운*")+COUNTIF($D$84:$P$84,"*다운*")+COUNTIF($D$89:$P$89,"*다운*")+COUNTIF($D$94:$P$94,"*다운*")+COUNTIF($D$99:$P$99,"*다운*")+COUNTIF($D$108:$P$108,"*다운*")+COUNTIF($D$113:$P$113,"*다운*")+COUNTIF($D$118:$P$118,"*다운*")+COUNTIF($D$123:$P$123,"*다운*")+COUNTIF($D$132:$P$132,"*다운*")</f>
        <v>0</v>
      </c>
      <c r="U100" s="47">
        <f>S100*2+T100</f>
        <v>0</v>
      </c>
      <c r="V100" s="35">
        <f>COUNTIF($D$74:$P$75,"*다운*")+COUNTIF($D$98:$P$99,"*다운*")+COUNTIF($D$122:$P$123,"*다운*")</f>
        <v>0</v>
      </c>
      <c r="W100" s="3"/>
      <c r="X100" s="4">
        <f t="shared" si="6"/>
        <v>0</v>
      </c>
      <c r="Y100" s="35">
        <f t="shared" si="6"/>
        <v>0</v>
      </c>
      <c r="Z100" s="48">
        <f t="shared" si="6"/>
        <v>0</v>
      </c>
      <c r="AA100" s="3">
        <f t="shared" si="6"/>
        <v>0</v>
      </c>
      <c r="AB100" s="90">
        <f>COUNTIF($AC$54:$AO$54,"*다운*")+COUNTIF($AC$56:$AO$56,"*다운*")+COUNTIF($AC$57:$AO$57,"*다운*")+COUNTIF($AC$58:$AO$58,"*다운*")+COUNTIF($AC$59:$AO$59,"*다운*")+COUNTIF($AC$60:$AO$60,"*다운*")+COUNTIF($AC$61:$AO$61,"*다운*")+COUNTIF($AC$62:$AO$62,"*다운*")+COUNTIF($AC$64:$AO$64,"*다운*")+COUNTIF($AC$65:$AO$65,"*다운*")+COUNTIF($AC$66:$AO$66,"*다운*")+COUNTIF($AC$68:$AO$68,"*다운*")+COUNTIF($AC$69:$AO$69,"*다운*")+COUNTIF($AC$70:$AO$70,"*다운*")+COUNTIF($AC$71:$AO$71,"*다운*")+COUNTIF($AC$73:$AO$73,"*다운*")+COUNTIF($AC$74:$AO$74,"*다운*")+COUNTIF($AC$75:$AO$75,"*다운*")</f>
        <v>0</v>
      </c>
      <c r="AC100" s="122">
        <f>Z100+U198</f>
        <v>0</v>
      </c>
      <c r="AD100" s="84"/>
      <c r="AE100" s="84"/>
      <c r="AF100" s="73">
        <f>AA100+V198</f>
        <v>0</v>
      </c>
      <c r="AG100" s="84"/>
      <c r="AH100" s="84"/>
      <c r="AI100" s="90">
        <f>AB100+X198</f>
        <v>0</v>
      </c>
      <c r="AJ100" s="70"/>
      <c r="AK100" s="70"/>
      <c r="AL100" s="147">
        <v>0</v>
      </c>
      <c r="AM100" s="84"/>
      <c r="AN100" s="84"/>
      <c r="AO100" s="202">
        <v>0</v>
      </c>
      <c r="AP100" s="176"/>
      <c r="AQ100" s="176"/>
      <c r="AR100" s="176"/>
      <c r="AS100" s="176"/>
      <c r="AT100" s="176"/>
      <c r="AU100" s="176"/>
      <c r="AV100" s="176"/>
      <c r="AW100" s="3"/>
    </row>
    <row r="101" spans="2:49" s="2" customFormat="1" ht="1.5" customHeight="1">
      <c r="B101" s="114"/>
      <c r="C101" s="114"/>
      <c r="D101" s="114"/>
      <c r="E101" s="3"/>
      <c r="F101" s="3"/>
      <c r="G101" s="3"/>
      <c r="H101" s="3"/>
      <c r="I101" s="3"/>
      <c r="J101" s="114"/>
      <c r="K101" s="3"/>
      <c r="L101" s="3"/>
      <c r="M101" s="3"/>
      <c r="N101" s="3"/>
      <c r="O101" s="3"/>
      <c r="P101" s="3"/>
      <c r="R101" s="81"/>
      <c r="S101" s="188"/>
      <c r="T101" s="190"/>
      <c r="U101" s="188"/>
      <c r="V101" s="190"/>
      <c r="W101" s="139"/>
      <c r="X101" s="188"/>
      <c r="Y101" s="190"/>
      <c r="Z101" s="188"/>
      <c r="AA101" s="189"/>
      <c r="AB101" s="90"/>
      <c r="AC101" s="122"/>
      <c r="AD101" s="84"/>
      <c r="AE101" s="84"/>
      <c r="AF101" s="73"/>
      <c r="AG101" s="84"/>
      <c r="AH101" s="84"/>
      <c r="AI101" s="90"/>
      <c r="AJ101" s="70"/>
      <c r="AK101" s="70"/>
      <c r="AL101" s="147"/>
      <c r="AM101" s="84"/>
      <c r="AN101" s="84"/>
      <c r="AO101" s="203"/>
      <c r="AP101" s="176"/>
      <c r="AQ101" s="176"/>
      <c r="AR101" s="176"/>
      <c r="AS101" s="176"/>
      <c r="AT101" s="176"/>
      <c r="AU101" s="176"/>
      <c r="AV101" s="176"/>
      <c r="AW101" s="3"/>
    </row>
    <row r="102" spans="2:49" s="2" customFormat="1" ht="9.75" customHeight="1">
      <c r="B102" s="5" t="s">
        <v>1</v>
      </c>
      <c r="C102" s="116"/>
      <c r="D102" s="59"/>
      <c r="E102" s="60"/>
      <c r="F102" s="60"/>
      <c r="G102" s="60" t="s">
        <v>127</v>
      </c>
      <c r="H102" s="60"/>
      <c r="I102" s="60"/>
      <c r="J102" s="60"/>
      <c r="K102" s="60"/>
      <c r="L102" s="60"/>
      <c r="M102" s="60"/>
      <c r="N102" s="60"/>
      <c r="O102" s="60"/>
      <c r="P102" s="61"/>
      <c r="R102" s="66" t="s">
        <v>18</v>
      </c>
      <c r="S102" s="46">
        <f>COUNTIF($D$69:$P$69,"*지성*")+COUNTIF($D$74:$P$74,"*지성*")+COUNTIF($D$83:$P$83,"*지성*")+COUNTIF($D$88:$P$88,"*지성*")+COUNTIF($D$93:$P$93,"*지성*")+COUNTIF($D$98:$P$98,"*지성*")+COUNTIF($D$107:$P$107,"*지성*")+COUNTIF($D$112:$P$112,"*지성*")+COUNTIF($D$117:$P$117,"*지성*")+COUNTIF($D$122:$P$122,"*지성*")+COUNTIF($D$131:$P$131,"*지성*")</f>
        <v>1</v>
      </c>
      <c r="T102" s="166">
        <f>COUNTIF($D$70:$P$70,"*지성*")+COUNTIF($D$75:$P$75,"*지성*")+COUNTIF($D$84:$P$84,"*지성*")+COUNTIF($D$89:$P$89,"*지성*")+COUNTIF($D$94:$P$94,"*지성*")+COUNTIF($D$99:$P$99,"*지성*")+COUNTIF($D$108:$P$108,"*지성*")+COUNTIF($D$113:$P$113,"*지성*")+COUNTIF($D$118:$P$118,"*지성*")+COUNTIF($D$123:$P$123,"*지성*")+COUNTIF($D$132:$P$132,"*지성*")</f>
        <v>1</v>
      </c>
      <c r="U102" s="47">
        <f>S102*2+T102</f>
        <v>3</v>
      </c>
      <c r="V102" s="35">
        <f>COUNTIF($D$74:$P$75,"*지성*")+COUNTIF($D$98:$P$99,"*지성*")+COUNTIF($D$122:$P$123,"*지성*")</f>
        <v>0</v>
      </c>
      <c r="W102" s="3"/>
      <c r="X102" s="4">
        <f>S102+S162</f>
        <v>1</v>
      </c>
      <c r="Y102" s="35">
        <f>T102+T162</f>
        <v>1</v>
      </c>
      <c r="Z102" s="48">
        <f>U102+U162</f>
        <v>3</v>
      </c>
      <c r="AA102" s="3">
        <f>V102+V162</f>
        <v>0</v>
      </c>
      <c r="AB102" s="90">
        <f>COUNTIF($AC$54:$AO$54,"*지성*")+COUNTIF($AC$56:$AO$56,"*지성*")+COUNTIF($AC$57:$AO$57,"*지성*")+COUNTIF($AC$58:$AO$58,"*지성*")+COUNTIF($AC$59:$AO$59,"*지성*")+COUNTIF($AC$60:$AO$60,"*지성*")+COUNTIF($AC$61:$AO$61,"*지성*")+COUNTIF($AC$62:$AO$62,"*지성*")+COUNTIF($AC$64:$AO$64,"*지성*")+COUNTIF($AC$65:$AO$65,"*지성*")+COUNTIF($AC$66:$AO$66,"*지성*")+COUNTIF($AC$68:$AO$68,"*지성*")+COUNTIF($AC$69:$AO$69,"*지성*")+COUNTIF($AC$70:$AO$70,"*지성*")+COUNTIF($AC$71:$AO$71,"*지성*")+COUNTIF($AC$73:$AO$73,"*지성*")+COUNTIF($AC$74:$AO$74,"*지성*")+COUNTIF($AC$75:$AO$75,"*지성*")</f>
        <v>0</v>
      </c>
      <c r="AC102" s="122">
        <f>Z102+U199</f>
        <v>3</v>
      </c>
      <c r="AD102" s="84"/>
      <c r="AE102" s="84"/>
      <c r="AF102" s="73">
        <f>AA102+V199</f>
        <v>0</v>
      </c>
      <c r="AG102" s="84"/>
      <c r="AH102" s="84"/>
      <c r="AI102" s="90">
        <f>AB102+X199</f>
        <v>0</v>
      </c>
      <c r="AJ102" s="70"/>
      <c r="AK102" s="70"/>
      <c r="AL102" s="147">
        <v>0</v>
      </c>
      <c r="AM102" s="84"/>
      <c r="AN102" s="84"/>
      <c r="AO102" s="202">
        <v>0</v>
      </c>
      <c r="AP102" s="176"/>
      <c r="AQ102" s="176"/>
      <c r="AR102" s="176"/>
      <c r="AS102" s="176"/>
      <c r="AT102" s="176"/>
      <c r="AU102" s="176"/>
      <c r="AV102" s="176"/>
      <c r="AW102" s="3"/>
    </row>
    <row r="103" spans="2:49" s="2" customFormat="1" ht="9.75" customHeight="1">
      <c r="C103" s="3"/>
      <c r="F103" s="106"/>
      <c r="I103" s="106"/>
      <c r="J103" s="1"/>
      <c r="L103" s="106"/>
      <c r="M103" s="107"/>
      <c r="N103" s="107"/>
      <c r="O103" s="30"/>
      <c r="R103" s="66" t="s">
        <v>19</v>
      </c>
      <c r="S103" s="46">
        <f>COUNTIF($D$69:$P$69,"*용철*")+COUNTIF($D$74:$P$74,"*용철*")+COUNTIF($D$83:$P$83,"*용철*")+COUNTIF($D$88:$P$88,"*용철*")+COUNTIF($D$93:$P$93,"*용철*")+COUNTIF($D$98:$P$98,"*용철*")+COUNTIF($D$107:$P$107,"*용철*")+COUNTIF($D$112:$P$112,"*용철*")+COUNTIF($D$117:$P$117,"*용철*")+COUNTIF($D$122:$P$122,"*용철*")+COUNTIF($D$131:$P$131,"*용철*")</f>
        <v>1</v>
      </c>
      <c r="T103" s="166">
        <f>COUNTIF($D$70:$P$70,"*용철*")+COUNTIF($D$75:$P$75,"*용철*")+COUNTIF($D$84:$P$84,"*용철*")+COUNTIF($D$89:$P$89,"*용철*")+COUNTIF($D$94:$P$94,"*용철*")+COUNTIF($D$99:$P$99,"*용철*")+COUNTIF($D$108:$P$108,"*용철*")+COUNTIF($D$113:$P$113,"*용철*")+COUNTIF($D$118:$P$118,"*용철*")+COUNTIF($D$123:$P$123,"*용철*")+COUNTIF($D$132:$P$132,"*용철*")</f>
        <v>3</v>
      </c>
      <c r="U103" s="47">
        <f>S103*2+T103</f>
        <v>5</v>
      </c>
      <c r="V103" s="35">
        <f>COUNTIF($D$74:$P$75,"*용철*")+COUNTIF($D$98:$P$99,"*용철*")+COUNTIF($D$122:$P$123,"*용철*")</f>
        <v>0</v>
      </c>
      <c r="W103" s="3"/>
      <c r="X103" s="4">
        <f t="shared" ref="X103:AA104" si="7">S103+S164</f>
        <v>1</v>
      </c>
      <c r="Y103" s="35">
        <f t="shared" si="7"/>
        <v>3</v>
      </c>
      <c r="Z103" s="48">
        <f t="shared" si="7"/>
        <v>5</v>
      </c>
      <c r="AA103" s="3">
        <f t="shared" si="7"/>
        <v>0</v>
      </c>
      <c r="AB103" s="90">
        <f>COUNTIF($AC$54:$AO$54,"*용철*")+COUNTIF($AC$56:$AO$56,"*용철*")+COUNTIF($AC$57:$AO$57,"*용철*")+COUNTIF($AC$58:$AO$58,"*용철*")+COUNTIF($AC$59:$AO$59,"*용철*")+COUNTIF($AC$60:$AO$60,"*용철*")+COUNTIF($AC$61:$AO$61,"*용철*")+COUNTIF($AC$62:$AO$62,"*용철*")+COUNTIF($AC$64:$AO$64,"*용철*")+COUNTIF($AC$65:$AO$65,"*용철*")+COUNTIF($AC$66:$AO$66,"*용철*")+COUNTIF($AC$68:$AO$68,"*용철*")+COUNTIF($AC$69:$AO$69,"*용철*")+COUNTIF($AC$70:$AO$70,"*용철*")+COUNTIF($AC$71:$AO$71,"*용철*")+COUNTIF($AC$73:$AO$73,"*용철*")+COUNTIF($AC$74:$AO$74,"*용철*")+COUNTIF($AC$75:$AO$75,"*용철*")</f>
        <v>0</v>
      </c>
      <c r="AC103" s="122">
        <f>Z103+U200</f>
        <v>5</v>
      </c>
      <c r="AD103" s="84"/>
      <c r="AE103" s="84"/>
      <c r="AF103" s="73">
        <v>0</v>
      </c>
      <c r="AG103" s="84"/>
      <c r="AH103" s="84"/>
      <c r="AI103" s="90">
        <f>AB103+X200</f>
        <v>0</v>
      </c>
      <c r="AJ103" s="70"/>
      <c r="AK103" s="70"/>
      <c r="AL103" s="147">
        <v>0</v>
      </c>
      <c r="AM103" s="84"/>
      <c r="AN103" s="84"/>
      <c r="AO103" s="202">
        <v>0</v>
      </c>
      <c r="AP103" s="176"/>
      <c r="AQ103" s="176"/>
      <c r="AR103" s="176"/>
      <c r="AS103" s="176"/>
      <c r="AT103" s="176"/>
      <c r="AU103" s="176"/>
      <c r="AV103" s="176"/>
      <c r="AW103" s="3"/>
    </row>
    <row r="104" spans="2:49" s="2" customFormat="1" ht="9.75" customHeight="1">
      <c r="B104" s="6" t="s">
        <v>2</v>
      </c>
      <c r="C104" s="114"/>
      <c r="D104" s="62" t="s">
        <v>129</v>
      </c>
      <c r="E104" s="56"/>
      <c r="F104" s="56"/>
      <c r="G104" s="56" t="s">
        <v>255</v>
      </c>
      <c r="H104" s="57"/>
      <c r="I104" s="57"/>
      <c r="J104" s="57"/>
      <c r="K104" s="57"/>
      <c r="L104" s="57"/>
      <c r="M104" s="57"/>
      <c r="N104" s="57"/>
      <c r="O104" s="57"/>
      <c r="P104" s="58"/>
      <c r="R104" s="66" t="s">
        <v>20</v>
      </c>
      <c r="S104" s="46">
        <f>COUNTIF($D$69:$P$69,"*윤호*")+COUNTIF($D$74:$P$74,"*윤호*")+COUNTIF($D$83:$P$83,"*윤호*")+COUNTIF($D$88:$P$88,"*윤호*")+COUNTIF($D$93:$P$93,"*윤호*")+COUNTIF($D$98:$P$98,"*윤호*")+COUNTIF($D$107:$P$107,"*윤호*")+COUNTIF($D$112:$P$112,"*윤호*")+COUNTIF($D$117:$P$117,"*윤호*")+COUNTIF($D$122:$P$122,"*윤호*")+COUNTIF($D$131:$P$131,"*윤호*")</f>
        <v>0</v>
      </c>
      <c r="T104" s="169">
        <f>COUNTIF($D$70:$P$70,"*윤호*")+COUNTIF($D$75:$P$75,"*윤호*")+COUNTIF($D$84:$P$84,"*윤호*")+COUNTIF($D$89:$P$89,"*윤호*")+COUNTIF($D$94:$P$94,"*윤호*")+COUNTIF($D$99:$P$99,"*윤호*")+COUNTIF($D$108:$P$108,"*윤호*")+COUNTIF($D$113:$P$113,"*윤호*")+COUNTIF($D$118:$P$118,"*윤호*")+COUNTIF($D$123:$P$123,"*윤호*")+COUNTIF($D$132:$P$132,"*윤호*")</f>
        <v>0</v>
      </c>
      <c r="U104" s="47">
        <f>S104*2+T104</f>
        <v>0</v>
      </c>
      <c r="V104" s="35">
        <f>COUNTIF($D$74:$P$75,"*윤호*")+COUNTIF($D$98:$P$99,"*윤호*")+COUNTIF($D$122:$P$123,"*윤호*")</f>
        <v>0</v>
      </c>
      <c r="W104" s="3"/>
      <c r="X104" s="4">
        <f t="shared" si="7"/>
        <v>0</v>
      </c>
      <c r="Y104" s="35">
        <f t="shared" si="7"/>
        <v>0</v>
      </c>
      <c r="Z104" s="48">
        <f t="shared" si="7"/>
        <v>0</v>
      </c>
      <c r="AA104" s="3">
        <f t="shared" si="7"/>
        <v>0</v>
      </c>
      <c r="AB104" s="90">
        <f>COUNTIF($AC$54:$AO$54,"*윤호*")+COUNTIF($AC$56:$AO$56,"*윤호*")+COUNTIF($AC$57:$AO$57,"*윤호*")+COUNTIF($AC$58:$AO$58,"*윤호*")+COUNTIF($AC$59:$AO$59,"*윤호*")+COUNTIF($AC$60:$AO$60,"*윤호*")+COUNTIF($AC$61:$AO$61,"*윤호*")+COUNTIF($AC$62:$AO$62,"*윤호*")+COUNTIF($AC$64:$AO$64,"*윤호*")+COUNTIF($AC$65:$AO$65,"*윤호*")+COUNTIF($AC$66:$AO$66,"*윤호*")+COUNTIF($AC$68:$AO$68,"*윤호*")+COUNTIF($AC$69:$AO$69,"*윤호*")+COUNTIF($AC$70:$AO$70,"*윤호*")+COUNTIF($AC$71:$AO$71,"*윤호*")+COUNTIF($AC$73:$AO$73,"*윤호*")+COUNTIF($AC$74:$AO$74,"*윤호*")+COUNTIF($AC$75:$AO$75,"*윤호*")</f>
        <v>0</v>
      </c>
      <c r="AC104" s="122">
        <f>Z104+U201</f>
        <v>0</v>
      </c>
      <c r="AD104" s="84"/>
      <c r="AE104" s="84"/>
      <c r="AF104" s="73">
        <f>AA104+V201</f>
        <v>0</v>
      </c>
      <c r="AG104" s="84"/>
      <c r="AH104" s="84"/>
      <c r="AI104" s="90">
        <f>AB104+X201</f>
        <v>0</v>
      </c>
      <c r="AJ104" s="70"/>
      <c r="AK104" s="70"/>
      <c r="AL104" s="147">
        <v>0</v>
      </c>
      <c r="AM104" s="84"/>
      <c r="AN104" s="84"/>
      <c r="AO104" s="202">
        <v>0</v>
      </c>
      <c r="AP104" s="176"/>
      <c r="AQ104" s="176"/>
      <c r="AR104" s="176"/>
      <c r="AS104" s="176"/>
      <c r="AT104" s="176"/>
      <c r="AU104" s="176"/>
      <c r="AV104" s="176"/>
      <c r="AW104" s="3"/>
    </row>
    <row r="105" spans="2:49" ht="1.5" customHeight="1">
      <c r="B105" s="114"/>
      <c r="C105" s="114"/>
      <c r="D105" s="114"/>
      <c r="G105" s="114"/>
      <c r="H105" s="3"/>
      <c r="I105" s="3"/>
      <c r="J105" s="114"/>
      <c r="K105" s="7"/>
      <c r="L105" s="7"/>
      <c r="M105" s="7"/>
      <c r="N105" s="7"/>
      <c r="O105" s="7"/>
      <c r="P105" s="7"/>
      <c r="R105" s="66"/>
      <c r="S105" s="46"/>
      <c r="T105" s="166"/>
      <c r="U105" s="47"/>
      <c r="V105" s="35"/>
      <c r="W105" s="3"/>
      <c r="X105" s="4"/>
      <c r="Y105" s="35"/>
      <c r="Z105" s="48"/>
      <c r="AA105" s="3"/>
      <c r="AB105" s="90"/>
      <c r="AC105" s="122"/>
      <c r="AD105" s="84"/>
      <c r="AE105" s="84"/>
      <c r="AF105" s="73"/>
      <c r="AG105" s="84"/>
      <c r="AH105" s="84"/>
      <c r="AI105" s="90"/>
      <c r="AJ105" s="70"/>
      <c r="AK105" s="70"/>
      <c r="AL105" s="147"/>
      <c r="AM105" s="84"/>
      <c r="AN105" s="84"/>
      <c r="AO105" s="202"/>
      <c r="AP105" s="176"/>
      <c r="AQ105" s="176"/>
      <c r="AR105" s="176"/>
      <c r="AS105" s="199"/>
      <c r="AT105" s="199"/>
      <c r="AU105" s="199"/>
      <c r="AV105" s="199"/>
      <c r="AW105" s="114"/>
    </row>
    <row r="106" spans="2:49">
      <c r="B106" s="213" t="s">
        <v>4</v>
      </c>
      <c r="C106" s="114"/>
      <c r="D106" s="213" t="s">
        <v>139</v>
      </c>
      <c r="E106" s="114"/>
      <c r="F106" s="114"/>
      <c r="G106" s="114" t="s">
        <v>133</v>
      </c>
      <c r="H106" s="3"/>
      <c r="I106" s="3"/>
      <c r="J106" s="114"/>
      <c r="K106" s="3"/>
      <c r="L106" s="3"/>
      <c r="M106" s="114"/>
      <c r="N106" s="3"/>
      <c r="O106" s="3"/>
      <c r="P106" s="114"/>
      <c r="R106" s="66" t="s">
        <v>22</v>
      </c>
      <c r="S106" s="46">
        <f>COUNTIF($D$69:$P$69,"*정은*")+COUNTIF($D$74:$P$74,"*정은*")+COUNTIF($D$83:$P$83,"*정은*")+COUNTIF($D$88:$P$88,"*정은*")+COUNTIF($D$93:$P$93,"*정은*")+COUNTIF($D$98:$P$98,"*정은*")+COUNTIF($D$107:$P$107,"*정은*")+COUNTIF($D$112:$P$112,"*정은*")+COUNTIF($D$117:$P$117,"*정은*")+COUNTIF($D$122:$P$122,"*정은*")+COUNTIF($D$131:$P$131,"*정은*")</f>
        <v>0</v>
      </c>
      <c r="T106" s="166">
        <f>COUNTIF($D$70:$P$70,"*정은*")+COUNTIF($D$75:$P$75,"*정은*")+COUNTIF($D$84:$P$84,"*정은*")+COUNTIF($D$89:$P$89,"*정은*")+COUNTIF($D$94:$P$94,"*정은*")+COUNTIF($D$99:$P$99,"*정은*")+COUNTIF($D$108:$P$108,"*정은*")+COUNTIF($D$113:$P$113,"*정은*")+COUNTIF($D$118:$P$118,"*정은*")+COUNTIF($D$123:$P$123,"*정은*")+COUNTIF($D$132:$P$132,"*정은*")</f>
        <v>0</v>
      </c>
      <c r="U106" s="47">
        <f>S106*2+T106</f>
        <v>0</v>
      </c>
      <c r="V106" s="35">
        <f>COUNTIF($D$74:$P$75,"*정은*")+COUNTIF($D$98:$P$99,"*정은*")+COUNTIF($D$122:$P$123,"*정은*")</f>
        <v>0</v>
      </c>
      <c r="W106" s="3"/>
      <c r="X106" s="4">
        <f t="shared" ref="X106:AA107" si="8">S106+S166</f>
        <v>3</v>
      </c>
      <c r="Y106" s="35">
        <f t="shared" si="8"/>
        <v>0</v>
      </c>
      <c r="Z106" s="48">
        <f t="shared" si="8"/>
        <v>6</v>
      </c>
      <c r="AA106" s="3">
        <f t="shared" si="8"/>
        <v>1</v>
      </c>
      <c r="AB106" s="90">
        <f>COUNTIF($AC$54:$AO$54,"*정은*")+COUNTIF($AC$56:$AO$56,"*정은*")+COUNTIF($AC$57:$AO$57,"*정은*")+COUNTIF($AC$58:$AO$58,"*정은*")+COUNTIF($AC$59:$AO$59,"*정은*")+COUNTIF($AC$60:$AO$60,"*정은*")+COUNTIF($AC$61:$AO$61,"*정은*")+COUNTIF($AC$62:$AO$62,"*정은*")+COUNTIF($AC$64:$AO$64,"*정은*")+COUNTIF($AC$65:$AO$65,"*정은*")+COUNTIF($AC$66:$AO$66,"*정은*")+COUNTIF($AC$68:$AO$68,"*정은*")+COUNTIF($AC$69:$AO$69,"*정은*")+COUNTIF($AC$70:$AO$70,"*정은*")+COUNTIF($AC$71:$AO$71,"*정은*")+COUNTIF($AC$73:$AO$73,"*정은*")+COUNTIF($AC$74:$AO$74,"*정은*")+COUNTIF($AC$75:$AO$75,"*정은*")</f>
        <v>0</v>
      </c>
      <c r="AC106" s="122">
        <f>Z106+U203</f>
        <v>6</v>
      </c>
      <c r="AD106" s="84"/>
      <c r="AE106" s="84"/>
      <c r="AF106" s="73">
        <v>0</v>
      </c>
      <c r="AG106" s="84"/>
      <c r="AH106" s="84"/>
      <c r="AI106" s="90">
        <f>AB106+X203</f>
        <v>0</v>
      </c>
      <c r="AJ106" s="70"/>
      <c r="AK106" s="70"/>
      <c r="AL106" s="147">
        <v>0</v>
      </c>
      <c r="AM106" s="84"/>
      <c r="AN106" s="84"/>
      <c r="AO106" s="202">
        <v>0</v>
      </c>
      <c r="AP106" s="176"/>
      <c r="AQ106" s="176"/>
      <c r="AR106" s="176"/>
      <c r="AS106" s="176"/>
      <c r="AT106" s="176"/>
      <c r="AU106" s="176"/>
      <c r="AV106" s="176"/>
      <c r="AW106" s="3"/>
    </row>
    <row r="107" spans="2:49">
      <c r="B107" s="221" t="s">
        <v>6</v>
      </c>
      <c r="C107" s="114"/>
      <c r="D107" s="223" t="s">
        <v>233</v>
      </c>
      <c r="E107" s="114"/>
      <c r="F107" s="114"/>
      <c r="G107" s="114" t="s">
        <v>138</v>
      </c>
      <c r="H107" s="3"/>
      <c r="I107" s="3"/>
      <c r="J107" s="275" t="s">
        <v>149</v>
      </c>
      <c r="K107" s="276"/>
      <c r="L107" s="276"/>
      <c r="M107" s="277"/>
      <c r="N107" s="3"/>
      <c r="O107" s="3"/>
      <c r="P107" s="224" t="s">
        <v>212</v>
      </c>
      <c r="R107" s="66" t="s">
        <v>21</v>
      </c>
      <c r="S107" s="46">
        <f>COUNTIF($D$69:$P$69,"*지현*")+COUNTIF($D$74:$P$74,"*지현*")+COUNTIF($D$83:$P$83,"*지현*")+COUNTIF($D$88:$P$88,"*지현*")+COUNTIF($D$93:$P$93,"*지현*")+COUNTIF($D$98:$P$98,"*지현*")+COUNTIF($D$107:$P$107,"*지현*")+COUNTIF($D$112:$P$112,"*지현*")+COUNTIF($D$117:$P$117,"*지현*")+COUNTIF($D$122:$P$122,"*지현*")+COUNTIF($D$131:$P$131,"*지현*")</f>
        <v>2</v>
      </c>
      <c r="T107" s="166">
        <f>COUNTIF($D$70:$P$70,"*지현*")+COUNTIF($D$75:$P$75,"*지현*")+COUNTIF($D$84:$P$84,"*지현*")+COUNTIF($D$89:$P$89,"*지현*")+COUNTIF($D$94:$P$94,"*지현*")+COUNTIF($D$99:$P$99,"*지현*")+COUNTIF($D$108:$P$108,"*지현*")+COUNTIF($D$113:$P$113,"*지현*")+COUNTIF($D$118:$P$118,"*지현*")+COUNTIF($D$123:$P$123,"*지현*")+COUNTIF($D$132:$P$132,"*지현*")</f>
        <v>1</v>
      </c>
      <c r="U107" s="47">
        <f>S107*2+T107</f>
        <v>5</v>
      </c>
      <c r="V107" s="35">
        <f>COUNTIF($D$74:$P$75,"*지현*")+COUNTIF($D$98:$P$99,"*지현*")+COUNTIF($D$122:$P$123,"*지현*")</f>
        <v>0</v>
      </c>
      <c r="W107" s="3"/>
      <c r="X107" s="4">
        <f t="shared" si="8"/>
        <v>4</v>
      </c>
      <c r="Y107" s="35">
        <f t="shared" si="8"/>
        <v>1</v>
      </c>
      <c r="Z107" s="48">
        <f t="shared" si="8"/>
        <v>9</v>
      </c>
      <c r="AA107" s="3">
        <f t="shared" si="8"/>
        <v>1</v>
      </c>
      <c r="AB107" s="90">
        <f>COUNTIF($AC$54:$AO$54,"*지현*")+COUNTIF($AC$56:$AO$56,"*지현*")+COUNTIF($AC$57:$AO$57,"*지현*")+COUNTIF($AC$58:$AO$58,"*지현*")+COUNTIF($AC$59:$AO$59,"*지현*")+COUNTIF($AC$60:$AO$60,"*지현*")+COUNTIF($AC$61:$AO$61,"*지현*")+COUNTIF($AC$62:$AO$62,"*지현*")+COUNTIF($AC$64:$AO$64,"*지현*")+COUNTIF($AC$65:$AO$65,"*지현*")+COUNTIF($AC$66:$AO$66,"*지현*")+COUNTIF($AC$68:$AO$68,"*지현*")+COUNTIF($AC$69:$AO$69,"*지현*")+COUNTIF($AC$70:$AO$70,"*지현*")+COUNTIF($AC$71:$AO$71,"*지현*")+COUNTIF($AC$73:$AO$73,"*지현*")+COUNTIF($AC$74:$AO$74,"*지현*")+COUNTIF($AC$75:$AO$75,"*지현*")</f>
        <v>0</v>
      </c>
      <c r="AC107" s="122">
        <f>Z107+U204</f>
        <v>9</v>
      </c>
      <c r="AD107" s="84"/>
      <c r="AE107" s="84"/>
      <c r="AF107" s="73">
        <v>0</v>
      </c>
      <c r="AG107" s="84"/>
      <c r="AH107" s="84"/>
      <c r="AI107" s="90">
        <f>AB107+X204</f>
        <v>0</v>
      </c>
      <c r="AJ107" s="70"/>
      <c r="AK107" s="70"/>
      <c r="AL107" s="147">
        <v>0</v>
      </c>
      <c r="AM107" s="84"/>
      <c r="AN107" s="84"/>
      <c r="AO107" s="202">
        <v>0</v>
      </c>
      <c r="AP107" s="176"/>
      <c r="AQ107" s="176"/>
      <c r="AR107" s="176"/>
      <c r="AS107" s="176"/>
      <c r="AT107" s="176"/>
      <c r="AU107" s="176"/>
      <c r="AV107" s="176"/>
      <c r="AW107" s="3"/>
    </row>
    <row r="108" spans="2:49">
      <c r="B108" s="221" t="s">
        <v>105</v>
      </c>
      <c r="C108" s="114"/>
      <c r="D108" s="223" t="s">
        <v>265</v>
      </c>
      <c r="E108" s="114"/>
      <c r="F108" s="114"/>
      <c r="G108" s="224" t="s">
        <v>211</v>
      </c>
      <c r="H108" s="3"/>
      <c r="I108" s="3"/>
      <c r="J108" s="272" t="s">
        <v>254</v>
      </c>
      <c r="K108" s="273"/>
      <c r="L108" s="273"/>
      <c r="M108" s="274"/>
      <c r="N108" s="3"/>
      <c r="O108" s="3"/>
      <c r="P108" s="114"/>
      <c r="R108" s="66" t="s">
        <v>75</v>
      </c>
      <c r="S108" s="46">
        <f>COUNTIF($D$69:$P$69,"*태우*")+COUNTIF($D$74:$P$74,"*태우*")+COUNTIF($D$83:$P$83,"*태우*")+COUNTIF($D$88:$P$88,"*태우*")+COUNTIF($D$93:$P$93,"*태우*")+COUNTIF($D$98:$P$98,"*태우*")+COUNTIF($D$107:$P$107,"*태우*")+COUNTIF($D$112:$P$112,"*태우*")+COUNTIF($D$117:$P$117,"*태우*")+COUNTIF($D$122:$P$122,"*태우*")+COUNTIF($D$131:$P$131,"*태우*")</f>
        <v>1</v>
      </c>
      <c r="T108" s="166">
        <f>COUNTIF($D$70:$P$70,"*태우*")+COUNTIF($D$75:$P$75,"*태우*")+COUNTIF($D$84:$P$84,"*태우*")+COUNTIF($D$89:$P$89,"*태우*")+COUNTIF($D$94:$P$94,"*태우*")+COUNTIF($D$99:$P$99,"*태우*")+COUNTIF($D$108:$P$108,"*태우*")+COUNTIF($D$113:$P$113,"*태우*")+COUNTIF($D$118:$P$118,"*태우*")+COUNTIF($D$123:$P$123,"*태우*")+COUNTIF($D$132:$P$132,"*태우*")</f>
        <v>4</v>
      </c>
      <c r="U108" s="47">
        <f>S108*2+T108</f>
        <v>6</v>
      </c>
      <c r="V108" s="35">
        <f>COUNTIF($D$74:$P$75,"*태우*")+COUNTIF($D$98:$P$99,"*태우*")+COUNTIF($D$122:$P$123,"*태우*")</f>
        <v>0</v>
      </c>
      <c r="W108" s="3"/>
      <c r="X108" s="4">
        <f t="shared" ref="X108:AA109" si="9">S108+S169</f>
        <v>1</v>
      </c>
      <c r="Y108" s="35">
        <f t="shared" si="9"/>
        <v>4</v>
      </c>
      <c r="Z108" s="48">
        <f t="shared" si="9"/>
        <v>6</v>
      </c>
      <c r="AA108" s="3">
        <f t="shared" si="9"/>
        <v>0</v>
      </c>
      <c r="AB108" s="90">
        <f>COUNTIF($AC$54:$AO$54,"*태우*")+COUNTIF($AC$56:$AO$56,"*태우*")+COUNTIF($AC$57:$AO$57,"*태우*")+COUNTIF($AC$58:$AO$58,"*태우*")+COUNTIF($AC$59:$AO$59,"*태우*")+COUNTIF($AC$60:$AO$60,"*태우*")+COUNTIF($AC$61:$AO$61,"*태우*")+COUNTIF($AC$62:$AO$62,"*태우*")+COUNTIF($AC$64:$AO$64,"*태우*")+COUNTIF($AC$65:$AO$65,"*태우*")+COUNTIF($AC$66:$AO$66,"*태우*")+COUNTIF($AC$68:$AO$68,"*태우*")+COUNTIF($AC$69:$AO$69,"*태우*")+COUNTIF($AC$70:$AO$70,"*태우*")+COUNTIF($AC$71:$AO$71,"*태우*")+COUNTIF($AC$73:$AO$73,"*태우*")+COUNTIF($AC$74:$AO$74,"*태우*")+COUNTIF($AC$75:$AO$75,"*태우*")</f>
        <v>0</v>
      </c>
      <c r="AC108" s="122">
        <f>Z108+U205</f>
        <v>6</v>
      </c>
      <c r="AD108" s="84"/>
      <c r="AE108" s="84"/>
      <c r="AF108" s="73">
        <v>0</v>
      </c>
      <c r="AG108" s="84"/>
      <c r="AH108" s="84"/>
      <c r="AI108" s="90">
        <f>AB108+X205</f>
        <v>0</v>
      </c>
      <c r="AJ108" s="70"/>
      <c r="AK108" s="70"/>
      <c r="AL108" s="147">
        <v>0</v>
      </c>
      <c r="AM108" s="84"/>
      <c r="AN108" s="84"/>
      <c r="AO108" s="202">
        <v>0</v>
      </c>
      <c r="AP108" s="176"/>
      <c r="AQ108" s="176"/>
      <c r="AR108" s="176"/>
      <c r="AS108" s="176"/>
      <c r="AT108" s="176"/>
      <c r="AU108" s="176"/>
      <c r="AV108" s="176"/>
      <c r="AW108" s="3"/>
    </row>
    <row r="109" spans="2:49">
      <c r="B109" s="63" t="s">
        <v>5</v>
      </c>
      <c r="C109" s="114"/>
      <c r="D109" s="79"/>
      <c r="E109" s="114"/>
      <c r="F109" s="114"/>
      <c r="G109" s="253" t="s">
        <v>241</v>
      </c>
      <c r="H109" s="3"/>
      <c r="I109" s="3"/>
      <c r="J109" s="75" t="s">
        <v>151</v>
      </c>
      <c r="K109" s="117"/>
      <c r="L109" s="3"/>
      <c r="M109" s="225" t="s">
        <v>150</v>
      </c>
      <c r="N109" s="3"/>
      <c r="O109" s="3"/>
      <c r="P109" s="114"/>
      <c r="R109" s="66" t="s">
        <v>76</v>
      </c>
      <c r="S109" s="46">
        <f>COUNTIF($D$69:$P$69,"*훈*")+COUNTIF($D$74:$P$74,"*훈*")+COUNTIF($D$83:$P$83,"*훈*")+COUNTIF($D$88:$P$88,"*훈*")+COUNTIF($D$93:$P$93,"*훈*")+COUNTIF($D$98:$P$98,"*훈*")+COUNTIF($D$107:$P$107,"*훈*")+COUNTIF($D$112:$P$112,"*훈*")+COUNTIF($D$117:$P$117,"*훈*")+COUNTIF($D$122:$P$122,"*훈*")+COUNTIF($D$131:$P$131,"*훈*")</f>
        <v>3</v>
      </c>
      <c r="T109" s="168">
        <f>COUNTIF($D$70:$P$70,"*훈*")+COUNTIF($D$75:$P$75,"*훈*")+COUNTIF($D$84:$P$84,"*훈*")+COUNTIF($D$89:$P$89,"*훈*")+COUNTIF($D$94:$P$94,"*훈*")+COUNTIF($D$99:$P$99,"*훈*")+COUNTIF($D$108:$P$108,"*훈*")+COUNTIF($D$113:$P$113,"*훈*")+COUNTIF($D$118:$P$118,"*훈*")+COUNTIF($D$123:$P$123,"*훈*")+COUNTIF($D$132:$P$132,"*훈*")</f>
        <v>0</v>
      </c>
      <c r="U109" s="47">
        <f>S109*2+T109</f>
        <v>6</v>
      </c>
      <c r="V109" s="35">
        <f>COUNTIF($D$74:$P$75,"*훈*")+COUNTIF($D$98:$P$99,"*훈*")+COUNTIF($D$122:$P$123,"*훈*")</f>
        <v>0</v>
      </c>
      <c r="W109" s="3"/>
      <c r="X109" s="4">
        <f t="shared" si="9"/>
        <v>3</v>
      </c>
      <c r="Y109" s="35">
        <f t="shared" si="9"/>
        <v>0</v>
      </c>
      <c r="Z109" s="48">
        <f t="shared" si="9"/>
        <v>6</v>
      </c>
      <c r="AA109" s="3">
        <f t="shared" si="9"/>
        <v>0</v>
      </c>
      <c r="AB109" s="90">
        <f>COUNTIF($AC$54:$AO$54,"*훈*")+COUNTIF($AC$56:$AO$56,"*훈*")+COUNTIF($AC$57:$AO$57,"*훈*")+COUNTIF($AC$58:$AO$58,"*훈*")+COUNTIF($AC$59:$AO$59,"*훈*")+COUNTIF($AC$60:$AO$60,"*훈*")+COUNTIF($AC$61:$AO$61,"*훈*")+COUNTIF($AC$62:$AO$62,"*훈*")+COUNTIF($AC$64:$AO$64,"*훈*")+COUNTIF($AC$65:$AO$65,"*훈*")+COUNTIF($AC$66:$AO$66,"*훈*")+COUNTIF($AC$68:$AO$68,"*훈*")+COUNTIF($AC$69:$AO$69,"*훈*")+COUNTIF($AC$70:$AO$70,"*훈*")+COUNTIF($AC$71:$AO$71,"*훈*")+COUNTIF($AC$73:$AO$73,"*훈*")+COUNTIF($AC$74:$AO$74,"*훈*")+COUNTIF($AC$75:$AO$75,"*훈*")</f>
        <v>0</v>
      </c>
      <c r="AC109" s="122">
        <f>Z109+U206</f>
        <v>6</v>
      </c>
      <c r="AD109" s="84"/>
      <c r="AE109" s="84"/>
      <c r="AF109" s="73">
        <f>AA109+V206</f>
        <v>0</v>
      </c>
      <c r="AG109" s="84"/>
      <c r="AH109" s="84"/>
      <c r="AI109" s="90">
        <f>AB109+X206</f>
        <v>0</v>
      </c>
      <c r="AJ109" s="70"/>
      <c r="AK109" s="70"/>
      <c r="AL109" s="147">
        <v>0</v>
      </c>
      <c r="AM109" s="84"/>
      <c r="AN109" s="84"/>
      <c r="AO109" s="202">
        <v>0</v>
      </c>
      <c r="AP109" s="176"/>
      <c r="AQ109" s="176"/>
      <c r="AR109" s="176"/>
      <c r="AS109" s="176"/>
      <c r="AT109" s="176"/>
      <c r="AU109" s="176"/>
      <c r="AV109" s="176"/>
      <c r="AW109" s="3"/>
    </row>
    <row r="110" spans="2:49" ht="1.5" customHeight="1">
      <c r="B110" s="114"/>
      <c r="C110" s="114"/>
      <c r="D110" s="114"/>
      <c r="E110" s="2"/>
      <c r="F110" s="3"/>
      <c r="G110" s="3"/>
      <c r="H110" s="3"/>
      <c r="I110" s="3"/>
      <c r="J110" s="114"/>
      <c r="K110" s="35"/>
      <c r="L110" s="3"/>
      <c r="M110" s="3"/>
      <c r="N110" s="3"/>
      <c r="O110" s="3"/>
      <c r="P110" s="114"/>
      <c r="R110" s="66"/>
      <c r="S110" s="46"/>
      <c r="T110" s="166"/>
      <c r="U110" s="46"/>
      <c r="V110" s="35"/>
      <c r="W110" s="3"/>
      <c r="X110" s="4"/>
      <c r="Y110" s="35"/>
      <c r="Z110" s="4"/>
      <c r="AA110" s="3"/>
      <c r="AB110" s="90"/>
      <c r="AC110" s="122"/>
      <c r="AD110" s="84"/>
      <c r="AE110" s="84"/>
      <c r="AF110" s="73"/>
      <c r="AG110" s="84"/>
      <c r="AH110" s="84"/>
      <c r="AI110" s="90"/>
      <c r="AJ110" s="70"/>
      <c r="AK110" s="70"/>
      <c r="AL110" s="147"/>
      <c r="AM110" s="84"/>
      <c r="AN110" s="84"/>
      <c r="AO110" s="202"/>
      <c r="AP110" s="176"/>
      <c r="AQ110" s="176"/>
      <c r="AR110" s="176"/>
      <c r="AS110" s="199"/>
      <c r="AT110" s="199"/>
      <c r="AU110" s="199"/>
      <c r="AV110" s="199"/>
      <c r="AW110" s="3"/>
    </row>
    <row r="111" spans="2:49">
      <c r="B111" s="95" t="s">
        <v>70</v>
      </c>
      <c r="C111" s="114"/>
      <c r="D111" s="9" t="s">
        <v>145</v>
      </c>
      <c r="E111" s="114"/>
      <c r="F111" s="114"/>
      <c r="G111" s="226" t="s">
        <v>275</v>
      </c>
      <c r="H111" s="3"/>
      <c r="I111" s="3"/>
      <c r="J111" s="9" t="s">
        <v>134</v>
      </c>
      <c r="K111" s="115"/>
      <c r="L111" s="3"/>
      <c r="M111" s="9" t="s">
        <v>135</v>
      </c>
      <c r="N111" s="3"/>
      <c r="O111" s="3"/>
      <c r="P111" s="114"/>
      <c r="R111" s="66" t="s">
        <v>77</v>
      </c>
      <c r="S111" s="46">
        <f>COUNTIF($D$69:$P$69,"*누리*")+COUNTIF($D$74:$P$74,"*누리*")+COUNTIF($D$83:$P$83,"*누리*")+COUNTIF($D$88:$P$88,"*누리*")+COUNTIF($D$93:$P$93,"*누리*")+COUNTIF($D$98:$P$98,"*누리*")+COUNTIF($D$107:$P$107,"*누리*")+COUNTIF($D$112:$P$112,"*누리*")+COUNTIF($D$117:$P$117,"*누리*")+COUNTIF($D$122:$P$122,"*누리*")+COUNTIF($D$131:$P$131,"*누리*")</f>
        <v>1</v>
      </c>
      <c r="T111" s="168">
        <f>COUNTIF($D$70:$P$70,"*누리*")+COUNTIF($D$75:$P$75,"*누리*")+COUNTIF($D$84:$P$84,"*누리*")+COUNTIF($D$89:$P$89,"*누리*")+COUNTIF($D$94:$P$94,"*누리*")+COUNTIF($D$99:$P$99,"*누리*")+COUNTIF($D$108:$P$108,"*누리*")+COUNTIF($D$113:$P$113,"*누리*")+COUNTIF($D$118:$P$118,"*누리*")+COUNTIF($D$123:$P$123,"*누리*")+COUNTIF($D$132:$P$132,"*누리*")</f>
        <v>0</v>
      </c>
      <c r="U111" s="47">
        <f>S111*2+T111</f>
        <v>2</v>
      </c>
      <c r="V111" s="35">
        <f>COUNTIF($D$74:$P$75,"*누리*")+COUNTIF($D$98:$P$99,"*누리*")+COUNTIF($D$122:$P$123,"*누리*")</f>
        <v>0</v>
      </c>
      <c r="W111" s="3"/>
      <c r="X111" s="4">
        <f t="shared" ref="X111:AA112" si="10">S111+S171</f>
        <v>4</v>
      </c>
      <c r="Y111" s="35">
        <f t="shared" si="10"/>
        <v>0</v>
      </c>
      <c r="Z111" s="48">
        <f t="shared" si="10"/>
        <v>8</v>
      </c>
      <c r="AA111" s="3">
        <f t="shared" si="10"/>
        <v>1</v>
      </c>
      <c r="AB111" s="90">
        <f>COUNTIF($AC$54:$AO$54,"*누리*")+COUNTIF($AC$56:$AO$56,"*누리*")+COUNTIF($AC$57:$AO$57,"*누리*")+COUNTIF($AC$58:$AO$58,"*누리*")+COUNTIF($AC$59:$AO$59,"*누리*")+COUNTIF($AC$60:$AO$60,"*누리*")+COUNTIF($AC$61:$AO$61,"*누리*")+COUNTIF($AC$62:$AO$62,"*누리*")+COUNTIF($AC$64:$AO$64,"*누리*")+COUNTIF($AC$65:$AO$65,"*누리*")+COUNTIF($AC$66:$AO$66,"*누리*")+COUNTIF($AC$68:$AO$68,"*누리*")+COUNTIF($AC$69:$AO$69,"*누리*")+COUNTIF($AC$70:$AO$70,"*누리*")+COUNTIF($AC$71:$AO$71,"*누리*")+COUNTIF($AC$73:$AO$73,"*누리*")+COUNTIF($AC$74:$AO$74,"*누리*")+COUNTIF($AC$75:$AO$75,"*누리*")</f>
        <v>0</v>
      </c>
      <c r="AC111" s="122">
        <f>Z111+U208</f>
        <v>8</v>
      </c>
      <c r="AD111" s="84"/>
      <c r="AE111" s="84"/>
      <c r="AF111" s="73">
        <v>0</v>
      </c>
      <c r="AG111" s="84"/>
      <c r="AH111" s="84"/>
      <c r="AI111" s="90">
        <f>AB111+X208</f>
        <v>0</v>
      </c>
      <c r="AJ111" s="70"/>
      <c r="AK111" s="70"/>
      <c r="AL111" s="147">
        <v>0</v>
      </c>
      <c r="AM111" s="84"/>
      <c r="AN111" s="84"/>
      <c r="AO111" s="202">
        <v>0</v>
      </c>
      <c r="AP111" s="176"/>
      <c r="AQ111" s="176"/>
      <c r="AR111" s="176"/>
      <c r="AS111" s="176"/>
      <c r="AT111" s="176"/>
      <c r="AU111" s="176"/>
      <c r="AV111" s="176"/>
      <c r="AW111" s="3"/>
    </row>
    <row r="112" spans="2:49">
      <c r="B112" s="96" t="s">
        <v>25</v>
      </c>
      <c r="C112" s="114"/>
      <c r="D112" s="78"/>
      <c r="E112" s="114"/>
      <c r="F112" s="114"/>
      <c r="G112" s="253"/>
      <c r="H112" s="3"/>
      <c r="I112" s="3"/>
      <c r="J112" s="259" t="s">
        <v>264</v>
      </c>
      <c r="K112" s="35"/>
      <c r="L112" s="3"/>
      <c r="M112" s="8" t="s">
        <v>171</v>
      </c>
      <c r="N112" s="3"/>
      <c r="O112" s="3"/>
      <c r="P112" s="114"/>
      <c r="R112" s="66" t="s">
        <v>88</v>
      </c>
      <c r="S112" s="46">
        <f>COUNTIF($D$69:$P$69,"*미소*")+COUNTIF($D$74:$P$74,"*미소*")+COUNTIF($D$83:$P$83,"*미소*")+COUNTIF($D$88:$P$88,"*미소*")+COUNTIF($D$93:$P$93,"*미소*")+COUNTIF($D$98:$P$98,"*미소*")+COUNTIF($D$107:$P$107,"*미소*")+COUNTIF($D$112:$P$112,"*미소*")+COUNTIF($D$117:$P$117,"*미소*")+COUNTIF($D$122:$P$122,"*미소*")+COUNTIF($D$131:$P$131,"*미소*")</f>
        <v>1</v>
      </c>
      <c r="T112" s="166">
        <f>COUNTIF($D$70:$P$70,"*미소*")+COUNTIF($D$75:$P$75,"*미소*")+COUNTIF($D$84:$P$84,"*미소*")+COUNTIF($D$89:$P$89,"*미소*")+COUNTIF($D$94:$P$94,"*미소*")+COUNTIF($D$99:$P$99,"*미소*")+COUNTIF($D$108:$P$108,"*미소*")+COUNTIF($D$113:$P$113,"*미소*")+COUNTIF($D$118:$P$118,"*미소*")+COUNTIF($D$123:$P$123,"*미소*")+COUNTIF($D$132:$P$132,"*미소*")</f>
        <v>2</v>
      </c>
      <c r="U112" s="47">
        <f>S112*2+T112</f>
        <v>4</v>
      </c>
      <c r="V112" s="35">
        <f>COUNTIF($D$74:$P$75,"*미소*")+COUNTIF($D$98:$P$99,"*미소*")+COUNTIF($D$122:$P$123,"*미소*")</f>
        <v>0</v>
      </c>
      <c r="W112" s="3"/>
      <c r="X112" s="4">
        <f t="shared" si="10"/>
        <v>3</v>
      </c>
      <c r="Y112" s="35">
        <f t="shared" si="10"/>
        <v>2</v>
      </c>
      <c r="Z112" s="48">
        <f t="shared" si="10"/>
        <v>8</v>
      </c>
      <c r="AA112" s="3">
        <f t="shared" si="10"/>
        <v>1</v>
      </c>
      <c r="AB112" s="90">
        <f>COUNTIF($AC$54:$AO$54,"*미소*")+COUNTIF($AC$56:$AO$56,"*미소*")+COUNTIF($AC$57:$AO$57,"*미소*")+COUNTIF($AC$58:$AO$58,"*미소*")+COUNTIF($AC$59:$AO$59,"*미소*")+COUNTIF($AC$60:$AO$60,"*미소*")+COUNTIF($AC$61:$AO$61,"*미소*")+COUNTIF($AC$62:$AO$62,"*미소*")+COUNTIF($AC$64:$AO$64,"*미소*")+COUNTIF($AC$65:$AO$65,"*미소*")+COUNTIF($AC$66:$AO$66,"*미소*")+COUNTIF($AC$68:$AO$68,"*미소*")+COUNTIF($AC$69:$AO$69,"*미소*")+COUNTIF($AC$70:$AO$70,"*미소*")+COUNTIF($AC$71:$AO$71,"*미소*")+COUNTIF($AC$73:$AO$73,"*미소*")+COUNTIF($AC$74:$AO$74,"*미소*")+COUNTIF($AC$75:$AO$75,"*미소*")</f>
        <v>0</v>
      </c>
      <c r="AC112" s="122">
        <f>Z112+U209</f>
        <v>8</v>
      </c>
      <c r="AD112" s="84"/>
      <c r="AE112" s="84"/>
      <c r="AF112" s="73">
        <v>0</v>
      </c>
      <c r="AG112" s="84"/>
      <c r="AH112" s="84"/>
      <c r="AI112" s="90">
        <f>AB112+X209</f>
        <v>0</v>
      </c>
      <c r="AJ112" s="70"/>
      <c r="AK112" s="70"/>
      <c r="AL112" s="147">
        <v>0</v>
      </c>
      <c r="AM112" s="84"/>
      <c r="AN112" s="84"/>
      <c r="AO112" s="202">
        <v>0</v>
      </c>
      <c r="AP112" s="176"/>
      <c r="AQ112" s="176"/>
      <c r="AR112" s="176"/>
      <c r="AS112" s="176"/>
      <c r="AT112" s="176"/>
      <c r="AU112" s="176"/>
      <c r="AV112" s="176"/>
      <c r="AW112" s="3"/>
    </row>
    <row r="113" spans="2:49">
      <c r="B113" s="96" t="s">
        <v>7</v>
      </c>
      <c r="C113" s="114"/>
      <c r="D113" s="8"/>
      <c r="E113" s="114"/>
      <c r="F113" s="114"/>
      <c r="G113" s="114"/>
      <c r="H113" s="3"/>
      <c r="I113" s="3"/>
      <c r="J113" s="8" t="s">
        <v>208</v>
      </c>
      <c r="K113" s="35"/>
      <c r="L113" s="3"/>
      <c r="M113" s="259" t="s">
        <v>200</v>
      </c>
      <c r="N113" s="3"/>
      <c r="O113" s="3"/>
      <c r="P113" s="114"/>
      <c r="R113" s="66" t="s">
        <v>97</v>
      </c>
      <c r="S113" s="46">
        <f>COUNTIF($D$69:$P$69,"*소희*")+COUNTIF($D$74:$P$74,"*소희*")+COUNTIF($D$83:$P$83,"*소희*")+COUNTIF($D$88:$P$88,"*소희*")+COUNTIF($D$93:$P$93,"*소희*")+COUNTIF($D$98:$P$98,"*소희*")+COUNTIF($D$107:$P$107,"*소희*")+COUNTIF($D$112:$P$112,"*소희*")+COUNTIF($D$117:$P$117,"*소희*")+COUNTIF($D$122:$P$122,"*소희*")+COUNTIF($D$131:$P$131,"*소희*")</f>
        <v>1</v>
      </c>
      <c r="T113" s="166">
        <f>COUNTIF($D$70:$P$70,"*소희*")+COUNTIF($D$75:$P$75,"*소희*")+COUNTIF($D$84:$P$84,"*소희*")+COUNTIF($D$89:$P$89,"*소희*")+COUNTIF($D$94:$P$94,"*소희*")+COUNTIF($D$99:$P$99,"*소희*")+COUNTIF($D$108:$P$108,"*소희*")+COUNTIF($D$113:$P$113,"*소희*")+COUNTIF($D$118:$P$118,"*소희*")+COUNTIF($D$123:$P$123,"*소희*")+COUNTIF($D$132:$P$132,"*소희*")</f>
        <v>2</v>
      </c>
      <c r="U113" s="46">
        <f>S113*2+T113</f>
        <v>4</v>
      </c>
      <c r="V113" s="35">
        <f>COUNTIF($D$74:$P$75,"*소희*")+COUNTIF($D$98:$P$99,"*소희*")+COUNTIF($D$122:$P$123,"*소희*")</f>
        <v>0</v>
      </c>
      <c r="W113" s="3"/>
      <c r="X113" s="4">
        <f t="shared" ref="X113:AA114" si="11">S113+S174</f>
        <v>3</v>
      </c>
      <c r="Y113" s="35">
        <f t="shared" si="11"/>
        <v>2</v>
      </c>
      <c r="Z113" s="48">
        <f t="shared" si="11"/>
        <v>8</v>
      </c>
      <c r="AA113" s="3">
        <f t="shared" si="11"/>
        <v>1</v>
      </c>
      <c r="AB113" s="154">
        <f>COUNTIF($AC$54:$AO$54,"*소희*")+COUNTIF($AC$56:$AO$56,"*소희*")+COUNTIF($AC$57:$AO$57,"*소희*")+COUNTIF($AC$58:$AO$58,"*소희*")+COUNTIF($AC$59:$AO$59,"*소희*")+COUNTIF($AC$60:$AO$60,"*소희*")+COUNTIF($AC$61:$AO$61,"*소희*")+COUNTIF($AC$62:$AO$62,"*소희*")+COUNTIF($AC$64:$AO$64,"*소희*")+COUNTIF($AC$65:$AO$65,"*소희*")+COUNTIF($AC$66:$AO$66,"*소희*")+COUNTIF($AC$68:$AO$68,"*소희*")+COUNTIF($AC$69:$AO$69,"*소희*")+COUNTIF($AC$70:$AO$70,"*소희*")+COUNTIF($AC$71:$AO$71,"*소희*")+COUNTIF($AC$73:$AO$73,"*소희*")+COUNTIF($AC$74:$AO$74,"*소희*")+COUNTIF($AC$75:$AO$75,"*소희*")</f>
        <v>0</v>
      </c>
      <c r="AC113" s="164">
        <f>Z113+U210</f>
        <v>8</v>
      </c>
      <c r="AD113" s="93"/>
      <c r="AE113" s="93"/>
      <c r="AF113" s="93">
        <v>0</v>
      </c>
      <c r="AG113" s="93"/>
      <c r="AH113" s="93"/>
      <c r="AI113" s="154">
        <f>AB113+X210</f>
        <v>0</v>
      </c>
      <c r="AJ113" s="84"/>
      <c r="AK113" s="84"/>
      <c r="AL113" s="147">
        <v>0.25</v>
      </c>
      <c r="AM113" s="84"/>
      <c r="AN113" s="84"/>
      <c r="AO113" s="203">
        <v>0</v>
      </c>
      <c r="AP113" s="176"/>
      <c r="AQ113" s="176"/>
      <c r="AR113" s="176"/>
      <c r="AS113" s="176"/>
      <c r="AT113" s="176"/>
      <c r="AU113" s="176"/>
      <c r="AV113" s="176"/>
      <c r="AW113" s="3"/>
    </row>
    <row r="114" spans="2:49">
      <c r="B114" s="96" t="s">
        <v>32</v>
      </c>
      <c r="C114" s="114"/>
      <c r="D114" s="79" t="s">
        <v>266</v>
      </c>
      <c r="E114" s="114"/>
      <c r="F114" s="114"/>
      <c r="G114" s="253"/>
      <c r="H114" s="3"/>
      <c r="I114" s="3"/>
      <c r="J114" s="79" t="s">
        <v>261</v>
      </c>
      <c r="K114" s="35"/>
      <c r="L114" s="3"/>
      <c r="M114" s="79" t="s">
        <v>144</v>
      </c>
      <c r="N114" s="3"/>
      <c r="O114" s="3"/>
      <c r="P114" s="114"/>
      <c r="Q114" s="7"/>
      <c r="R114" s="209" t="s">
        <v>102</v>
      </c>
      <c r="S114" s="52">
        <f>COUNTIF($D$69:$P$69,"*현동*")+COUNTIF($D$74:$P$74,"*현동*")+COUNTIF($D$83:$P$83,"*현동*")+COUNTIF($D$88:$P$88,"*현동*")+COUNTIF($D$93:$P$93,"*현동*")+COUNTIF($D$98:$P$98,"*현동*")+COUNTIF($D$107:$P$107,"*현동*")+COUNTIF($D$112:$P$112,"*현동*")+COUNTIF($D$117:$P$117,"*현동*")+COUNTIF($D$122:$P$122,"*현동*")+COUNTIF($D$131:$P$131,"*현동*")</f>
        <v>1</v>
      </c>
      <c r="T114" s="205">
        <f>COUNTIF($D$70:$P$70,"*현동*")+COUNTIF($D$75:$P$75,"*현동*")+COUNTIF($D$84:$P$84,"*현동*")+COUNTIF($D$89:$P$89,"*현동*")+COUNTIF($D$94:$P$94,"*현동*")+COUNTIF($D$99:$P$99,"*현동*")+COUNTIF($D$108:$P$108,"*현동*")+COUNTIF($D$113:$P$113,"*현동*")+COUNTIF($D$118:$P$118,"*현동*")+COUNTIF($D$123:$P$123,"*현동*")+COUNTIF($D$132:$P$132,"*현동*")</f>
        <v>4</v>
      </c>
      <c r="U114" s="52">
        <f>S114*2+T114</f>
        <v>6</v>
      </c>
      <c r="V114" s="170">
        <f>COUNTIF($D$74:$P$75,"*현동*")+COUNTIF($D$98:$P$99,"*현동*")+COUNTIF($D$122:$P$123,"*현동*")</f>
        <v>0</v>
      </c>
      <c r="W114" s="100"/>
      <c r="X114" s="54">
        <f t="shared" si="11"/>
        <v>3</v>
      </c>
      <c r="Y114" s="170">
        <f t="shared" si="11"/>
        <v>4</v>
      </c>
      <c r="Z114" s="68">
        <f t="shared" si="11"/>
        <v>10</v>
      </c>
      <c r="AA114" s="170">
        <f t="shared" si="11"/>
        <v>1</v>
      </c>
      <c r="AB114" s="163">
        <f>COUNTIF($AC$54:$AO$54,"*현동*")+COUNTIF($AC$56:$AO$56,"*현동*")+COUNTIF($AC$57:$AO$57,"*현동*")+COUNTIF($AC$58:$AO$58,"*현동*")+COUNTIF($AC$59:$AO$59,"*현동*")+COUNTIF($AC$60:$AO$60,"*현동*")+COUNTIF($AC$61:$AO$61,"*현동*")+COUNTIF($AC$62:$AO$62,"*현동*")+COUNTIF($AC$64:$AO$64,"*현동*")+COUNTIF($AC$65:$AO$65,"*현동*")+COUNTIF($AC$66:$AO$66,"*현동*")+COUNTIF($AC$68:$AO$68,"*현동*")+COUNTIF($AC$69:$AO$69,"*현동*")+COUNTIF($AC$70:$AO$70,"*현동*")+COUNTIF($AC$71:$AO$71,"*현동*")+COUNTIF($AC$73:$AO$73,"*현동*")+COUNTIF($AC$74:$AO$74,"*현동*")+COUNTIF($AC$75:$AO$75,"*현동*")</f>
        <v>0</v>
      </c>
      <c r="AC114" s="165">
        <f>Z114+U212</f>
        <v>10</v>
      </c>
      <c r="AD114" s="163"/>
      <c r="AE114" s="163"/>
      <c r="AF114" s="163">
        <v>0</v>
      </c>
      <c r="AG114" s="163"/>
      <c r="AH114" s="163"/>
      <c r="AI114" s="163">
        <f>AB114+X212</f>
        <v>0</v>
      </c>
      <c r="AJ114" s="206"/>
      <c r="AK114" s="204"/>
      <c r="AL114" s="170">
        <v>0</v>
      </c>
      <c r="AM114" s="204"/>
      <c r="AN114" s="204"/>
      <c r="AO114" s="210">
        <v>0</v>
      </c>
      <c r="AP114" s="176"/>
      <c r="AQ114" s="176"/>
      <c r="AR114" s="176"/>
      <c r="AS114" s="176"/>
      <c r="AT114" s="176"/>
      <c r="AU114" s="176"/>
      <c r="AV114" s="176"/>
      <c r="AW114" s="3"/>
    </row>
    <row r="115" spans="2:49" ht="1.5" customHeight="1">
      <c r="B115" s="7"/>
      <c r="C115" s="114"/>
      <c r="D115" s="114"/>
      <c r="E115" s="2"/>
      <c r="F115" s="3"/>
      <c r="G115" s="3"/>
      <c r="H115" s="3"/>
      <c r="I115" s="3"/>
      <c r="J115" s="114"/>
      <c r="K115" s="35"/>
      <c r="L115" s="3"/>
      <c r="M115" s="3"/>
      <c r="N115" s="3"/>
      <c r="O115" s="3"/>
      <c r="P115" s="114"/>
      <c r="R115" s="114"/>
      <c r="S115" s="51"/>
      <c r="T115" s="51"/>
      <c r="U115" s="51"/>
      <c r="V115" s="114"/>
      <c r="W115" s="114"/>
      <c r="X115" s="114"/>
      <c r="Y115" s="114"/>
      <c r="Z115" s="114"/>
      <c r="AA115" s="114"/>
      <c r="AB115" s="7"/>
      <c r="AC115" s="84"/>
      <c r="AD115" s="84"/>
      <c r="AE115" s="84"/>
      <c r="AF115" s="84"/>
      <c r="AG115" s="84"/>
      <c r="AH115" s="84"/>
      <c r="AI115" s="84"/>
      <c r="AJ115" s="84"/>
      <c r="AK115" s="84"/>
      <c r="AL115" s="147"/>
      <c r="AM115" s="84"/>
      <c r="AN115" s="84"/>
      <c r="AO115" s="147"/>
      <c r="AP115" s="200"/>
      <c r="AQ115" s="72"/>
      <c r="AR115" s="72"/>
      <c r="AS115" s="200"/>
      <c r="AT115" s="114"/>
      <c r="AU115" s="114"/>
      <c r="AV115" s="114"/>
      <c r="AW115" s="114"/>
    </row>
    <row r="116" spans="2:49">
      <c r="B116" s="9" t="s">
        <v>67</v>
      </c>
      <c r="C116" s="114"/>
      <c r="D116" s="9" t="s">
        <v>145</v>
      </c>
      <c r="E116" s="114"/>
      <c r="F116" s="114"/>
      <c r="G116" s="226" t="s">
        <v>242</v>
      </c>
      <c r="H116" s="3"/>
      <c r="I116" s="3"/>
      <c r="J116" s="9" t="s">
        <v>135</v>
      </c>
      <c r="K116" s="35"/>
      <c r="L116" s="3"/>
      <c r="M116" s="9" t="s">
        <v>134</v>
      </c>
      <c r="N116" s="3"/>
      <c r="O116" s="3"/>
      <c r="P116" s="237" t="s">
        <v>218</v>
      </c>
      <c r="R116" s="80"/>
      <c r="S116" s="207"/>
      <c r="T116" s="207"/>
      <c r="U116" s="208"/>
      <c r="V116" s="80"/>
      <c r="W116" s="80"/>
      <c r="X116" s="80"/>
      <c r="Y116" s="80"/>
      <c r="Z116" s="135"/>
      <c r="AA116" s="80"/>
      <c r="AB116" s="83"/>
      <c r="AC116" s="73"/>
      <c r="AD116" s="84"/>
      <c r="AE116" s="84"/>
      <c r="AF116" s="73"/>
      <c r="AG116" s="84"/>
      <c r="AH116" s="84"/>
      <c r="AI116" s="73"/>
      <c r="AJ116" s="84"/>
      <c r="AK116" s="84"/>
      <c r="AL116" s="147"/>
      <c r="AM116" s="84"/>
      <c r="AN116" s="84"/>
      <c r="AO116" s="176"/>
      <c r="AP116" s="176"/>
      <c r="AQ116" s="176"/>
      <c r="AR116" s="176"/>
      <c r="AS116" s="176"/>
      <c r="AT116" s="176"/>
      <c r="AU116" s="176"/>
      <c r="AV116" s="176"/>
      <c r="AW116" s="3"/>
    </row>
    <row r="117" spans="2:49">
      <c r="B117" s="105" t="s">
        <v>10</v>
      </c>
      <c r="C117" s="114"/>
      <c r="D117" s="78"/>
      <c r="E117" s="114"/>
      <c r="F117" s="114"/>
      <c r="G117" s="114"/>
      <c r="H117" s="3"/>
      <c r="I117" s="3"/>
      <c r="J117" s="78" t="s">
        <v>171</v>
      </c>
      <c r="K117" s="35"/>
      <c r="L117" s="3"/>
      <c r="M117" s="78" t="s">
        <v>198</v>
      </c>
      <c r="N117" s="3"/>
      <c r="O117" s="3"/>
      <c r="P117" s="251" t="s">
        <v>259</v>
      </c>
      <c r="R117" s="3"/>
      <c r="S117" s="82"/>
      <c r="T117" s="82"/>
      <c r="U117" s="82"/>
      <c r="V117" s="3"/>
      <c r="W117" s="3"/>
      <c r="X117" s="3"/>
      <c r="Y117" s="3"/>
      <c r="Z117" s="135"/>
      <c r="AA117" s="3"/>
      <c r="AB117" s="93"/>
      <c r="AC117" s="93"/>
      <c r="AD117" s="93"/>
      <c r="AE117" s="93"/>
      <c r="AF117" s="93"/>
      <c r="AG117" s="93"/>
      <c r="AH117" s="93"/>
      <c r="AI117" s="93"/>
      <c r="AJ117" s="84"/>
      <c r="AK117" s="84"/>
      <c r="AL117" s="147"/>
      <c r="AM117" s="84"/>
      <c r="AN117" s="84"/>
      <c r="AO117" s="147"/>
      <c r="AP117" s="176"/>
      <c r="AQ117" s="176"/>
      <c r="AR117" s="176"/>
      <c r="AS117" s="176"/>
      <c r="AT117" s="3"/>
      <c r="AU117" s="3"/>
      <c r="AV117" s="3"/>
      <c r="AW117" s="3"/>
    </row>
    <row r="118" spans="2:49">
      <c r="B118" s="105" t="s">
        <v>0</v>
      </c>
      <c r="C118" s="114"/>
      <c r="D118" s="8"/>
      <c r="E118" s="114"/>
      <c r="F118" s="114"/>
      <c r="G118" s="114"/>
      <c r="H118" s="3"/>
      <c r="I118" s="3"/>
      <c r="J118" s="256" t="s">
        <v>207</v>
      </c>
      <c r="K118" s="35"/>
      <c r="L118" s="3"/>
      <c r="M118" s="8" t="s">
        <v>209</v>
      </c>
      <c r="N118" s="3"/>
      <c r="O118" s="3"/>
      <c r="P118" s="251" t="s">
        <v>260</v>
      </c>
      <c r="R118" s="3"/>
      <c r="S118" s="82"/>
      <c r="T118" s="82"/>
      <c r="U118" s="82"/>
      <c r="V118" s="3"/>
      <c r="W118" s="3"/>
      <c r="X118" s="3"/>
      <c r="Y118" s="3"/>
      <c r="Z118" s="135"/>
      <c r="AA118" s="3"/>
      <c r="AB118" s="93"/>
      <c r="AC118" s="93"/>
      <c r="AD118" s="93"/>
      <c r="AE118" s="93"/>
      <c r="AF118" s="93"/>
      <c r="AG118" s="93"/>
      <c r="AH118" s="93"/>
      <c r="AI118" s="93"/>
      <c r="AJ118" s="84"/>
      <c r="AK118" s="84"/>
      <c r="AL118" s="147"/>
      <c r="AM118" s="84"/>
      <c r="AN118" s="84"/>
      <c r="AO118" s="147"/>
      <c r="AP118" s="176"/>
      <c r="AQ118" s="176"/>
      <c r="AR118" s="176"/>
      <c r="AS118" s="176"/>
      <c r="AT118" s="3"/>
      <c r="AU118" s="3"/>
      <c r="AV118" s="3"/>
      <c r="AW118" s="3"/>
    </row>
    <row r="119" spans="2:49">
      <c r="B119" s="105" t="s">
        <v>68</v>
      </c>
      <c r="C119" s="114"/>
      <c r="D119" s="79" t="s">
        <v>161</v>
      </c>
      <c r="E119" s="114"/>
      <c r="F119" s="114"/>
      <c r="G119" s="114"/>
      <c r="H119" s="3"/>
      <c r="I119" s="3"/>
      <c r="J119" s="79" t="s">
        <v>144</v>
      </c>
      <c r="K119" s="35"/>
      <c r="L119" s="3"/>
      <c r="M119" s="79" t="s">
        <v>261</v>
      </c>
      <c r="N119" s="3"/>
      <c r="O119" s="3"/>
      <c r="P119" s="224"/>
      <c r="R119" s="3"/>
      <c r="S119" s="82"/>
      <c r="T119" s="82"/>
      <c r="U119" s="82"/>
      <c r="V119" s="3"/>
      <c r="W119" s="3"/>
      <c r="X119" s="3"/>
      <c r="Y119" s="3"/>
      <c r="Z119" s="135"/>
      <c r="AA119" s="3"/>
      <c r="AB119" s="93"/>
      <c r="AC119" s="93"/>
      <c r="AD119" s="93"/>
      <c r="AE119" s="93"/>
      <c r="AF119" s="93"/>
      <c r="AG119" s="93"/>
      <c r="AH119" s="93"/>
      <c r="AI119" s="93"/>
      <c r="AJ119" s="84"/>
      <c r="AK119" s="84"/>
      <c r="AL119" s="3"/>
      <c r="AM119" s="84"/>
      <c r="AN119" s="84"/>
      <c r="AO119" s="147"/>
      <c r="AP119" s="176"/>
      <c r="AQ119" s="176"/>
      <c r="AR119" s="176"/>
      <c r="AS119" s="176"/>
      <c r="AT119" s="3"/>
      <c r="AU119" s="3"/>
      <c r="AV119" s="3"/>
      <c r="AW119" s="3"/>
    </row>
    <row r="120" spans="2:49" ht="1.5" customHeight="1">
      <c r="B120" s="114"/>
      <c r="C120" s="114"/>
      <c r="D120" s="114"/>
      <c r="E120" s="2"/>
      <c r="F120" s="3"/>
      <c r="G120" s="3"/>
      <c r="H120" s="3"/>
      <c r="I120" s="3"/>
      <c r="J120" s="114"/>
      <c r="K120" s="3"/>
      <c r="L120" s="3"/>
      <c r="M120" s="3"/>
      <c r="N120" s="3"/>
      <c r="O120" s="3"/>
      <c r="P120" s="114"/>
      <c r="R120" s="114"/>
      <c r="S120" s="51"/>
      <c r="T120" s="51"/>
      <c r="U120" s="51"/>
      <c r="V120" s="114"/>
      <c r="W120" s="114"/>
      <c r="X120" s="114"/>
      <c r="Y120" s="114"/>
      <c r="Z120" s="183"/>
      <c r="AA120" s="114"/>
      <c r="AB120" s="7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184"/>
      <c r="AQ120" s="84"/>
      <c r="AR120" s="84"/>
      <c r="AS120" s="184"/>
      <c r="AT120" s="7"/>
      <c r="AU120" s="7"/>
      <c r="AV120" s="7"/>
      <c r="AW120" s="7"/>
    </row>
    <row r="121" spans="2:49">
      <c r="B121" s="9" t="s">
        <v>69</v>
      </c>
      <c r="C121" s="114"/>
      <c r="D121" s="9" t="s">
        <v>145</v>
      </c>
      <c r="E121" s="114"/>
      <c r="F121" s="114"/>
      <c r="G121" s="253" t="s">
        <v>243</v>
      </c>
      <c r="H121" s="3"/>
      <c r="I121" s="3"/>
      <c r="J121" s="114"/>
      <c r="K121" s="3"/>
      <c r="L121" s="3"/>
      <c r="M121" s="114"/>
      <c r="N121" s="3"/>
      <c r="O121" s="3"/>
      <c r="P121" s="114"/>
      <c r="R121" s="3"/>
      <c r="S121" s="82"/>
      <c r="T121" s="82"/>
      <c r="U121" s="82"/>
      <c r="V121" s="3"/>
      <c r="W121" s="3"/>
      <c r="X121" s="3"/>
      <c r="Y121" s="3"/>
      <c r="Z121" s="135"/>
      <c r="AA121" s="3"/>
      <c r="AB121" s="93"/>
      <c r="AC121" s="93"/>
      <c r="AD121" s="93"/>
      <c r="AE121" s="93"/>
      <c r="AF121" s="93"/>
      <c r="AG121" s="93"/>
      <c r="AH121" s="93"/>
      <c r="AI121" s="93"/>
      <c r="AJ121" s="84"/>
      <c r="AK121" s="84"/>
      <c r="AL121" s="3"/>
      <c r="AM121" s="84"/>
      <c r="AN121" s="84"/>
      <c r="AO121" s="147"/>
      <c r="AP121" s="147"/>
      <c r="AQ121" s="147"/>
      <c r="AR121" s="147"/>
      <c r="AS121" s="147"/>
      <c r="AT121" s="174"/>
      <c r="AU121" s="174"/>
      <c r="AV121" s="174"/>
      <c r="AW121" s="174"/>
    </row>
    <row r="122" spans="2:49">
      <c r="B122" s="105" t="s">
        <v>10</v>
      </c>
      <c r="C122" s="114"/>
      <c r="D122" s="78"/>
      <c r="E122" s="114"/>
      <c r="F122" s="114"/>
      <c r="G122" s="253" t="s">
        <v>246</v>
      </c>
      <c r="H122" s="3"/>
      <c r="I122" s="3"/>
      <c r="J122" s="114"/>
      <c r="K122" s="3"/>
      <c r="L122" s="3"/>
      <c r="M122" s="114"/>
      <c r="N122" s="3"/>
      <c r="O122" s="3"/>
      <c r="P122" s="114"/>
      <c r="R122" s="114"/>
      <c r="S122" s="51"/>
      <c r="T122" s="51"/>
      <c r="U122" s="51"/>
      <c r="V122" s="114"/>
      <c r="W122" s="114"/>
      <c r="X122" s="114"/>
      <c r="Y122" s="114"/>
      <c r="Z122" s="114"/>
      <c r="AA122" s="114"/>
      <c r="AB122" s="7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184"/>
      <c r="AQ122" s="70"/>
      <c r="AR122" s="70"/>
      <c r="AS122" s="71"/>
    </row>
    <row r="123" spans="2:49">
      <c r="B123" s="105" t="s">
        <v>0</v>
      </c>
      <c r="C123" s="114"/>
      <c r="D123" s="8"/>
      <c r="E123" s="114"/>
      <c r="F123" s="114"/>
      <c r="G123" s="114"/>
      <c r="H123" s="3"/>
      <c r="I123" s="3"/>
      <c r="J123" s="114"/>
      <c r="K123" s="3"/>
      <c r="L123" s="3"/>
      <c r="M123" s="114"/>
      <c r="N123" s="3"/>
      <c r="O123" s="3"/>
      <c r="P123" s="114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1"/>
      <c r="AQ123" s="70"/>
      <c r="AR123" s="70"/>
      <c r="AS123" s="71"/>
    </row>
    <row r="124" spans="2:49">
      <c r="B124" s="105" t="s">
        <v>68</v>
      </c>
      <c r="C124" s="114"/>
      <c r="D124" s="79" t="s">
        <v>266</v>
      </c>
      <c r="E124" s="114"/>
      <c r="F124" s="114"/>
      <c r="G124" s="114"/>
      <c r="H124" s="3"/>
      <c r="I124" s="3"/>
      <c r="J124" s="114"/>
      <c r="K124" s="3"/>
      <c r="L124" s="3"/>
      <c r="M124" s="114"/>
      <c r="N124" s="3"/>
      <c r="O124" s="3"/>
      <c r="P124" s="114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1"/>
      <c r="AQ124" s="70"/>
      <c r="AR124" s="70"/>
      <c r="AS124" s="71"/>
    </row>
    <row r="125" spans="2:49" ht="1.5" customHeight="1">
      <c r="B125" s="7"/>
      <c r="C125" s="114"/>
      <c r="D125" s="114"/>
      <c r="E125" s="107"/>
      <c r="F125" s="3"/>
      <c r="G125" s="3"/>
      <c r="H125" s="3"/>
      <c r="I125" s="3"/>
      <c r="J125" s="114"/>
      <c r="K125" s="3"/>
      <c r="L125" s="3"/>
      <c r="M125" s="3"/>
      <c r="N125" s="3"/>
      <c r="O125" s="3"/>
      <c r="P125" s="3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1"/>
      <c r="AQ125" s="70"/>
      <c r="AR125" s="70"/>
      <c r="AS125" s="71"/>
    </row>
    <row r="126" spans="2:49">
      <c r="B126" s="5" t="s">
        <v>1</v>
      </c>
      <c r="C126" s="114"/>
      <c r="D126" s="59"/>
      <c r="E126" s="60"/>
      <c r="F126" s="60"/>
      <c r="G126" s="60" t="s">
        <v>128</v>
      </c>
      <c r="H126" s="60"/>
      <c r="I126" s="60"/>
      <c r="J126" s="60"/>
      <c r="K126" s="60"/>
      <c r="L126" s="60"/>
      <c r="M126" s="60"/>
      <c r="N126" s="60"/>
      <c r="O126" s="60"/>
      <c r="P126" s="61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1"/>
      <c r="AQ126" s="70"/>
      <c r="AR126" s="70"/>
      <c r="AS126" s="71"/>
    </row>
    <row r="127" spans="2:49">
      <c r="B127" s="2"/>
      <c r="C127" s="3"/>
      <c r="D127" s="2"/>
      <c r="E127" s="2"/>
      <c r="F127" s="218"/>
      <c r="G127" s="2"/>
      <c r="H127" s="2"/>
      <c r="I127" s="218"/>
      <c r="K127" s="2"/>
      <c r="L127" s="218"/>
      <c r="M127" s="219"/>
      <c r="N127" s="219"/>
      <c r="O127" s="215"/>
      <c r="P127" s="2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1"/>
      <c r="AQ127" s="70"/>
      <c r="AR127" s="70"/>
      <c r="AS127" s="71"/>
    </row>
    <row r="128" spans="2:49">
      <c r="B128" s="6" t="s">
        <v>2</v>
      </c>
      <c r="C128" s="114"/>
      <c r="D128" s="76" t="s">
        <v>130</v>
      </c>
      <c r="E128" s="56"/>
      <c r="F128" s="56"/>
      <c r="G128" s="56" t="s">
        <v>155</v>
      </c>
      <c r="H128" s="57"/>
      <c r="I128" s="57"/>
      <c r="J128" s="57"/>
      <c r="K128" s="57"/>
      <c r="L128" s="57"/>
      <c r="M128" s="57"/>
      <c r="N128" s="57"/>
      <c r="O128" s="57"/>
      <c r="P128" s="58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1"/>
      <c r="AQ128" s="70"/>
      <c r="AR128" s="70"/>
      <c r="AS128" s="71"/>
    </row>
    <row r="129" spans="2:51" ht="2.25" customHeight="1">
      <c r="B129" s="114"/>
      <c r="C129" s="114"/>
      <c r="D129" s="114"/>
      <c r="F129" s="10"/>
      <c r="G129" s="114"/>
      <c r="H129" s="3"/>
      <c r="I129" s="4"/>
      <c r="J129" s="114"/>
      <c r="L129" s="10"/>
      <c r="M129" s="7"/>
      <c r="N129" s="7"/>
      <c r="O129" s="7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1"/>
      <c r="AQ129" s="70"/>
      <c r="AR129" s="70"/>
      <c r="AS129" s="71"/>
    </row>
    <row r="130" spans="2:51">
      <c r="B130" s="9" t="s">
        <v>206</v>
      </c>
      <c r="C130" s="114"/>
      <c r="D130" s="9" t="s">
        <v>134</v>
      </c>
      <c r="E130" s="114"/>
      <c r="F130" s="113"/>
      <c r="G130" s="9" t="s">
        <v>162</v>
      </c>
      <c r="H130" s="2"/>
      <c r="I130" s="218"/>
      <c r="J130" s="9" t="s">
        <v>157</v>
      </c>
      <c r="K130" s="3"/>
      <c r="L130" s="218"/>
      <c r="M130" s="9" t="s">
        <v>158</v>
      </c>
      <c r="N130" s="3"/>
      <c r="O130" s="3"/>
      <c r="P130" s="250" t="s">
        <v>213</v>
      </c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1"/>
      <c r="AQ130" s="70"/>
      <c r="AR130" s="70"/>
      <c r="AS130" s="71"/>
    </row>
    <row r="131" spans="2:51">
      <c r="B131" s="221" t="s">
        <v>10</v>
      </c>
      <c r="C131" s="114"/>
      <c r="D131" s="78" t="s">
        <v>163</v>
      </c>
      <c r="E131" s="114"/>
      <c r="F131" s="113"/>
      <c r="G131" s="78" t="s">
        <v>165</v>
      </c>
      <c r="H131" s="2"/>
      <c r="I131" s="218"/>
      <c r="J131" s="78" t="s">
        <v>166</v>
      </c>
      <c r="K131" s="3"/>
      <c r="L131" s="218"/>
      <c r="M131" s="78" t="s">
        <v>168</v>
      </c>
      <c r="N131" s="3"/>
      <c r="O131" s="3"/>
      <c r="P131" s="1" t="s">
        <v>229</v>
      </c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1"/>
      <c r="AQ131" s="70"/>
      <c r="AR131" s="70"/>
      <c r="AS131" s="71"/>
    </row>
    <row r="132" spans="2:51">
      <c r="B132" s="221" t="s">
        <v>0</v>
      </c>
      <c r="C132" s="114"/>
      <c r="D132" s="8"/>
      <c r="E132" s="114"/>
      <c r="F132" s="113"/>
      <c r="G132" s="8"/>
      <c r="H132" s="2"/>
      <c r="I132" s="218"/>
      <c r="J132" s="8"/>
      <c r="K132" s="3"/>
      <c r="L132" s="218"/>
      <c r="M132" s="8"/>
      <c r="N132" s="3"/>
      <c r="O132" s="3"/>
      <c r="P132" s="114" t="s">
        <v>230</v>
      </c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1"/>
      <c r="AQ132" s="70"/>
      <c r="AR132" s="70"/>
      <c r="AS132" s="71"/>
    </row>
    <row r="133" spans="2:51">
      <c r="B133" s="221" t="s">
        <v>156</v>
      </c>
      <c r="C133" s="114"/>
      <c r="D133" s="79" t="s">
        <v>267</v>
      </c>
      <c r="E133" s="114"/>
      <c r="F133" s="8"/>
      <c r="G133" s="79" t="s">
        <v>238</v>
      </c>
      <c r="H133" s="2"/>
      <c r="I133" s="218"/>
      <c r="J133" s="79" t="s">
        <v>237</v>
      </c>
      <c r="K133" s="3"/>
      <c r="L133" s="218"/>
      <c r="M133" s="79" t="s">
        <v>240</v>
      </c>
      <c r="N133" s="3"/>
      <c r="O133" s="3"/>
      <c r="P133" s="252" t="s">
        <v>214</v>
      </c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1"/>
      <c r="AQ133" s="70"/>
      <c r="AR133" s="70"/>
      <c r="AS133" s="71"/>
    </row>
    <row r="134" spans="2:51" ht="15" customHeight="1">
      <c r="C134" s="77"/>
      <c r="D134" s="77"/>
      <c r="P134" s="252" t="s">
        <v>215</v>
      </c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</row>
    <row r="135" spans="2:51" ht="15" customHeight="1">
      <c r="C135" s="114"/>
      <c r="D135" s="114"/>
      <c r="P135" s="252" t="s">
        <v>269</v>
      </c>
      <c r="W135" s="114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</row>
    <row r="136" spans="2:51" s="2" customFormat="1">
      <c r="B136" s="6" t="s">
        <v>2</v>
      </c>
      <c r="C136" s="114"/>
      <c r="D136" s="76" t="s">
        <v>130</v>
      </c>
      <c r="E136" s="56"/>
      <c r="F136" s="56"/>
      <c r="G136" s="56" t="s">
        <v>71</v>
      </c>
      <c r="H136" s="57"/>
      <c r="I136" s="57"/>
      <c r="J136" s="57"/>
      <c r="K136" s="57"/>
      <c r="L136" s="57"/>
      <c r="M136" s="57"/>
      <c r="N136" s="57"/>
      <c r="O136" s="57"/>
      <c r="P136" s="58"/>
      <c r="R136" s="33"/>
      <c r="S136" s="43"/>
      <c r="T136" s="43"/>
      <c r="U136" s="43"/>
      <c r="V136" s="33"/>
      <c r="W136" s="3"/>
      <c r="X136" s="33"/>
      <c r="Y136" s="33"/>
      <c r="Z136" s="33"/>
      <c r="AA136" s="33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2:51" s="2" customFormat="1" ht="1.5" customHeight="1">
      <c r="B137" s="114"/>
      <c r="C137" s="114"/>
      <c r="D137" s="116"/>
      <c r="E137" s="117"/>
      <c r="F137" s="114"/>
      <c r="G137" s="116"/>
      <c r="H137" s="117"/>
      <c r="I137" s="219"/>
      <c r="J137" s="116"/>
      <c r="K137" s="116"/>
      <c r="L137" s="214"/>
      <c r="M137" s="116"/>
      <c r="N137" s="117"/>
      <c r="O137" s="219"/>
      <c r="P137" s="114"/>
      <c r="R137" s="33"/>
      <c r="S137" s="43"/>
      <c r="T137" s="43"/>
      <c r="U137" s="43"/>
      <c r="V137" s="33"/>
      <c r="W137" s="3"/>
      <c r="X137" s="33"/>
      <c r="Y137" s="33"/>
      <c r="Z137" s="33"/>
      <c r="AA137" s="33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2:51" s="2" customFormat="1" ht="18" hidden="1" customHeight="1">
      <c r="B138" s="213" t="s">
        <v>4</v>
      </c>
      <c r="C138" s="114"/>
      <c r="D138" s="230" t="s">
        <v>133</v>
      </c>
      <c r="E138" s="115"/>
      <c r="F138" s="114"/>
      <c r="G138" s="224" t="s">
        <v>136</v>
      </c>
      <c r="H138" s="115"/>
      <c r="I138" s="114"/>
      <c r="J138" s="114"/>
      <c r="K138" s="114"/>
      <c r="L138" s="3"/>
      <c r="M138" s="114"/>
      <c r="N138" s="115"/>
      <c r="O138" s="3"/>
      <c r="P138" s="114"/>
      <c r="R138" s="33"/>
      <c r="S138" s="43"/>
      <c r="T138" s="43"/>
      <c r="U138" s="43"/>
      <c r="V138" s="33"/>
      <c r="W138" s="3"/>
      <c r="X138" s="33"/>
      <c r="Y138" s="33"/>
      <c r="Z138" s="33"/>
      <c r="AA138" s="33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2:51" s="2" customFormat="1" hidden="1">
      <c r="B139" s="108" t="s">
        <v>63</v>
      </c>
      <c r="C139" s="114"/>
      <c r="D139" s="227" t="s">
        <v>137</v>
      </c>
      <c r="E139" s="115"/>
      <c r="F139" s="114"/>
      <c r="G139" s="114"/>
      <c r="H139" s="115"/>
      <c r="I139" s="114"/>
      <c r="J139" s="114"/>
      <c r="K139" s="114"/>
      <c r="L139" s="3"/>
      <c r="M139" s="114"/>
      <c r="N139" s="115"/>
      <c r="O139" s="3"/>
      <c r="P139" s="114"/>
      <c r="R139" s="33"/>
      <c r="S139" s="43"/>
      <c r="T139" s="43"/>
      <c r="U139" s="43"/>
      <c r="V139" s="33"/>
      <c r="W139" s="3"/>
      <c r="X139" s="33"/>
      <c r="Y139" s="33"/>
      <c r="Z139" s="33"/>
      <c r="AA139" s="33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2:51" s="2" customFormat="1" hidden="1">
      <c r="B140" s="108" t="s">
        <v>64</v>
      </c>
      <c r="C140" s="114"/>
      <c r="D140" s="227"/>
      <c r="E140" s="115"/>
      <c r="F140" s="114"/>
      <c r="G140" s="114"/>
      <c r="H140" s="115"/>
      <c r="I140" s="114"/>
      <c r="J140" s="114"/>
      <c r="K140" s="114"/>
      <c r="L140" s="3"/>
      <c r="M140" s="114"/>
      <c r="N140" s="115"/>
      <c r="O140" s="3"/>
      <c r="P140" s="114"/>
      <c r="R140" s="33"/>
      <c r="S140" s="43"/>
      <c r="T140" s="43"/>
      <c r="U140" s="43"/>
      <c r="V140" s="33"/>
      <c r="W140" s="3"/>
      <c r="X140" s="33"/>
      <c r="Y140" s="33"/>
      <c r="Z140" s="33"/>
      <c r="AA140" s="33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2:51" s="2" customFormat="1" hidden="1">
      <c r="B141" s="108" t="s">
        <v>65</v>
      </c>
      <c r="C141" s="114"/>
      <c r="D141" s="227"/>
      <c r="E141" s="115"/>
      <c r="F141" s="114"/>
      <c r="G141" s="114"/>
      <c r="H141" s="115"/>
      <c r="I141" s="114"/>
      <c r="J141" s="271"/>
      <c r="K141" s="271"/>
      <c r="L141" s="271"/>
      <c r="M141" s="271"/>
      <c r="N141" s="115"/>
      <c r="O141" s="3"/>
      <c r="P141" s="224"/>
      <c r="R141" s="33"/>
      <c r="S141" s="43"/>
      <c r="T141" s="43"/>
      <c r="U141" s="43"/>
      <c r="V141" s="33"/>
      <c r="W141" s="3"/>
      <c r="X141" s="33"/>
      <c r="Y141" s="33"/>
      <c r="Z141" s="33"/>
      <c r="AA141" s="33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2:51" s="2" customFormat="1" hidden="1">
      <c r="B142" s="108" t="s">
        <v>106</v>
      </c>
      <c r="C142" s="114"/>
      <c r="D142" s="227"/>
      <c r="E142" s="115"/>
      <c r="F142" s="114"/>
      <c r="G142" s="114"/>
      <c r="H142" s="115"/>
      <c r="I142" s="114"/>
      <c r="J142" s="271"/>
      <c r="K142" s="271"/>
      <c r="L142" s="271"/>
      <c r="M142" s="271"/>
      <c r="N142" s="115"/>
      <c r="O142" s="3"/>
      <c r="P142" s="114"/>
      <c r="R142" s="33"/>
      <c r="S142" s="43"/>
      <c r="T142" s="43"/>
      <c r="U142" s="43"/>
      <c r="V142" s="33"/>
      <c r="W142" s="3"/>
      <c r="X142" s="33"/>
      <c r="Y142" s="33"/>
      <c r="Z142" s="33"/>
      <c r="AA142" s="33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2:51" s="2" customFormat="1" hidden="1">
      <c r="B143" s="229" t="s">
        <v>66</v>
      </c>
      <c r="C143" s="114"/>
      <c r="D143" s="227" t="s">
        <v>138</v>
      </c>
      <c r="E143" s="115"/>
      <c r="F143" s="114"/>
      <c r="G143" s="114"/>
      <c r="H143" s="115"/>
      <c r="I143" s="114"/>
      <c r="J143" s="114"/>
      <c r="K143" s="114"/>
      <c r="L143" s="3"/>
      <c r="M143" s="114"/>
      <c r="N143" s="115"/>
      <c r="O143" s="3"/>
      <c r="P143" s="114"/>
      <c r="R143" s="33"/>
      <c r="S143" s="43"/>
      <c r="T143" s="43"/>
      <c r="U143" s="43"/>
      <c r="V143" s="33"/>
      <c r="W143" s="3"/>
      <c r="X143" s="33"/>
      <c r="Y143" s="33"/>
      <c r="Z143" s="33"/>
      <c r="AA143" s="33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2:51" s="2" customFormat="1">
      <c r="B144" s="95" t="s">
        <v>152</v>
      </c>
      <c r="C144" s="114"/>
      <c r="D144" s="9" t="s">
        <v>134</v>
      </c>
      <c r="E144" s="115"/>
      <c r="F144" s="114"/>
      <c r="G144" s="9" t="s">
        <v>162</v>
      </c>
      <c r="H144" s="115"/>
      <c r="I144" s="114"/>
      <c r="J144" s="9" t="s">
        <v>159</v>
      </c>
      <c r="K144" s="115"/>
      <c r="L144" s="4"/>
      <c r="M144" s="9" t="s">
        <v>148</v>
      </c>
      <c r="N144" s="115"/>
      <c r="O144" s="3"/>
      <c r="P144" s="9" t="s">
        <v>158</v>
      </c>
      <c r="R144" s="142"/>
      <c r="S144" s="262" t="s">
        <v>90</v>
      </c>
      <c r="T144" s="263"/>
      <c r="U144" s="263"/>
      <c r="V144" s="264"/>
      <c r="W144" s="3"/>
      <c r="X144" s="265" t="s">
        <v>95</v>
      </c>
      <c r="Y144" s="266"/>
      <c r="Z144" s="266"/>
      <c r="AA144" s="266"/>
      <c r="AB144" s="267"/>
      <c r="AC144" s="140"/>
      <c r="AD144" s="70"/>
      <c r="AE144" s="70"/>
      <c r="AF144" s="70"/>
      <c r="AG144" s="70"/>
      <c r="AH144" s="70"/>
      <c r="AI144" s="70"/>
      <c r="AJ144" s="70"/>
      <c r="AK144" s="70"/>
      <c r="AL144" s="142"/>
      <c r="AM144" s="70"/>
      <c r="AN144" s="70"/>
      <c r="AO144" s="140"/>
      <c r="AP144" s="147"/>
      <c r="AQ144" s="147"/>
      <c r="AR144" s="147"/>
      <c r="AS144" s="147"/>
      <c r="AT144" s="139"/>
      <c r="AU144" s="139"/>
      <c r="AV144" s="139"/>
      <c r="AW144" s="139"/>
      <c r="AX144" s="95" t="s">
        <v>70</v>
      </c>
      <c r="AY144" s="2" t="s">
        <v>89</v>
      </c>
    </row>
    <row r="145" spans="2:50" s="2" customFormat="1" ht="2.25" customHeight="1">
      <c r="B145" s="7"/>
      <c r="C145" s="114"/>
      <c r="D145" s="8"/>
      <c r="E145" s="115"/>
      <c r="F145" s="114"/>
      <c r="G145" s="234"/>
      <c r="H145" s="115"/>
      <c r="I145" s="3"/>
      <c r="J145" s="78"/>
      <c r="K145" s="115"/>
      <c r="L145" s="3"/>
      <c r="M145" s="78"/>
      <c r="N145" s="115"/>
      <c r="O145" s="3"/>
      <c r="P145" s="78"/>
      <c r="R145" s="141"/>
      <c r="S145" s="43"/>
      <c r="T145" s="43"/>
      <c r="U145" s="43"/>
      <c r="V145" s="33"/>
      <c r="W145" s="3"/>
      <c r="X145" s="33"/>
      <c r="Y145" s="33"/>
      <c r="Z145" s="33"/>
      <c r="AA145" s="33"/>
      <c r="AC145" s="70"/>
      <c r="AD145" s="70"/>
      <c r="AE145" s="70"/>
      <c r="AF145" s="70"/>
      <c r="AG145" s="70"/>
      <c r="AH145" s="70"/>
      <c r="AI145" s="70"/>
      <c r="AJ145" s="70"/>
      <c r="AK145" s="70"/>
      <c r="AL145" s="141"/>
      <c r="AM145" s="70"/>
      <c r="AN145" s="70"/>
      <c r="AO145" s="70"/>
      <c r="AP145" s="70"/>
      <c r="AX145" s="94"/>
    </row>
    <row r="146" spans="2:50" s="2" customFormat="1" ht="9.75" customHeight="1">
      <c r="B146" s="96" t="s">
        <v>25</v>
      </c>
      <c r="C146" s="114"/>
      <c r="D146" s="8" t="s">
        <v>164</v>
      </c>
      <c r="E146" s="115"/>
      <c r="F146" s="114"/>
      <c r="G146" s="8" t="s">
        <v>165</v>
      </c>
      <c r="H146" s="35"/>
      <c r="I146" s="3"/>
      <c r="J146" s="8" t="s">
        <v>169</v>
      </c>
      <c r="K146" s="35"/>
      <c r="L146" s="3"/>
      <c r="M146" s="8" t="s">
        <v>170</v>
      </c>
      <c r="N146" s="35"/>
      <c r="O146" s="3"/>
      <c r="P146" s="8" t="s">
        <v>168</v>
      </c>
      <c r="R146" s="150"/>
      <c r="S146" s="151" t="s">
        <v>91</v>
      </c>
      <c r="T146" s="152" t="s">
        <v>92</v>
      </c>
      <c r="U146" s="151" t="s">
        <v>93</v>
      </c>
      <c r="V146" s="65" t="s">
        <v>94</v>
      </c>
      <c r="W146" s="3"/>
      <c r="X146" s="153" t="s">
        <v>91</v>
      </c>
      <c r="Y146" s="69" t="s">
        <v>92</v>
      </c>
      <c r="Z146" s="69" t="s">
        <v>93</v>
      </c>
      <c r="AA146" s="69" t="s">
        <v>94</v>
      </c>
      <c r="AB146" s="138" t="s">
        <v>96</v>
      </c>
      <c r="AC146" s="149"/>
      <c r="AD146" s="149"/>
      <c r="AE146" s="149"/>
      <c r="AF146" s="149"/>
      <c r="AG146" s="149"/>
      <c r="AH146" s="149"/>
      <c r="AI146" s="149"/>
      <c r="AJ146" s="137"/>
      <c r="AK146" s="70"/>
      <c r="AL146" s="142"/>
      <c r="AM146" s="70"/>
      <c r="AN146" s="70"/>
      <c r="AO146" s="70"/>
      <c r="AP146" s="98" t="s">
        <v>35</v>
      </c>
      <c r="AQ146" s="155" t="s">
        <v>36</v>
      </c>
      <c r="AR146" s="98" t="s">
        <v>37</v>
      </c>
      <c r="AS146" s="98" t="s">
        <v>38</v>
      </c>
      <c r="AT146" s="102" t="s">
        <v>39</v>
      </c>
      <c r="AU146" s="102" t="s">
        <v>40</v>
      </c>
      <c r="AV146" s="102" t="s">
        <v>41</v>
      </c>
      <c r="AW146" s="102" t="s">
        <v>42</v>
      </c>
      <c r="AX146" s="96" t="s">
        <v>25</v>
      </c>
    </row>
    <row r="147" spans="2:50" s="2" customFormat="1" ht="9.75" customHeight="1">
      <c r="B147" s="96" t="s">
        <v>7</v>
      </c>
      <c r="C147" s="114"/>
      <c r="D147" s="8"/>
      <c r="E147" s="115"/>
      <c r="F147" s="114"/>
      <c r="G147" s="235"/>
      <c r="H147" s="35"/>
      <c r="I147" s="3"/>
      <c r="J147" s="8"/>
      <c r="K147" s="35"/>
      <c r="L147" s="3"/>
      <c r="M147" s="8"/>
      <c r="N147" s="35"/>
      <c r="O147" s="3"/>
      <c r="P147" s="8"/>
      <c r="R147" s="171" t="s">
        <v>81</v>
      </c>
      <c r="S147" s="143">
        <f>COUNTIF($D$146:$P$146,"*원석*")+COUNTIF($D$151:$P$151,"*원석*")+COUNTIF($D$156:$P$156,"*원석*")+COUNTIF($D$165:$P$165,"*원석*")+COUNTIF($D$170:$P$170,"*원석*")+COUNTIF($D$175:$P$175,"*원석*")+COUNTIF($D$180:$P$180,"*원석*")</f>
        <v>0</v>
      </c>
      <c r="T147" s="144">
        <f>COUNTIF($D$147:$P$147,"*원석*")+COUNTIF($D$152:$P$152,"*원석*")+COUNTIF($D$157:$P$157,"*원석*")+COUNTIF($D$166:$P$166,"*원석*")+COUNTIF($D$171:$P$171,"*원석*")+COUNTIF($D$176:$P$176,"*원석*")+COUNTIF($D$181:$P$181,"*원석*")</f>
        <v>0</v>
      </c>
      <c r="U147" s="44">
        <f>S147*2+T147</f>
        <v>0</v>
      </c>
      <c r="V147" s="144">
        <f>COUNTIF($D$156:$P$157,"*원석*")+COUNTIF($D$180:$P$181,"*원석*")</f>
        <v>0</v>
      </c>
      <c r="W147" s="145"/>
      <c r="X147" s="148">
        <f>X86</f>
        <v>0</v>
      </c>
      <c r="Y147" s="173">
        <f>Y86</f>
        <v>0</v>
      </c>
      <c r="Z147" s="45">
        <f>Z86</f>
        <v>0</v>
      </c>
      <c r="AA147" s="173">
        <f>AA86</f>
        <v>0</v>
      </c>
      <c r="AB147" s="160">
        <f>COUNTIF($AC$54:$AO$54,"*원석*")+COUNTIF($AC$56:$AO$56,"*원석*")+COUNTIF($AC$57:$AO$57,"*원석*")+COUNTIF($AC$58:$AO$58,"*원석*")+COUNTIF($AC$59:$AO$59,"*원석*")+COUNTIF($AC$60:$AO$60,"*원석*")+COUNTIF($AC$61:$AO$61,"*원석*")+COUNTIF($AC$62:$AO$62,"*원석*")+COUNTIF($AC$64:$AO$64,"*원석*")+COUNTIF($AC$65:$AO$65,"*원석*")+COUNTIF($AC$66:$AO$66,"*원석*")+COUNTIF($AC$68:$AO$68,"*원석*")+COUNTIF($AC$69:$AO$69,"*원석*")+COUNTIF($AC$70:$AO$70,"*원석*")+COUNTIF($AC$71:$AO$71,"*원석*")+COUNTIF($AC$73:$AO$73,"*원석*")+COUNTIF($AC$74:$AO$74,"*원석*")+COUNTIF($AC$75:$AO$75,"*원석*")</f>
        <v>0</v>
      </c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46"/>
      <c r="AM147" s="137"/>
      <c r="AN147" s="137"/>
      <c r="AO147" s="98" t="s">
        <v>81</v>
      </c>
      <c r="AP147" s="98">
        <f>COUNTIF($D$69:$P$76,"*원석*")</f>
        <v>0</v>
      </c>
      <c r="AQ147" s="98">
        <f>COUNTIF($D$83:$P$100,"*원석*")</f>
        <v>0</v>
      </c>
      <c r="AR147" s="98">
        <f>COUNTIF($D$107:$P$124,"*원석*")</f>
        <v>0</v>
      </c>
      <c r="AS147" s="98">
        <f>COUNTIF($D$131:$P$132,"*원석*")+COUNTIF($D$146:$P$158,"*원석*")</f>
        <v>0</v>
      </c>
      <c r="AT147" s="98">
        <f>COUNTIF($D$165:$P$182,"*원석*")</f>
        <v>0</v>
      </c>
      <c r="AU147" s="98">
        <f>COUNTIF($D$189:$P$206,"*원석*")</f>
        <v>0</v>
      </c>
      <c r="AV147" s="98">
        <f>COUNTIF($D$213:$P$230,"*원석*")</f>
        <v>0</v>
      </c>
      <c r="AW147" s="98">
        <f>SUM(AO147:AV147)</f>
        <v>0</v>
      </c>
      <c r="AX147" s="96" t="s">
        <v>7</v>
      </c>
    </row>
    <row r="148" spans="2:50" s="2" customFormat="1" ht="9.75" customHeight="1">
      <c r="B148" s="96" t="s">
        <v>32</v>
      </c>
      <c r="C148" s="114"/>
      <c r="D148" s="79" t="s">
        <v>267</v>
      </c>
      <c r="E148" s="115"/>
      <c r="F148" s="114"/>
      <c r="G148" s="79" t="s">
        <v>238</v>
      </c>
      <c r="H148" s="35"/>
      <c r="I148" s="3"/>
      <c r="J148" s="79" t="s">
        <v>239</v>
      </c>
      <c r="K148" s="35"/>
      <c r="L148" s="3"/>
      <c r="M148" s="79" t="s">
        <v>240</v>
      </c>
      <c r="N148" s="35"/>
      <c r="O148" s="3"/>
      <c r="P148" s="79" t="s">
        <v>240</v>
      </c>
      <c r="Q148" s="29"/>
      <c r="R148" s="172" t="s">
        <v>72</v>
      </c>
      <c r="S148" s="46">
        <f>COUNTIF($D$146:$P$146,"*성진*")+COUNTIF($D$151:$P$151,"*성진*")+COUNTIF($D$156:$P$156,"*성진*")+COUNTIF($D$165:$P$165,"*성진*")+COUNTIF($D$170:$P$170,"*성진*")+COUNTIF($D$175:$P$175,"*성진*")+COUNTIF($D$180:$P$180,"*성진*")</f>
        <v>0</v>
      </c>
      <c r="T148" s="166">
        <f>COUNTIF($D$147:$P$147,"*성진*")+COUNTIF($D$152:$P$152,"*성진*")+COUNTIF($D$157:$P$157,"*성진*")+COUNTIF($D$166:$P$166,"*성진*")+COUNTIF($D$171:$P$171,"*성진*")+COUNTIF($D$176:$P$176,"*성진*")+COUNTIF($D$181:$P$181,"*성진*")</f>
        <v>0</v>
      </c>
      <c r="U148" s="47">
        <f>S148*2+T148</f>
        <v>0</v>
      </c>
      <c r="V148" s="35">
        <f>COUNTIF($D$156:$P$157,"*성진*")+COUNTIF($D$180:$P$181,"*성진*")</f>
        <v>0</v>
      </c>
      <c r="W148" s="3"/>
      <c r="X148" s="4">
        <f>X88</f>
        <v>0</v>
      </c>
      <c r="Y148" s="35">
        <f>Y88</f>
        <v>3</v>
      </c>
      <c r="Z148" s="48">
        <f>Z88</f>
        <v>3</v>
      </c>
      <c r="AA148" s="35">
        <f>AA88</f>
        <v>0</v>
      </c>
      <c r="AB148" s="129">
        <f>COUNTIF($AC$54:$AO$54,"*성진*")+COUNTIF($AC$56:$AO$56,"*성진*")+COUNTIF($AC$57:$AO$57,"*성진*")+COUNTIF($AC$58:$AO$58,"*성진*")+COUNTIF($AC$59:$AO$59,"*성진*")+COUNTIF($AC$60:$AO$60,"*성진*")+COUNTIF($AC$61:$AO$61,"*성진*")+COUNTIF($AC$62:$AO$62,"*성진*")+COUNTIF($AC$64:$AO$64,"*성진*")+COUNTIF($AC$65:$AO$65,"*성진*")+COUNTIF($AC$66:$AO$66,"*성진*")+COUNTIF($AC$68:$AO$68,"*성진*")+COUNTIF($AC$69:$AO$69,"*성진*")+COUNTIF($AC$70:$AO$70,"*성진*")+COUNTIF($AC$71:$AO$71,"*성진*")+COUNTIF($AC$73:$AO$73,"*성진*")+COUNTIF($AC$74:$AO$74,"*성진*")+COUNTIF($AC$75:$AO$75,"*성진*")</f>
        <v>0</v>
      </c>
      <c r="AC148" s="92"/>
      <c r="AD148" s="70"/>
      <c r="AE148" s="70"/>
      <c r="AF148" s="70"/>
      <c r="AG148" s="70"/>
      <c r="AH148" s="70"/>
      <c r="AI148" s="70"/>
      <c r="AJ148" s="70"/>
      <c r="AK148" s="70"/>
      <c r="AL148" s="142"/>
      <c r="AM148" s="70"/>
      <c r="AN148" s="70"/>
      <c r="AO148" s="97" t="s">
        <v>72</v>
      </c>
      <c r="AP148" s="97">
        <f>COUNTIF($D$69:$P$76,"*성진*")</f>
        <v>0</v>
      </c>
      <c r="AQ148" s="97">
        <v>0</v>
      </c>
      <c r="AR148" s="97">
        <v>0</v>
      </c>
      <c r="AS148" s="97">
        <v>3</v>
      </c>
      <c r="AT148" s="81">
        <v>1</v>
      </c>
      <c r="AU148" s="81">
        <f>COUNTIF($D$189:$P$206,"*성진*")</f>
        <v>0</v>
      </c>
      <c r="AV148" s="81">
        <f>COUNTIF($D$213:$P$230,"*성진*")</f>
        <v>0</v>
      </c>
      <c r="AW148" s="81">
        <f>SUM(AO148:AV148)</f>
        <v>4</v>
      </c>
      <c r="AX148" s="96" t="s">
        <v>32</v>
      </c>
    </row>
    <row r="149" spans="2:50" s="3" customFormat="1" ht="2.25" customHeight="1">
      <c r="B149" s="114"/>
      <c r="C149" s="114"/>
      <c r="D149" s="114"/>
      <c r="E149" s="115"/>
      <c r="F149" s="114"/>
      <c r="G149" s="226"/>
      <c r="H149" s="35"/>
      <c r="J149" s="114"/>
      <c r="K149" s="35"/>
      <c r="M149" s="114"/>
      <c r="N149" s="35"/>
      <c r="P149" s="114"/>
      <c r="R149" s="66"/>
      <c r="S149" s="46"/>
      <c r="T149" s="166"/>
      <c r="U149" s="46"/>
      <c r="V149" s="35"/>
      <c r="X149" s="4"/>
      <c r="Y149" s="35"/>
      <c r="Z149" s="4"/>
      <c r="AA149" s="35"/>
      <c r="AB149" s="161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99"/>
      <c r="AP149" s="156"/>
      <c r="AQ149" s="66"/>
      <c r="AR149" s="66"/>
      <c r="AS149" s="66"/>
      <c r="AT149" s="66"/>
      <c r="AU149" s="66"/>
      <c r="AV149" s="66"/>
      <c r="AW149" s="66"/>
    </row>
    <row r="150" spans="2:50" s="2" customFormat="1" ht="9.75" customHeight="1">
      <c r="B150" s="9" t="s">
        <v>153</v>
      </c>
      <c r="C150" s="114"/>
      <c r="D150" s="9" t="s">
        <v>162</v>
      </c>
      <c r="E150" s="115"/>
      <c r="F150" s="114"/>
      <c r="G150" s="9" t="s">
        <v>159</v>
      </c>
      <c r="H150" s="220"/>
      <c r="I150" s="219"/>
      <c r="J150" s="9" t="s">
        <v>148</v>
      </c>
      <c r="K150" s="35"/>
      <c r="L150" s="219"/>
      <c r="M150" s="9" t="s">
        <v>157</v>
      </c>
      <c r="N150" s="219"/>
      <c r="O150" s="219"/>
      <c r="P150" s="114"/>
      <c r="Q150" s="29"/>
      <c r="R150" s="66" t="s">
        <v>73</v>
      </c>
      <c r="S150" s="46">
        <f>COUNTIF($D$146:$P$146,"*종섭*")+COUNTIF($D$151:$P$151,"*종섭*")+COUNTIF($D$156:$P$156,"*종섭*")+COUNTIF($D$165:$P$165,"*종섭*")+COUNTIF($D$170:$P$170,"*종섭*")+COUNTIF($D$175:$P$175,"*종섭*")+COUNTIF($D$180:$P$180,"*종섭*")</f>
        <v>0</v>
      </c>
      <c r="T150" s="166">
        <f>COUNTIF($D$147:$P$147,"*종섭*")+COUNTIF($D$152:$P$152,"*종섭*")+COUNTIF($D$157:$P$157,"*종섭*")+COUNTIF($D$166:$P$166,"*종섭*")+COUNTIF($D$171:$P$171,"*종섭*")+COUNTIF($D$176:$P$176,"*종섭*")+COUNTIF($D$181:$P$181,"*종섭*")</f>
        <v>0</v>
      </c>
      <c r="U150" s="47">
        <f t="shared" ref="U150" si="12">S150*2+T150</f>
        <v>0</v>
      </c>
      <c r="V150" s="35">
        <f>COUNTIF($D$156:$P$157,"*종섭*")+COUNTIF($D$180:$P$181,"*종섭*")</f>
        <v>0</v>
      </c>
      <c r="W150" s="3"/>
      <c r="X150" s="4">
        <f t="shared" ref="X150:AA151" si="13">X89</f>
        <v>0</v>
      </c>
      <c r="Y150" s="35">
        <f t="shared" si="13"/>
        <v>0</v>
      </c>
      <c r="Z150" s="48">
        <f t="shared" si="13"/>
        <v>0</v>
      </c>
      <c r="AA150" s="35">
        <f t="shared" si="13"/>
        <v>0</v>
      </c>
      <c r="AB150" s="129">
        <f>COUNTIF($AC$54:$AO$54,"*종섭*")+COUNTIF($AC$56:$AO$56,"*종섭*")+COUNTIF($AC$57:$AO$57,"*종섭*")+COUNTIF($AC$58:$AO$58,"*종섭*")+COUNTIF($AC$59:$AO$59,"*종섭*")+COUNTIF($AC$60:$AO$60,"*종섭*")+COUNTIF($AC$61:$AO$61,"*종섭*")+COUNTIF($AC$62:$AO$62,"*종섭*")+COUNTIF($AC$64:$AO$64,"*종섭*")+COUNTIF($AC$65:$AO$65,"*종섭*")+COUNTIF($AC$66:$AO$66,"*종섭*")+COUNTIF($AC$68:$AO$68,"*종섭*")+COUNTIF($AC$69:$AO$69,"*종섭*")+COUNTIF($AC$70:$AO$70,"*종섭*")+COUNTIF($AC$71:$AO$71,"*종섭*")+COUNTIF($AC$73:$AO$73,"*종섭*")+COUNTIF($AC$74:$AO$74,"*종섭*")+COUNTIF($AC$75:$AO$75,"*종섭*")</f>
        <v>0</v>
      </c>
      <c r="AC150" s="92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97" t="s">
        <v>73</v>
      </c>
      <c r="AP150" s="97">
        <f>COUNTIF($D$69:$P$76,"*종섭*")</f>
        <v>0</v>
      </c>
      <c r="AQ150" s="97">
        <f>COUNTIF($D$83:$P$100,"*종섭*")</f>
        <v>0</v>
      </c>
      <c r="AR150" s="97">
        <f>COUNTIF($D$107:$P$124,"*종섭*")</f>
        <v>0</v>
      </c>
      <c r="AS150" s="97">
        <f>COUNTIF($D$131:$P$132,"*종섭*")+COUNTIF($D$146:$P$158,"*종섭*")</f>
        <v>0</v>
      </c>
      <c r="AT150" s="81">
        <f>COUNTIF($D$165:$P$182,"*종섭*")</f>
        <v>0</v>
      </c>
      <c r="AU150" s="81">
        <f>COUNTIF($D$189:$P$206,"*종섭*")</f>
        <v>0</v>
      </c>
      <c r="AV150" s="81">
        <f>COUNTIF($D$213:$P$230,"*종섭*")</f>
        <v>0</v>
      </c>
      <c r="AW150" s="81">
        <f>SUM(AO150:AV150)</f>
        <v>0</v>
      </c>
    </row>
    <row r="151" spans="2:50" s="2" customFormat="1" ht="9.75" customHeight="1">
      <c r="B151" s="105" t="s">
        <v>10</v>
      </c>
      <c r="C151" s="114"/>
      <c r="D151" s="78" t="s">
        <v>165</v>
      </c>
      <c r="E151" s="115"/>
      <c r="F151" s="114"/>
      <c r="G151" s="78" t="s">
        <v>169</v>
      </c>
      <c r="H151" s="220"/>
      <c r="I151" s="219"/>
      <c r="J151" s="78" t="s">
        <v>170</v>
      </c>
      <c r="K151" s="35"/>
      <c r="L151" s="219"/>
      <c r="M151" s="78" t="s">
        <v>167</v>
      </c>
      <c r="N151" s="219"/>
      <c r="O151" s="219"/>
      <c r="P151" s="114"/>
      <c r="Q151" s="29"/>
      <c r="R151" s="66" t="s">
        <v>23</v>
      </c>
      <c r="S151" s="46">
        <f>COUNTIF($D$146:$P$146,"*형민*")+COUNTIF($D$151:$P$151,"*형민*")+COUNTIF($D$156:$P$156,"*형민*")+COUNTIF($D$165:$P$165,"*형민*")+COUNTIF($D$170:$P$170,"*형민*")+COUNTIF($D$175:$P$175,"*형민*")+COUNTIF($D$180:$P$180,"*형민*")</f>
        <v>0</v>
      </c>
      <c r="T151" s="166">
        <f>COUNTIF($D$147:$P$147,"*형민*")+COUNTIF($D$152:$P$152,"*형민*")+COUNTIF($D$157:$P$157,"*형민*")+COUNTIF($D$166:$P$166,"*형민*")+COUNTIF($D$171:$P$171,"*형민*")+COUNTIF($D$176:$P$176,"*형민*")+COUNTIF($D$181:$P$181,"*형민*")</f>
        <v>0</v>
      </c>
      <c r="U151" s="47">
        <f>S151*2+T151</f>
        <v>0</v>
      </c>
      <c r="V151" s="35">
        <f>COUNTIF($D$156:$P$157,"*형민*")+COUNTIF($D$180:$P$181,"*형민*")</f>
        <v>0</v>
      </c>
      <c r="W151" s="3"/>
      <c r="X151" s="4">
        <f t="shared" si="13"/>
        <v>0</v>
      </c>
      <c r="Y151" s="35">
        <f t="shared" si="13"/>
        <v>0</v>
      </c>
      <c r="Z151" s="48">
        <f t="shared" si="13"/>
        <v>0</v>
      </c>
      <c r="AA151" s="35">
        <f t="shared" si="13"/>
        <v>0</v>
      </c>
      <c r="AB151" s="162">
        <f>COUNTIF($AC$54:$AO$54,"*형민*")+COUNTIF($AC$56:$AO$56,"*형민*")+COUNTIF($AC$57:$AO$57,"*형민*")+COUNTIF($AC$58:$AO$58,"*형민*")+COUNTIF($AC$59:$AO$59,"*형민*")+COUNTIF($AC$60:$AO$60,"*형민*")+COUNTIF($AC$61:$AO$61,"*형민*")+COUNTIF($AC$62:$AO$62,"*형민*")+COUNTIF($AC$64:$AO$64,"*형민*")+COUNTIF($AC$65:$AO$65,"*형민*")+COUNTIF($AC$66:$AO$66,"*형민*")+COUNTIF($AC$68:$AO$68,"*형민*")+COUNTIF($AC$69:$AO$69,"*형민*")+COUNTIF($AC$70:$AO$70,"*형민*")+COUNTIF($AC$71:$AO$71,"*형민*")+COUNTIF($AC$73:$AO$73,"*형민*")+COUNTIF($AC$74:$AO$74,"*형민*")+COUNTIF($AC$75:$AO$75,"*형민*")</f>
        <v>0</v>
      </c>
      <c r="AC151" s="73"/>
      <c r="AD151" s="84"/>
      <c r="AE151" s="84"/>
      <c r="AF151" s="3"/>
      <c r="AG151" s="84"/>
      <c r="AH151" s="84"/>
      <c r="AI151" s="84"/>
      <c r="AJ151" s="84"/>
      <c r="AK151" s="84"/>
      <c r="AL151" s="84"/>
      <c r="AM151" s="84"/>
      <c r="AN151" s="84"/>
      <c r="AO151" s="66" t="s">
        <v>23</v>
      </c>
      <c r="AP151" s="97">
        <f>COUNTIF($D$69:$P$76,"*형민*")</f>
        <v>0</v>
      </c>
      <c r="AQ151" s="97">
        <f>COUNTIF($D$83:$P$100,"*형민*")</f>
        <v>0</v>
      </c>
      <c r="AR151" s="97">
        <f>COUNTIF($D$107:$P$124,"*형민*")</f>
        <v>0</v>
      </c>
      <c r="AS151" s="97">
        <f>COUNTIF($D$131:$P$132,"*형민*")+COUNTIF($D$146:$P$158,"*형민*")</f>
        <v>0</v>
      </c>
      <c r="AT151" s="97">
        <f>COUNTIF($D$165:$P$182,"*형민*")</f>
        <v>0</v>
      </c>
      <c r="AU151" s="97">
        <f>COUNTIF($D$189:$P$206,"*형민*")</f>
        <v>0</v>
      </c>
      <c r="AV151" s="97">
        <f>COUNTIF($D$213:$P$230,"*형민*")</f>
        <v>0</v>
      </c>
      <c r="AW151" s="81">
        <f>SUM(AO151:AV151)</f>
        <v>0</v>
      </c>
    </row>
    <row r="152" spans="2:50" s="2" customFormat="1" ht="9.75" customHeight="1">
      <c r="B152" s="105" t="s">
        <v>0</v>
      </c>
      <c r="C152" s="114"/>
      <c r="D152" s="8"/>
      <c r="E152" s="115"/>
      <c r="F152" s="114"/>
      <c r="G152" s="8"/>
      <c r="H152" s="220"/>
      <c r="I152" s="219"/>
      <c r="J152" s="8"/>
      <c r="K152" s="35"/>
      <c r="L152" s="219"/>
      <c r="M152" s="8"/>
      <c r="N152" s="219"/>
      <c r="O152" s="219"/>
      <c r="P152" s="114"/>
      <c r="Q152" s="29"/>
      <c r="R152" s="66" t="s">
        <v>13</v>
      </c>
      <c r="S152" s="46">
        <f>COUNTIF($D$146:$P$146,"*효동*")+COUNTIF($D$151:$P$151,"*효동*")+COUNTIF($D$156:$P$156,"*효동*")+COUNTIF($D$165:$P$165,"*효동*")+COUNTIF($D$170:$P$170,"*효동*")+COUNTIF($D$175:$P$175,"*효동*")+COUNTIF($D$180:$P$180,"*효동*")</f>
        <v>0</v>
      </c>
      <c r="T152" s="166">
        <f>COUNTIF($D$147:$P$147,"*효동*")+COUNTIF($D$152:$P$152,"*효동*")+COUNTIF($D$157:$P$157,"*효동*")+COUNTIF($D$166:$P$166,"*효동*")+COUNTIF($D$171:$P$171,"*효동*")+COUNTIF($D$176:$P$176,"*효동*")+COUNTIF($D$181:$P$181,"*효동*")</f>
        <v>0</v>
      </c>
      <c r="U152" s="47">
        <f>S152*2+T152</f>
        <v>0</v>
      </c>
      <c r="V152" s="35">
        <f>COUNTIF($D$156:$P$157,"*효동*")+COUNTIF($D$180:$P$181,"*효동*")</f>
        <v>0</v>
      </c>
      <c r="W152" s="3"/>
      <c r="X152" s="4">
        <f t="shared" ref="X152:AA153" si="14">X92</f>
        <v>2</v>
      </c>
      <c r="Y152" s="35">
        <f t="shared" si="14"/>
        <v>2</v>
      </c>
      <c r="Z152" s="48">
        <f t="shared" si="14"/>
        <v>6</v>
      </c>
      <c r="AA152" s="35">
        <f t="shared" si="14"/>
        <v>0</v>
      </c>
      <c r="AB152" s="162">
        <f>COUNTIF($AC$54:$AO$54,"*효동*")+COUNTIF($AC$56:$AO$56,"*효동*")+COUNTIF($AC$57:$AO$57,"*효동*")+COUNTIF($AC$58:$AO$58,"*효동*")+COUNTIF($AC$59:$AO$59,"*효동*")+COUNTIF($AC$60:$AO$60,"*효동*")+COUNTIF($AC$61:$AO$61,"*효동*")+COUNTIF($AC$62:$AO$62,"*효동*")+COUNTIF($AC$64:$AO$64,"*효동*")+COUNTIF($AC$65:$AO$65,"*효동*")+COUNTIF($AC$66:$AO$66,"*효동*")+COUNTIF($AC$68:$AO$68,"*효동*")+COUNTIF($AC$69:$AO$69,"*효동*")+COUNTIF($AC$70:$AO$70,"*효동*")+COUNTIF($AC$71:$AO$71,"*효동*")+COUNTIF($AC$73:$AO$73,"*효동*")+COUNTIF($AC$74:$AO$74,"*효동*")+COUNTIF($AC$75:$AO$75,"*효동*")</f>
        <v>0</v>
      </c>
      <c r="AC152" s="73"/>
      <c r="AD152" s="84"/>
      <c r="AE152" s="84"/>
      <c r="AF152" s="3"/>
      <c r="AG152" s="84"/>
      <c r="AH152" s="84"/>
      <c r="AI152" s="84"/>
      <c r="AJ152" s="84"/>
      <c r="AK152" s="84"/>
      <c r="AL152" s="84"/>
      <c r="AM152" s="84"/>
      <c r="AN152" s="84"/>
      <c r="AO152" s="66" t="s">
        <v>13</v>
      </c>
      <c r="AP152" s="97">
        <f>COUNTIF($D$69:$P$76,"*효동*")</f>
        <v>0</v>
      </c>
      <c r="AQ152" s="97">
        <v>0</v>
      </c>
      <c r="AR152" s="97">
        <v>0</v>
      </c>
      <c r="AS152" s="97">
        <v>2</v>
      </c>
      <c r="AT152" s="97">
        <v>2</v>
      </c>
      <c r="AU152" s="97">
        <f>COUNTIF($D$189:$P$206,"*효동*")</f>
        <v>0</v>
      </c>
      <c r="AV152" s="97">
        <f>COUNTIF($D$213:$P$230,"*효동*")</f>
        <v>0</v>
      </c>
      <c r="AW152" s="81">
        <f>SUM(AO152:AV152)</f>
        <v>4</v>
      </c>
    </row>
    <row r="153" spans="2:50" s="2" customFormat="1" ht="9.75" customHeight="1">
      <c r="B153" s="105" t="s">
        <v>68</v>
      </c>
      <c r="C153" s="114"/>
      <c r="D153" s="79" t="s">
        <v>238</v>
      </c>
      <c r="E153" s="115"/>
      <c r="F153" s="114"/>
      <c r="G153" s="79" t="s">
        <v>239</v>
      </c>
      <c r="H153" s="220"/>
      <c r="I153" s="219"/>
      <c r="J153" s="79" t="s">
        <v>240</v>
      </c>
      <c r="K153" s="35"/>
      <c r="L153" s="219"/>
      <c r="M153" s="79" t="s">
        <v>237</v>
      </c>
      <c r="N153" s="219"/>
      <c r="O153" s="219"/>
      <c r="P153" s="114"/>
      <c r="Q153" s="29"/>
      <c r="R153" s="66" t="s">
        <v>74</v>
      </c>
      <c r="S153" s="46">
        <f>COUNTIF($D$146:$P$146,"*상은*")+COUNTIF($D$151:$P$151,"*상은*")+COUNTIF($D$156:$P$156,"*상은*")+COUNTIF($D$165:$P$165,"*상은*")+COUNTIF($D$170:$P$170,"*상은*")+COUNTIF($D$175:$P$175,"*상은*")+COUNTIF($D$180:$P$180,"*상은*")</f>
        <v>0</v>
      </c>
      <c r="T153" s="166">
        <f>COUNTIF($D$147:$P$147,"*상은*")+COUNTIF($D$152:$P$152,"*상은*")+COUNTIF($D$157:$P$157,"*상은*")+COUNTIF($D$166:$P$166,"*상은*")+COUNTIF($D$171:$P$171,"*상은*")+COUNTIF($D$176:$P$176,"*상은*")+COUNTIF($D$181:$P$181,"*상은*")</f>
        <v>0</v>
      </c>
      <c r="U153" s="47">
        <f>S153*2+T153</f>
        <v>0</v>
      </c>
      <c r="V153" s="35">
        <f>COUNTIF($D$156:$P$157,"*상은*")+COUNTIF($D$180:$P$181,"*상은*")</f>
        <v>0</v>
      </c>
      <c r="W153" s="3"/>
      <c r="X153" s="4">
        <f t="shared" si="14"/>
        <v>3</v>
      </c>
      <c r="Y153" s="35">
        <f t="shared" si="14"/>
        <v>0</v>
      </c>
      <c r="Z153" s="48">
        <f t="shared" si="14"/>
        <v>6</v>
      </c>
      <c r="AA153" s="35">
        <f t="shared" si="14"/>
        <v>0</v>
      </c>
      <c r="AB153" s="162">
        <f>COUNTIF($AC$54:$AO$54,"*상은*")+COUNTIF($AC$56:$AO$56,"*상은*")+COUNTIF($AC$57:$AO$57,"*상은*")+COUNTIF($AC$58:$AO$58,"*상은*")+COUNTIF($AC$59:$AO$59,"*상은*")+COUNTIF($AC$60:$AO$60,"*상은*")+COUNTIF($AC$61:$AO$61,"*상은*")+COUNTIF($AC$62:$AO$62,"*상은*")+COUNTIF($AC$64:$AO$64,"*상은*")+COUNTIF($AC$65:$AO$65,"*상은*")+COUNTIF($AC$66:$AO$66,"*상은*")+COUNTIF($AC$68:$AO$68,"*상은*")+COUNTIF($AC$69:$AO$69,"*상은*")+COUNTIF($AC$70:$AO$70,"*상은*")+COUNTIF($AC$71:$AO$71,"*상은*")+COUNTIF($AC$73:$AO$73,"*상은*")+COUNTIF($AC$74:$AO$74,"*상은*")+COUNTIF($AC$75:$AO$75,"*상은*")</f>
        <v>0</v>
      </c>
      <c r="AC153" s="73"/>
      <c r="AD153" s="84"/>
      <c r="AE153" s="84"/>
      <c r="AF153" s="3"/>
      <c r="AG153" s="84"/>
      <c r="AH153" s="84"/>
      <c r="AI153" s="84"/>
      <c r="AJ153" s="84"/>
      <c r="AK153" s="84"/>
      <c r="AL153" s="84"/>
      <c r="AM153" s="84"/>
      <c r="AN153" s="84"/>
      <c r="AO153" s="66" t="s">
        <v>74</v>
      </c>
      <c r="AP153" s="97">
        <f>COUNTIF($D$69:$P$76,"*상은*")</f>
        <v>0</v>
      </c>
      <c r="AQ153" s="97">
        <v>0</v>
      </c>
      <c r="AR153" s="97">
        <v>0</v>
      </c>
      <c r="AS153" s="97">
        <v>2</v>
      </c>
      <c r="AT153" s="97">
        <v>3</v>
      </c>
      <c r="AU153" s="97">
        <f>COUNTIF($D$189:$P$206,"*상은*")</f>
        <v>0</v>
      </c>
      <c r="AV153" s="97">
        <f>COUNTIF($D$213:$P$230,"*상은*")</f>
        <v>0</v>
      </c>
      <c r="AW153" s="81">
        <f>SUM(AO153:AV153)</f>
        <v>5</v>
      </c>
    </row>
    <row r="154" spans="2:50" s="2" customFormat="1" ht="1.5" customHeight="1">
      <c r="B154" s="114"/>
      <c r="C154" s="114"/>
      <c r="D154" s="114"/>
      <c r="E154" s="115"/>
      <c r="F154" s="114"/>
      <c r="G154" s="114"/>
      <c r="H154" s="35"/>
      <c r="I154" s="3"/>
      <c r="J154" s="114"/>
      <c r="K154" s="35"/>
      <c r="L154" s="3"/>
      <c r="M154" s="114"/>
      <c r="N154" s="35"/>
      <c r="O154" s="3"/>
      <c r="P154" s="114"/>
      <c r="Q154" s="29"/>
      <c r="R154" s="66"/>
      <c r="S154" s="46"/>
      <c r="T154" s="166"/>
      <c r="U154" s="47"/>
      <c r="V154" s="35"/>
      <c r="W154" s="3"/>
      <c r="X154" s="4"/>
      <c r="Y154" s="35"/>
      <c r="Z154" s="48"/>
      <c r="AA154" s="35"/>
      <c r="AB154" s="162"/>
      <c r="AC154" s="73"/>
      <c r="AD154" s="84"/>
      <c r="AE154" s="84"/>
      <c r="AF154" s="3"/>
      <c r="AG154" s="84"/>
      <c r="AH154" s="84"/>
      <c r="AI154" s="84"/>
      <c r="AJ154" s="84"/>
      <c r="AK154" s="84"/>
      <c r="AL154" s="84"/>
      <c r="AM154" s="84"/>
      <c r="AN154" s="84"/>
      <c r="AO154" s="66"/>
      <c r="AP154" s="99"/>
      <c r="AQ154" s="81"/>
      <c r="AR154" s="81"/>
      <c r="AS154" s="81"/>
      <c r="AT154" s="81"/>
      <c r="AU154" s="81"/>
      <c r="AV154" s="81"/>
      <c r="AW154" s="81"/>
    </row>
    <row r="155" spans="2:50" s="2" customFormat="1" ht="9.75" customHeight="1">
      <c r="B155" s="9" t="s">
        <v>154</v>
      </c>
      <c r="C155" s="114"/>
      <c r="D155" s="9" t="s">
        <v>134</v>
      </c>
      <c r="E155" s="115"/>
      <c r="F155" s="114"/>
      <c r="G155" s="9" t="s">
        <v>159</v>
      </c>
      <c r="H155" s="220"/>
      <c r="I155" s="219"/>
      <c r="J155" s="9" t="s">
        <v>160</v>
      </c>
      <c r="K155" s="35"/>
      <c r="L155" s="219"/>
      <c r="M155" s="9" t="s">
        <v>157</v>
      </c>
      <c r="N155" s="220"/>
      <c r="O155" s="219"/>
      <c r="P155" s="9" t="s">
        <v>158</v>
      </c>
      <c r="Q155" s="29"/>
      <c r="R155" s="66" t="s">
        <v>12</v>
      </c>
      <c r="S155" s="46">
        <f>COUNTIF($D$146:$P$146,"*준범*")+COUNTIF($D$151:$P$151,"*준범*")+COUNTIF($D$156:$P$156,"*준범*")+COUNTIF($D$165:$P$165,"*준범*")+COUNTIF($D$170:$P$170,"*준범*")+COUNTIF($D$175:$P$175,"*준범*")+COUNTIF($D$180:$P$180,"*준범*")</f>
        <v>2</v>
      </c>
      <c r="T155" s="166">
        <f>COUNTIF($D$147:$P$147,"*준범*")+COUNTIF($D$152:$P$152,"*준범*")+COUNTIF($D$157:$P$157,"*준범*")+COUNTIF($D$166:$P$166,"*준범*")+COUNTIF($D$171:$P$171,"*준범*")+COUNTIF($D$176:$P$176,"*준범*")+COUNTIF($D$181:$P$181,"*준범*")</f>
        <v>0</v>
      </c>
      <c r="U155" s="47">
        <f>S155*2+T155</f>
        <v>4</v>
      </c>
      <c r="V155" s="35">
        <f>COUNTIF($D$156:$P$157,"*준범*")+COUNTIF($D$180:$P$181,"*준범*")</f>
        <v>0</v>
      </c>
      <c r="W155" s="3"/>
      <c r="X155" s="4">
        <f t="shared" ref="X155:AA156" si="15">X94</f>
        <v>4</v>
      </c>
      <c r="Y155" s="35">
        <f t="shared" si="15"/>
        <v>1</v>
      </c>
      <c r="Z155" s="48">
        <f t="shared" si="15"/>
        <v>9</v>
      </c>
      <c r="AA155" s="35">
        <f t="shared" si="15"/>
        <v>0</v>
      </c>
      <c r="AB155" s="162">
        <f>COUNTIF($AC$54:$AO$54,"*준범*")+COUNTIF($AC$56:$AO$56,"*준범*")+COUNTIF($AC$57:$AO$57,"*준범*")+COUNTIF($AC$58:$AO$58,"*준범*")+COUNTIF($AC$59:$AO$59,"*준범*")+COUNTIF($AC$60:$AO$60,"*준범*")+COUNTIF($AC$61:$AO$61,"*준범*")+COUNTIF($AC$62:$AO$62,"*준범*")+COUNTIF($AC$64:$AO$64,"*준범*")+COUNTIF($AC$65:$AO$65,"*준범*")+COUNTIF($AC$66:$AO$66,"*준범*")+COUNTIF($AC$68:$AO$68,"*준범*")+COUNTIF($AC$69:$AO$69,"*준범*")+COUNTIF($AC$70:$AO$70,"*준범*")+COUNTIF($AC$71:$AO$71,"*준범*")+COUNTIF($AC$73:$AO$73,"*준범*")+COUNTIF($AC$74:$AO$74,"*준범*")+COUNTIF($AC$75:$AO$75,"*준범*")</f>
        <v>0</v>
      </c>
      <c r="AC155" s="73"/>
      <c r="AD155" s="84"/>
      <c r="AE155" s="84"/>
      <c r="AF155" s="3"/>
      <c r="AG155" s="84"/>
      <c r="AH155" s="84"/>
      <c r="AI155" s="84"/>
      <c r="AJ155" s="84"/>
      <c r="AK155" s="84"/>
      <c r="AL155" s="84"/>
      <c r="AM155" s="84"/>
      <c r="AN155" s="84"/>
      <c r="AO155" s="66" t="s">
        <v>12</v>
      </c>
      <c r="AP155" s="97">
        <v>0</v>
      </c>
      <c r="AQ155" s="97">
        <v>2</v>
      </c>
      <c r="AR155" s="97">
        <f>COUNTIF($D$107:$P$124,"*준범*")</f>
        <v>0</v>
      </c>
      <c r="AS155" s="97">
        <v>0</v>
      </c>
      <c r="AT155" s="97">
        <f>COUNTIF($D$165:$P$182,"*준범*")</f>
        <v>0</v>
      </c>
      <c r="AU155" s="97">
        <v>3</v>
      </c>
      <c r="AV155" s="97">
        <f>COUNTIF($D$213:$P$230,"*준범*")</f>
        <v>0</v>
      </c>
      <c r="AW155" s="81">
        <f>SUM(AO155:AV155)</f>
        <v>5</v>
      </c>
    </row>
    <row r="156" spans="2:50" s="2" customFormat="1" ht="9.75" customHeight="1">
      <c r="B156" s="105" t="s">
        <v>10</v>
      </c>
      <c r="C156" s="114"/>
      <c r="D156" s="78" t="s">
        <v>164</v>
      </c>
      <c r="E156" s="115"/>
      <c r="F156" s="114"/>
      <c r="G156" s="78" t="s">
        <v>169</v>
      </c>
      <c r="H156" s="220"/>
      <c r="I156" s="219"/>
      <c r="J156" s="78" t="s">
        <v>170</v>
      </c>
      <c r="K156" s="35"/>
      <c r="L156" s="219"/>
      <c r="M156" s="78" t="s">
        <v>166</v>
      </c>
      <c r="N156" s="220"/>
      <c r="O156" s="219"/>
      <c r="P156" s="78" t="s">
        <v>168</v>
      </c>
      <c r="Q156" s="29"/>
      <c r="R156" s="66" t="s">
        <v>103</v>
      </c>
      <c r="S156" s="46">
        <f>COUNTIF($D$146:$P$146,"*슬비*")+COUNTIF($D$151:$P$151,"*슬비*")+COUNTIF($D$156:$P$156,"*슬비*")+COUNTIF($D$165:$P$165,"*슬비*")+COUNTIF($D$170:$P$170,"*슬비*")+COUNTIF($D$175:$P$175,"*슬비*")+COUNTIF($D$180:$P$180,"*슬비*")</f>
        <v>0</v>
      </c>
      <c r="T156" s="168">
        <f>COUNTIF($D$147:$P$147,"*슬비*")+COUNTIF($D$152:$P$152,"*슬비*")+COUNTIF($D$157:$P$157,"*슬비*")+COUNTIF($D$166:$P$166,"*슬비*")+COUNTIF($D$171:$P$171,"*슬비*")+COUNTIF($D$176:$P$176,"*슬비*")+COUNTIF($D$181:$P$181,"*슬비*")</f>
        <v>0</v>
      </c>
      <c r="U156" s="47">
        <f t="shared" ref="U156" si="16">S156*2+T156</f>
        <v>0</v>
      </c>
      <c r="V156" s="35">
        <f>COUNTIF($D$156:$P$157,"*슬비*")+COUNTIF($D$180:$P$181,"*슬비*")</f>
        <v>0</v>
      </c>
      <c r="W156" s="3"/>
      <c r="X156" s="4">
        <f t="shared" si="15"/>
        <v>0</v>
      </c>
      <c r="Y156" s="35">
        <f t="shared" si="15"/>
        <v>0</v>
      </c>
      <c r="Z156" s="48">
        <f t="shared" si="15"/>
        <v>0</v>
      </c>
      <c r="AA156" s="35">
        <f t="shared" si="15"/>
        <v>0</v>
      </c>
      <c r="AB156" s="162">
        <f>COUNTIF($AC$54:$AO$54,"*슬비*")+COUNTIF($AC$56:$AO$56,"*슬비*")+COUNTIF($AC$57:$AO$57,"*슬비*")+COUNTIF($AC$58:$AO$58,"*슬비*")+COUNTIF($AC$59:$AO$59,"*슬비*")+COUNTIF($AC$60:$AO$60,"*슬비*")+COUNTIF($AC$61:$AO$61,"*슬비*")+COUNTIF($AC$62:$AO$62,"*슬비*")+COUNTIF($AC$64:$AO$64,"*슬비*")+COUNTIF($AC$65:$AO$65,"*슬비*")+COUNTIF($AC$66:$AO$66,"*슬비*")+COUNTIF($AC$68:$AO$68,"*슬비*")+COUNTIF($AC$69:$AO$69,"*슬비*")+COUNTIF($AC$70:$AO$70,"*슬비*")+COUNTIF($AC$71:$AO$71,"*슬비*")+COUNTIF($AC$73:$AO$73,"*슬비*")+COUNTIF($AC$74:$AO$74,"*슬비*")+COUNTIF($AC$75:$AO$75,"*슬비*")</f>
        <v>0</v>
      </c>
      <c r="AC156" s="73"/>
      <c r="AD156" s="84"/>
      <c r="AE156" s="84"/>
      <c r="AF156" s="3"/>
      <c r="AG156" s="84"/>
      <c r="AH156" s="84"/>
      <c r="AI156" s="84"/>
      <c r="AJ156" s="84"/>
      <c r="AK156" s="84"/>
      <c r="AL156" s="128"/>
      <c r="AM156" s="84"/>
      <c r="AN156" s="84"/>
      <c r="AO156" s="66" t="s">
        <v>103</v>
      </c>
      <c r="AP156" s="97">
        <f>COUNTIF($D$69:$P$76,"*슬비*")</f>
        <v>0</v>
      </c>
      <c r="AQ156" s="97">
        <f>COUNTIF($D$83:$P$100,"*슬비*")</f>
        <v>0</v>
      </c>
      <c r="AR156" s="97">
        <f>COUNTIF($D$107:$P$124,"*슬비*")</f>
        <v>0</v>
      </c>
      <c r="AS156" s="97">
        <f>COUNTIF($D$131:$P$132,"*슬비*")+COUNTIF($D$146:$P$158,"*슬비*")</f>
        <v>0</v>
      </c>
      <c r="AT156" s="97">
        <f>COUNTIF($D$165:$P$182,"*슬비*")</f>
        <v>0</v>
      </c>
      <c r="AU156" s="97">
        <f>COUNTIF($D$189:$P$206,"*슬비*")</f>
        <v>0</v>
      </c>
      <c r="AV156" s="97">
        <f>COUNTIF($D$213:$P$230,"*슬비*")</f>
        <v>0</v>
      </c>
      <c r="AW156" s="81">
        <f>SUM(AO156:AV156)</f>
        <v>0</v>
      </c>
    </row>
    <row r="157" spans="2:50" s="2" customFormat="1" ht="9.75" customHeight="1">
      <c r="B157" s="105" t="s">
        <v>0</v>
      </c>
      <c r="C157" s="114"/>
      <c r="D157" s="8"/>
      <c r="E157" s="115"/>
      <c r="F157" s="114"/>
      <c r="G157" s="8"/>
      <c r="H157" s="220"/>
      <c r="I157" s="219"/>
      <c r="J157" s="8"/>
      <c r="K157" s="35"/>
      <c r="L157" s="219"/>
      <c r="M157" s="8"/>
      <c r="N157" s="220"/>
      <c r="O157" s="219"/>
      <c r="P157" s="8"/>
      <c r="Q157" s="29"/>
      <c r="R157" s="66" t="s">
        <v>14</v>
      </c>
      <c r="S157" s="46">
        <f>COUNTIF($D$146:$P$146,"*최근*")+COUNTIF($D$151:$P$151,"*최근*")+COUNTIF($D$156:$P$156,"*최근*")+COUNTIF($D$165:$P$165,"*최근*")+COUNTIF($D$170:$P$170,"*최근*")+COUNTIF($D$175:$P$175,"*최근*")+COUNTIF($D$180:$P$180,"*최근*")</f>
        <v>0</v>
      </c>
      <c r="T157" s="166">
        <f>COUNTIF($D$147:$P$147,"*최근*")+COUNTIF($D$152:$P$152,"*최근*")+COUNTIF($D$157:$P$157,"*최근*")+COUNTIF($D$166:$P$166,"*최근*")+COUNTIF($D$171:$P$171,"*최근*")+COUNTIF($D$176:$P$176,"*최근*")+COUNTIF($D$181:$P$181,"*최근*")</f>
        <v>0</v>
      </c>
      <c r="U157" s="47">
        <f>S157*2+T157</f>
        <v>0</v>
      </c>
      <c r="V157" s="35">
        <f>COUNTIF($D$156:$P$157,"*최근*")+COUNTIF($D$180:$P$181,"*최근*")</f>
        <v>0</v>
      </c>
      <c r="W157" s="3"/>
      <c r="X157" s="4">
        <f t="shared" ref="X157:AA158" si="17">X97</f>
        <v>0</v>
      </c>
      <c r="Y157" s="35">
        <f t="shared" si="17"/>
        <v>0</v>
      </c>
      <c r="Z157" s="48">
        <f t="shared" si="17"/>
        <v>0</v>
      </c>
      <c r="AA157" s="35">
        <f t="shared" si="17"/>
        <v>0</v>
      </c>
      <c r="AB157" s="162">
        <f>COUNTIF($AC$54:$AO$54,"*최근*")+COUNTIF($AC$56:$AO$56,"*최근*")+COUNTIF($AC$57:$AO$57,"*최근*")+COUNTIF($AC$58:$AO$58,"*최근*")+COUNTIF($AC$59:$AO$59,"*최근*")+COUNTIF($AC$60:$AO$60,"*최근*")+COUNTIF($AC$61:$AO$61,"*최근*")+COUNTIF($AC$62:$AO$62,"*최근*")+COUNTIF($AC$64:$AO$64,"*최근*")+COUNTIF($AC$65:$AO$65,"*최근*")+COUNTIF($AC$66:$AO$66,"*최근*")+COUNTIF($AC$68:$AO$68,"*최근*")+COUNTIF($AC$69:$AO$69,"*최근*")+COUNTIF($AC$70:$AO$70,"*최근*")+COUNTIF($AC$71:$AO$71,"*최근*")+COUNTIF($AC$73:$AO$73,"*최근*")+COUNTIF($AC$74:$AO$74,"*최근*")+COUNTIF($AC$75:$AO$75,"*최근*")</f>
        <v>0</v>
      </c>
      <c r="AC157" s="73"/>
      <c r="AD157" s="84"/>
      <c r="AE157" s="84"/>
      <c r="AF157" s="3"/>
      <c r="AG157" s="84"/>
      <c r="AH157" s="84"/>
      <c r="AI157" s="84"/>
      <c r="AJ157" s="84"/>
      <c r="AK157" s="84"/>
      <c r="AL157" s="128"/>
      <c r="AM157" s="84"/>
      <c r="AN157" s="84"/>
      <c r="AO157" s="66" t="s">
        <v>14</v>
      </c>
      <c r="AP157" s="97">
        <f>COUNTIF($D$69:$P$76,"*최근*")</f>
        <v>0</v>
      </c>
      <c r="AQ157" s="97">
        <f>COUNTIF($D$83:$P$100,"*최근*")</f>
        <v>0</v>
      </c>
      <c r="AR157" s="97">
        <f>COUNTIF($D$107:$P$124,"*최근*")</f>
        <v>0</v>
      </c>
      <c r="AS157" s="97">
        <f>COUNTIF($D$131:$P$132,"*최근*")+COUNTIF($D$146:$P$158,"*최근*")</f>
        <v>0</v>
      </c>
      <c r="AT157" s="97">
        <f>COUNTIF($D$165:$P$182,"*최근*")</f>
        <v>0</v>
      </c>
      <c r="AU157" s="97">
        <f>COUNTIF($D$189:$P$206,"*최근*")</f>
        <v>0</v>
      </c>
      <c r="AV157" s="97">
        <f>COUNTIF($D$213:$P$230,"*최근*")</f>
        <v>0</v>
      </c>
      <c r="AW157" s="81">
        <f>SUM(AO157:AV157)</f>
        <v>0</v>
      </c>
    </row>
    <row r="158" spans="2:50" s="2" customFormat="1" ht="9.75" customHeight="1">
      <c r="B158" s="105" t="s">
        <v>68</v>
      </c>
      <c r="C158" s="114"/>
      <c r="D158" s="79" t="s">
        <v>267</v>
      </c>
      <c r="E158" s="115"/>
      <c r="F158" s="114"/>
      <c r="G158" s="79" t="s">
        <v>239</v>
      </c>
      <c r="H158" s="220"/>
      <c r="I158" s="219"/>
      <c r="J158" s="79" t="s">
        <v>240</v>
      </c>
      <c r="K158" s="35"/>
      <c r="L158" s="219"/>
      <c r="M158" s="79" t="s">
        <v>237</v>
      </c>
      <c r="N158" s="220"/>
      <c r="O158" s="219"/>
      <c r="P158" s="79" t="s">
        <v>240</v>
      </c>
      <c r="Q158" s="29"/>
      <c r="R158" s="66" t="s">
        <v>15</v>
      </c>
      <c r="S158" s="46">
        <f>COUNTIF($D$146:$P$146,"*상록*")+COUNTIF($D$151:$P$151,"*상록*")+COUNTIF($D$156:$P$156,"*상록*")+COUNTIF($D$165:$P$165,"*상록*")+COUNTIF($D$170:$P$170,"*상록*")+COUNTIF($D$175:$P$175,"*상록*")+COUNTIF($D$180:$P$180,"*상록*")</f>
        <v>0</v>
      </c>
      <c r="T158" s="166">
        <f>COUNTIF($D$147:$P$147,"*상록*")+COUNTIF($D$152:$P$152,"*상록*")+COUNTIF($D$157:$P$157,"*상록*")+COUNTIF($D$166:$P$166,"*상록*")+COUNTIF($D$171:$P$171,"*상록*")+COUNTIF($D$176:$P$176,"*상록*")+COUNTIF($D$181:$P$181,"*상록*")</f>
        <v>0</v>
      </c>
      <c r="U158" s="47">
        <f>S158*2+T158</f>
        <v>0</v>
      </c>
      <c r="V158" s="35">
        <f>COUNTIF($D$156:$P$157,"*상록*")+COUNTIF($D$180:$P$181,"*상록*")</f>
        <v>0</v>
      </c>
      <c r="W158" s="3"/>
      <c r="X158" s="4">
        <f t="shared" si="17"/>
        <v>3</v>
      </c>
      <c r="Y158" s="35">
        <f t="shared" si="17"/>
        <v>2</v>
      </c>
      <c r="Z158" s="48">
        <f t="shared" si="17"/>
        <v>8</v>
      </c>
      <c r="AA158" s="35">
        <f t="shared" si="17"/>
        <v>0</v>
      </c>
      <c r="AB158" s="162">
        <f>COUNTIF($AC$54:$AO$54,"*상록*")+COUNTIF($AC$56:$AO$56,"*상록*")+COUNTIF($AC$57:$AO$57,"*상록*")+COUNTIF($AC$58:$AO$58,"*상록*")+COUNTIF($AC$59:$AO$59,"*상록*")+COUNTIF($AC$60:$AO$60,"*상록*")+COUNTIF($AC$61:$AO$61,"*상록*")+COUNTIF($AC$62:$AO$62,"*상록*")+COUNTIF($AC$64:$AO$64,"*상록*")+COUNTIF($AC$65:$AO$65,"*상록*")+COUNTIF($AC$66:$AO$66,"*상록*")+COUNTIF($AC$68:$AO$68,"*상록*")+COUNTIF($AC$69:$AO$69,"*상록*")+COUNTIF($AC$70:$AO$70,"*상록*")+COUNTIF($AC$71:$AO$71,"*상록*")+COUNTIF($AC$73:$AO$73,"*상록*")+COUNTIF($AC$74:$AO$74,"*상록*")+COUNTIF($AC$75:$AO$75,"*상록*")</f>
        <v>0</v>
      </c>
      <c r="AC158" s="73"/>
      <c r="AD158" s="84"/>
      <c r="AE158" s="84"/>
      <c r="AF158" s="3"/>
      <c r="AG158" s="84"/>
      <c r="AH158" s="84"/>
      <c r="AI158" s="84"/>
      <c r="AJ158" s="84"/>
      <c r="AK158" s="84"/>
      <c r="AL158" s="84"/>
      <c r="AM158" s="84"/>
      <c r="AN158" s="84"/>
      <c r="AO158" s="66" t="s">
        <v>15</v>
      </c>
      <c r="AP158" s="97">
        <v>0</v>
      </c>
      <c r="AQ158" s="97">
        <f>COUNTIF($D$83:$P$100,"*상록*")</f>
        <v>2</v>
      </c>
      <c r="AR158" s="97">
        <v>0</v>
      </c>
      <c r="AS158" s="97">
        <v>2</v>
      </c>
      <c r="AT158" s="97">
        <v>1</v>
      </c>
      <c r="AU158" s="97">
        <f>COUNTIF($D$189:$P$206,"*상록*")</f>
        <v>0</v>
      </c>
      <c r="AV158" s="97">
        <f>COUNTIF($D$213:$P$230,"*상록*")</f>
        <v>0</v>
      </c>
      <c r="AW158" s="81">
        <f>SUM(AO158:AV158)</f>
        <v>5</v>
      </c>
    </row>
    <row r="159" spans="2:50" s="2" customFormat="1" ht="1.5" customHeight="1">
      <c r="B159" s="7"/>
      <c r="C159" s="114"/>
      <c r="D159" s="16"/>
      <c r="E159" s="228"/>
      <c r="F159" s="114"/>
      <c r="G159" s="16"/>
      <c r="H159" s="217"/>
      <c r="I159" s="219"/>
      <c r="J159" s="16"/>
      <c r="K159" s="53"/>
      <c r="L159" s="219"/>
      <c r="M159" s="216"/>
      <c r="N159" s="217"/>
      <c r="O159" s="219"/>
      <c r="P159" s="219"/>
      <c r="Q159" s="29"/>
      <c r="R159" s="81"/>
      <c r="S159" s="188"/>
      <c r="T159" s="190"/>
      <c r="U159" s="188"/>
      <c r="V159" s="190"/>
      <c r="W159" s="139"/>
      <c r="X159" s="188"/>
      <c r="Y159" s="190"/>
      <c r="Z159" s="188"/>
      <c r="AA159" s="190"/>
      <c r="AB159" s="162"/>
      <c r="AC159" s="73"/>
      <c r="AD159" s="84"/>
      <c r="AE159" s="84"/>
      <c r="AF159" s="124"/>
      <c r="AG159" s="84"/>
      <c r="AH159" s="84"/>
      <c r="AI159" s="84"/>
      <c r="AJ159" s="84"/>
      <c r="AK159" s="84"/>
      <c r="AL159" s="84"/>
      <c r="AM159" s="84"/>
      <c r="AN159" s="84"/>
      <c r="AO159" s="81"/>
      <c r="AP159" s="99"/>
      <c r="AQ159" s="81"/>
      <c r="AR159" s="81"/>
      <c r="AS159" s="81"/>
      <c r="AT159" s="81"/>
      <c r="AU159" s="81"/>
      <c r="AV159" s="81"/>
      <c r="AW159" s="81"/>
    </row>
    <row r="160" spans="2:50" s="2" customFormat="1" ht="9.75" customHeight="1">
      <c r="B160" s="5" t="s">
        <v>1</v>
      </c>
      <c r="C160" s="114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1"/>
      <c r="Q160" s="29"/>
      <c r="R160" s="66" t="s">
        <v>16</v>
      </c>
      <c r="S160" s="46">
        <f>COUNTIF($D$146:$P$146,"*신우*")+COUNTIF($D$151:$P$151,"*신우*")+COUNTIF($D$156:$P$156,"*신우*")+COUNTIF($D$165:$P$165,"*신우*")+COUNTIF($D$170:$P$170,"*신우*")+COUNTIF($D$175:$P$175,"*신우*")+COUNTIF($D$180:$P$180,"*신우*")</f>
        <v>0</v>
      </c>
      <c r="T160" s="166">
        <f>COUNTIF($D$147:$P$147,"*신우*")+COUNTIF($D$152:$P$152,"*신우*")+COUNTIF($D$157:$P$157,"*신우*")+COUNTIF($D$166:$P$166,"*신우*")+COUNTIF($D$171:$P$171,"*신우*")+COUNTIF($D$176:$P$176,"*신우*")+COUNTIF($D$181:$P$181,"*신우*")</f>
        <v>0</v>
      </c>
      <c r="U160" s="47">
        <f>S160*2+T160</f>
        <v>0</v>
      </c>
      <c r="V160" s="35">
        <f>COUNTIF($D$156:$P$157,"*신우*")+COUNTIF($D$180:$P$181,"*신우*")</f>
        <v>0</v>
      </c>
      <c r="W160" s="3"/>
      <c r="X160" s="4">
        <f t="shared" ref="X160:AA161" si="18">X99</f>
        <v>1</v>
      </c>
      <c r="Y160" s="35">
        <f t="shared" si="18"/>
        <v>2</v>
      </c>
      <c r="Z160" s="48">
        <f t="shared" si="18"/>
        <v>4</v>
      </c>
      <c r="AA160" s="35">
        <f t="shared" si="18"/>
        <v>0</v>
      </c>
      <c r="AB160" s="162">
        <f>COUNTIF($AC$54:$AO$54,"*신우*")+COUNTIF($AC$56:$AO$56,"*신우*")+COUNTIF($AC$57:$AO$57,"*신우*")+COUNTIF($AC$58:$AO$58,"*신우*")+COUNTIF($AC$59:$AO$59,"*신우*")+COUNTIF($AC$60:$AO$60,"*신우*")+COUNTIF($AC$61:$AO$61,"*신우*")+COUNTIF($AC$62:$AO$62,"*신우*")+COUNTIF($AC$64:$AO$64,"*신우*")+COUNTIF($AC$65:$AO$65,"*신우*")+COUNTIF($AC$66:$AO$66,"*신우*")+COUNTIF($AC$68:$AO$68,"*신우*")+COUNTIF($AC$69:$AO$69,"*신우*")+COUNTIF($AC$70:$AO$70,"*신우*")+COUNTIF($AC$71:$AO$71,"*신우*")+COUNTIF($AC$73:$AO$73,"*신우*")+COUNTIF($AC$74:$AO$74,"*신우*")+COUNTIF($AC$75:$AO$75,"*신우*")</f>
        <v>0</v>
      </c>
      <c r="AC160" s="73"/>
      <c r="AD160" s="84"/>
      <c r="AE160" s="84"/>
      <c r="AF160" s="3"/>
      <c r="AG160" s="84"/>
      <c r="AH160" s="84"/>
      <c r="AI160" s="84"/>
      <c r="AJ160" s="84"/>
      <c r="AK160" s="84"/>
      <c r="AL160" s="84"/>
      <c r="AM160" s="84"/>
      <c r="AN160" s="84"/>
      <c r="AO160" s="66" t="s">
        <v>16</v>
      </c>
      <c r="AP160" s="97">
        <f>COUNTIF($D$69:$P$76,"*신우*")</f>
        <v>0</v>
      </c>
      <c r="AQ160" s="97">
        <v>0</v>
      </c>
      <c r="AR160" s="97">
        <v>0</v>
      </c>
      <c r="AS160" s="97">
        <v>2</v>
      </c>
      <c r="AT160" s="97">
        <v>1</v>
      </c>
      <c r="AU160" s="97">
        <f>COUNTIF($D$189:$P$206,"*신우*")</f>
        <v>0</v>
      </c>
      <c r="AV160" s="97">
        <f>COUNTIF($D$213:$P$230,"*신우*")</f>
        <v>0</v>
      </c>
      <c r="AW160" s="81">
        <f>SUM(AO160:AV160)</f>
        <v>3</v>
      </c>
    </row>
    <row r="161" spans="2:49" s="2" customFormat="1" ht="9.75" customHeight="1">
      <c r="B161" s="114"/>
      <c r="C161" s="114"/>
      <c r="D161" s="114"/>
      <c r="E161" s="115"/>
      <c r="F161" s="114"/>
      <c r="G161" s="114"/>
      <c r="I161" s="106"/>
      <c r="J161" s="114"/>
      <c r="K161" s="3"/>
      <c r="L161" s="106"/>
      <c r="M161" s="107"/>
      <c r="N161" s="107"/>
      <c r="O161" s="30"/>
      <c r="Q161" s="29"/>
      <c r="R161" s="66" t="s">
        <v>17</v>
      </c>
      <c r="S161" s="46">
        <f>COUNTIF($D$146:$P$146,"*다운*")+COUNTIF($D$151:$P$151,"*다운*")+COUNTIF($D$156:$P$156,"*다운*")+COUNTIF($D$165:$P$165,"*다운*")+COUNTIF($D$170:$P$170,"*다운*")+COUNTIF($D$175:$P$175,"*다운*")+COUNTIF($D$180:$P$180,"*다운*")</f>
        <v>0</v>
      </c>
      <c r="T161" s="166">
        <f>COUNTIF($D$147:$P$147,"*다운*")+COUNTIF($D$152:$P$152,"*다운*")+COUNTIF($D$157:$P$157,"*다운*")+COUNTIF($D$166:$P$166,"*다운*")+COUNTIF($D$171:$P$171,"*다운*")+COUNTIF($D$176:$P$176,"*다운*")+COUNTIF($D$181:$P$181,"*다운*")</f>
        <v>0</v>
      </c>
      <c r="U161" s="47">
        <f>S161*2+T161</f>
        <v>0</v>
      </c>
      <c r="V161" s="35">
        <f>COUNTIF($D$156:$P$157,"*다운*")+COUNTIF($D$180:$P$181,"*다운*")</f>
        <v>0</v>
      </c>
      <c r="W161" s="3"/>
      <c r="X161" s="4">
        <f t="shared" si="18"/>
        <v>0</v>
      </c>
      <c r="Y161" s="35">
        <f t="shared" si="18"/>
        <v>0</v>
      </c>
      <c r="Z161" s="48">
        <f t="shared" si="18"/>
        <v>0</v>
      </c>
      <c r="AA161" s="35">
        <f t="shared" si="18"/>
        <v>0</v>
      </c>
      <c r="AB161" s="162">
        <f>COUNTIF($AC$54:$AO$54,"*다운*")+COUNTIF($AC$56:$AO$56,"*다운*")+COUNTIF($AC$57:$AO$57,"*다운*")+COUNTIF($AC$58:$AO$58,"*다운*")+COUNTIF($AC$59:$AO$59,"*다운*")+COUNTIF($AC$60:$AO$60,"*다운*")+COUNTIF($AC$61:$AO$61,"*다운*")+COUNTIF($AC$62:$AO$62,"*다운*")+COUNTIF($AC$64:$AO$64,"*다운*")+COUNTIF($AC$65:$AO$65,"*다운*")+COUNTIF($AC$66:$AO$66,"*다운*")+COUNTIF($AC$68:$AO$68,"*다운*")+COUNTIF($AC$69:$AO$69,"*다운*")+COUNTIF($AC$70:$AO$70,"*다운*")+COUNTIF($AC$71:$AO$71,"*다운*")+COUNTIF($AC$73:$AO$73,"*다운*")+COUNTIF($AC$74:$AO$74,"*다운*")+COUNTIF($AC$75:$AO$75,"*다운*")</f>
        <v>0</v>
      </c>
      <c r="AC161" s="73"/>
      <c r="AD161" s="84"/>
      <c r="AE161" s="84"/>
      <c r="AF161" s="3"/>
      <c r="AG161" s="84"/>
      <c r="AH161" s="84"/>
      <c r="AI161" s="84"/>
      <c r="AJ161" s="84"/>
      <c r="AK161" s="84"/>
      <c r="AL161" s="84"/>
      <c r="AM161" s="84"/>
      <c r="AN161" s="84"/>
      <c r="AO161" s="66" t="s">
        <v>17</v>
      </c>
      <c r="AP161" s="97">
        <f>COUNTIF($D$69:$P$76,"*다운*")</f>
        <v>0</v>
      </c>
      <c r="AQ161" s="97">
        <f>COUNTIF($D$83:$P$100,"*다운*")</f>
        <v>0</v>
      </c>
      <c r="AR161" s="97">
        <f>COUNTIF($D$107:$P$124,"*다운*")</f>
        <v>0</v>
      </c>
      <c r="AS161" s="97">
        <f>COUNTIF($D$131:$P$132,"*다운*")+COUNTIF($D$146:$P$158,"*다운*")</f>
        <v>0</v>
      </c>
      <c r="AT161" s="97">
        <f>COUNTIF($D$165:$P$182,"*다운*")</f>
        <v>0</v>
      </c>
      <c r="AU161" s="97">
        <f>COUNTIF($D$189:$P$206,"*다운*")</f>
        <v>0</v>
      </c>
      <c r="AV161" s="97">
        <f>COUNTIF($D$213:$P$230,"*다운*")</f>
        <v>0</v>
      </c>
      <c r="AW161" s="81">
        <f>SUM(AO161:AV161)</f>
        <v>0</v>
      </c>
    </row>
    <row r="162" spans="2:49" s="2" customFormat="1" ht="9.75" customHeight="1">
      <c r="B162" s="6" t="s">
        <v>2</v>
      </c>
      <c r="C162" s="114"/>
      <c r="D162" s="76" t="s">
        <v>131</v>
      </c>
      <c r="E162" s="56"/>
      <c r="F162" s="56"/>
      <c r="G162" s="56" t="s">
        <v>71</v>
      </c>
      <c r="H162" s="57"/>
      <c r="I162" s="57"/>
      <c r="J162" s="57"/>
      <c r="K162" s="57"/>
      <c r="L162" s="57"/>
      <c r="M162" s="57"/>
      <c r="N162" s="57"/>
      <c r="O162" s="57"/>
      <c r="P162" s="58"/>
      <c r="Q162" s="29"/>
      <c r="R162" s="66" t="s">
        <v>18</v>
      </c>
      <c r="S162" s="46">
        <f>COUNTIF($D$146:$P$146,"*지성*")+COUNTIF($D$151:$P$151,"*지성*")+COUNTIF($D$156:$P$156,"*지성*")+COUNTIF($D$165:$P$165,"*지성*")+COUNTIF($D$170:$P$170,"*지성*")+COUNTIF($D$175:$P$175,"*지성*")+COUNTIF($D$180:$P$180,"*지성*")</f>
        <v>0</v>
      </c>
      <c r="T162" s="166">
        <f>COUNTIF($D$147:$P$147,"*지성*")+COUNTIF($D$152:$P$152,"*지성*")+COUNTIF($D$157:$P$157,"*지성*")+COUNTIF($D$166:$P$166,"*지성*")+COUNTIF($D$171:$P$171,"*지성*")+COUNTIF($D$176:$P$176,"*지성*")+COUNTIF($D$181:$P$181,"*지성*")</f>
        <v>0</v>
      </c>
      <c r="U162" s="47">
        <f>S162*2+T162</f>
        <v>0</v>
      </c>
      <c r="V162" s="35">
        <f>COUNTIF($D$156:$P$157,"*지성*")+COUNTIF($D$180:$P$181,"*지성*")</f>
        <v>0</v>
      </c>
      <c r="W162" s="3"/>
      <c r="X162" s="4">
        <f>X102</f>
        <v>1</v>
      </c>
      <c r="Y162" s="35">
        <f>Y102</f>
        <v>1</v>
      </c>
      <c r="Z162" s="48">
        <f>Z102</f>
        <v>3</v>
      </c>
      <c r="AA162" s="35">
        <f>AA102</f>
        <v>0</v>
      </c>
      <c r="AB162" s="162">
        <f>COUNTIF($AC$54:$AO$54,"*지성*")+COUNTIF($AC$56:$AO$56,"*지성*")+COUNTIF($AC$57:$AO$57,"*지성*")+COUNTIF($AC$58:$AO$58,"*지성*")+COUNTIF($AC$59:$AO$59,"*지성*")+COUNTIF($AC$60:$AO$60,"*지성*")+COUNTIF($AC$61:$AO$61,"*지성*")+COUNTIF($AC$62:$AO$62,"*지성*")+COUNTIF($AC$64:$AO$64,"*지성*")+COUNTIF($AC$65:$AO$65,"*지성*")+COUNTIF($AC$66:$AO$66,"*지성*")+COUNTIF($AC$68:$AO$68,"*지성*")+COUNTIF($AC$69:$AO$69,"*지성*")+COUNTIF($AC$70:$AO$70,"*지성*")+COUNTIF($AC$71:$AO$71,"*지성*")+COUNTIF($AC$73:$AO$73,"*지성*")+COUNTIF($AC$74:$AO$74,"*지성*")+COUNTIF($AC$75:$AO$75,"*지성*")</f>
        <v>0</v>
      </c>
      <c r="AC162" s="73"/>
      <c r="AD162" s="84"/>
      <c r="AE162" s="84"/>
      <c r="AF162" s="3"/>
      <c r="AG162" s="84"/>
      <c r="AH162" s="84"/>
      <c r="AI162" s="84"/>
      <c r="AJ162" s="84"/>
      <c r="AK162" s="84"/>
      <c r="AL162" s="84"/>
      <c r="AM162" s="84"/>
      <c r="AN162" s="84"/>
      <c r="AO162" s="66" t="s">
        <v>18</v>
      </c>
      <c r="AP162" s="97">
        <v>0</v>
      </c>
      <c r="AQ162" s="97">
        <v>2</v>
      </c>
      <c r="AR162" s="97">
        <f>COUNTIF($D$107:$P$124,"*지성*")</f>
        <v>0</v>
      </c>
      <c r="AS162" s="97">
        <f>COUNTIF($D$131:$P$132,"*지성*")+COUNTIF($D$146:$P$158,"*지성*")</f>
        <v>0</v>
      </c>
      <c r="AT162" s="97">
        <f>COUNTIF($D$165:$P$182,"*지성*")</f>
        <v>0</v>
      </c>
      <c r="AU162" s="97">
        <f>COUNTIF($D$189:$P$206,"*지성*")</f>
        <v>0</v>
      </c>
      <c r="AV162" s="97">
        <f>COUNTIF($D$213:$P$230,"*지성*")</f>
        <v>0</v>
      </c>
      <c r="AW162" s="81">
        <f>SUM(AO162:AV162)</f>
        <v>2</v>
      </c>
    </row>
    <row r="163" spans="2:49" s="2" customFormat="1" ht="1.5" customHeight="1">
      <c r="B163" s="114"/>
      <c r="C163" s="114"/>
      <c r="D163" s="114"/>
      <c r="E163" s="114"/>
      <c r="F163" s="114"/>
      <c r="G163" s="114"/>
      <c r="H163" s="3"/>
      <c r="I163" s="3"/>
      <c r="J163" s="114"/>
      <c r="K163" s="3"/>
      <c r="L163" s="3"/>
      <c r="M163" s="3"/>
      <c r="N163" s="3"/>
      <c r="O163" s="3"/>
      <c r="P163" s="3"/>
      <c r="Q163" s="29"/>
      <c r="R163" s="66"/>
      <c r="S163" s="46"/>
      <c r="T163" s="166"/>
      <c r="U163" s="47"/>
      <c r="V163" s="35"/>
      <c r="W163" s="3"/>
      <c r="X163" s="4"/>
      <c r="Y163" s="35"/>
      <c r="Z163" s="48"/>
      <c r="AA163" s="35"/>
      <c r="AB163" s="162"/>
      <c r="AC163" s="73"/>
      <c r="AD163" s="84"/>
      <c r="AE163" s="84"/>
      <c r="AF163" s="3"/>
      <c r="AG163" s="84"/>
      <c r="AH163" s="84"/>
      <c r="AI163" s="84"/>
      <c r="AJ163" s="84"/>
      <c r="AK163" s="84"/>
      <c r="AL163" s="84"/>
      <c r="AM163" s="84"/>
      <c r="AN163" s="84"/>
      <c r="AO163" s="66"/>
      <c r="AP163" s="81"/>
      <c r="AQ163" s="81"/>
      <c r="AR163" s="81"/>
      <c r="AS163" s="81"/>
      <c r="AT163" s="81"/>
      <c r="AU163" s="81"/>
      <c r="AV163" s="81"/>
      <c r="AW163" s="81"/>
    </row>
    <row r="164" spans="2:49" s="2" customFormat="1" ht="9.75" customHeight="1">
      <c r="B164" s="9" t="s">
        <v>236</v>
      </c>
      <c r="C164" s="114"/>
      <c r="D164" s="9" t="s">
        <v>234</v>
      </c>
      <c r="E164" s="114"/>
      <c r="F164" s="114"/>
      <c r="G164" s="253" t="s">
        <v>247</v>
      </c>
      <c r="H164" s="3"/>
      <c r="I164" s="3"/>
      <c r="J164" s="114"/>
      <c r="K164" s="3"/>
      <c r="L164" s="3"/>
      <c r="M164" s="114"/>
      <c r="N164" s="3"/>
      <c r="O164" s="3"/>
      <c r="P164" s="250" t="s">
        <v>224</v>
      </c>
      <c r="Q164" s="29"/>
      <c r="R164" s="66" t="s">
        <v>19</v>
      </c>
      <c r="S164" s="46">
        <f>COUNTIF($D$146:$P$146,"*용철*")+COUNTIF($D$151:$P$151,"*용철*")+COUNTIF($D$156:$P$156,"*용철*")+COUNTIF($D$165:$P$165,"*용철*")+COUNTIF($D$170:$P$170,"*용철*")+COUNTIF($D$175:$P$175,"*용철*")+COUNTIF($D$180:$P$180,"*용철*")</f>
        <v>0</v>
      </c>
      <c r="T164" s="166">
        <f>COUNTIF($D$147:$P$147,"*용철*")+COUNTIF($D$152:$P$152,"*용철*")+COUNTIF($D$157:$P$157,"*용철*")+COUNTIF($D$166:$P$166,"*용철*")+COUNTIF($D$171:$P$171,"*용철*")+COUNTIF($D$176:$P$176,"*용철*")+COUNTIF($D$181:$P$181,"*용철*")</f>
        <v>0</v>
      </c>
      <c r="U164" s="47">
        <f>S164*2+T164</f>
        <v>0</v>
      </c>
      <c r="V164" s="35">
        <f>COUNTIF($D$156:$P$157,"*용철*")+COUNTIF($D$180:$P$181,"*용철*")</f>
        <v>0</v>
      </c>
      <c r="W164" s="3"/>
      <c r="X164" s="4">
        <f t="shared" ref="X164:AA165" si="19">X103</f>
        <v>1</v>
      </c>
      <c r="Y164" s="35">
        <f t="shared" si="19"/>
        <v>3</v>
      </c>
      <c r="Z164" s="48">
        <f t="shared" si="19"/>
        <v>5</v>
      </c>
      <c r="AA164" s="35">
        <f t="shared" si="19"/>
        <v>0</v>
      </c>
      <c r="AB164" s="162">
        <f>COUNTIF($AC$54:$AO$54,"*용철*")+COUNTIF($AC$56:$AO$56,"*용철*")+COUNTIF($AC$57:$AO$57,"*용철*")+COUNTIF($AC$58:$AO$58,"*용철*")+COUNTIF($AC$59:$AO$59,"*용철*")+COUNTIF($AC$60:$AO$60,"*용철*")+COUNTIF($AC$61:$AO$61,"*용철*")+COUNTIF($AC$62:$AO$62,"*용철*")+COUNTIF($AC$64:$AO$64,"*용철*")+COUNTIF($AC$65:$AO$65,"*용철*")+COUNTIF($AC$66:$AO$66,"*용철*")+COUNTIF($AC$68:$AO$68,"*용철*")+COUNTIF($AC$69:$AO$69,"*용철*")+COUNTIF($AC$70:$AO$70,"*용철*")+COUNTIF($AC$71:$AO$71,"*용철*")+COUNTIF($AC$73:$AO$73,"*용철*")+COUNTIF($AC$74:$AO$74,"*용철*")+COUNTIF($AC$75:$AO$75,"*용철*")</f>
        <v>0</v>
      </c>
      <c r="AC164" s="73"/>
      <c r="AD164" s="84"/>
      <c r="AE164" s="84"/>
      <c r="AF164" s="3"/>
      <c r="AG164" s="84"/>
      <c r="AH164" s="84"/>
      <c r="AI164" s="84"/>
      <c r="AJ164" s="84"/>
      <c r="AK164" s="84"/>
      <c r="AL164" s="84"/>
      <c r="AM164" s="84"/>
      <c r="AN164" s="84"/>
      <c r="AO164" s="66" t="s">
        <v>19</v>
      </c>
      <c r="AP164" s="97">
        <v>0</v>
      </c>
      <c r="AQ164" s="97">
        <v>2</v>
      </c>
      <c r="AR164" s="97">
        <v>0</v>
      </c>
      <c r="AS164" s="97">
        <f>COUNTIF($D$131:$P$132,"*용철*")+COUNTIF($D$146:$P$158,"*용철*")</f>
        <v>0</v>
      </c>
      <c r="AT164" s="97">
        <v>2</v>
      </c>
      <c r="AU164" s="97">
        <f>COUNTIF($D$189:$P$206,"*용철*")</f>
        <v>0</v>
      </c>
      <c r="AV164" s="97">
        <f>COUNTIF($D$213:$P$230,"*용철*")</f>
        <v>0</v>
      </c>
      <c r="AW164" s="81">
        <f>SUM(AO164:AV164)</f>
        <v>4</v>
      </c>
    </row>
    <row r="165" spans="2:49" s="2" customFormat="1" ht="9.75" customHeight="1">
      <c r="B165" s="105" t="s">
        <v>10</v>
      </c>
      <c r="C165" s="114"/>
      <c r="D165" s="78"/>
      <c r="E165" s="114"/>
      <c r="F165" s="114"/>
      <c r="G165" s="114"/>
      <c r="H165" s="3"/>
      <c r="I165" s="3"/>
      <c r="J165" s="114"/>
      <c r="K165" s="3"/>
      <c r="L165" s="3"/>
      <c r="M165" s="114"/>
      <c r="N165" s="3"/>
      <c r="O165" s="3"/>
      <c r="P165" s="251" t="s">
        <v>231</v>
      </c>
      <c r="Q165" s="29"/>
      <c r="R165" s="66" t="s">
        <v>20</v>
      </c>
      <c r="S165" s="46">
        <f>COUNTIF($D$146:$P$146,"*윤호*")+COUNTIF($D$151:$P$151,"*윤호*")+COUNTIF($D$156:$P$156,"*윤호*")+COUNTIF($D$165:$P$165,"*윤호*")+COUNTIF($D$170:$P$170,"*윤호*")+COUNTIF($D$175:$P$175,"*윤호*")+COUNTIF($D$180:$P$180,"*윤호*")</f>
        <v>0</v>
      </c>
      <c r="T165" s="166">
        <f>COUNTIF($D$147:$P$147,"*윤호*")+COUNTIF($D$152:$P$152,"*윤호*")+COUNTIF($D$157:$P$157,"*윤호*")+COUNTIF($D$166:$P$166,"*윤호*")+COUNTIF($D$171:$P$171,"*윤호*")+COUNTIF($D$176:$P$176,"*윤호*")+COUNTIF($D$181:$P$181,"*윤호*")</f>
        <v>0</v>
      </c>
      <c r="U165" s="47">
        <f>S165*2+T165</f>
        <v>0</v>
      </c>
      <c r="V165" s="35">
        <f>COUNTIF($D$156:$P$157,"*윤호*")+COUNTIF($D$180:$P$181,"*윤호*")</f>
        <v>0</v>
      </c>
      <c r="W165" s="3"/>
      <c r="X165" s="4">
        <f t="shared" si="19"/>
        <v>0</v>
      </c>
      <c r="Y165" s="35">
        <f t="shared" si="19"/>
        <v>0</v>
      </c>
      <c r="Z165" s="48">
        <f t="shared" si="19"/>
        <v>0</v>
      </c>
      <c r="AA165" s="35">
        <f t="shared" si="19"/>
        <v>0</v>
      </c>
      <c r="AB165" s="162">
        <f>COUNTIF($AC$54:$AO$54,"*윤호*")+COUNTIF($AC$56:$AO$56,"*윤호*")+COUNTIF($AC$57:$AO$57,"*윤호*")+COUNTIF($AC$58:$AO$58,"*윤호*")+COUNTIF($AC$59:$AO$59,"*윤호*")+COUNTIF($AC$60:$AO$60,"*윤호*")+COUNTIF($AC$61:$AO$61,"*윤호*")+COUNTIF($AC$62:$AO$62,"*윤호*")+COUNTIF($AC$64:$AO$64,"*윤호*")+COUNTIF($AC$65:$AO$65,"*윤호*")+COUNTIF($AC$66:$AO$66,"*윤호*")+COUNTIF($AC$68:$AO$68,"*윤호*")+COUNTIF($AC$69:$AO$69,"*윤호*")+COUNTIF($AC$70:$AO$70,"*윤호*")+COUNTIF($AC$71:$AO$71,"*윤호*")+COUNTIF($AC$73:$AO$73,"*윤호*")+COUNTIF($AC$74:$AO$74,"*윤호*")+COUNTIF($AC$75:$AO$75,"*윤호*")</f>
        <v>0</v>
      </c>
      <c r="AC165" s="73"/>
      <c r="AD165" s="84"/>
      <c r="AE165" s="84"/>
      <c r="AF165" s="3"/>
      <c r="AG165" s="84"/>
      <c r="AH165" s="84"/>
      <c r="AI165" s="84"/>
      <c r="AJ165" s="84"/>
      <c r="AK165" s="84"/>
      <c r="AL165" s="84"/>
      <c r="AM165" s="84"/>
      <c r="AN165" s="84"/>
      <c r="AO165" s="66" t="s">
        <v>20</v>
      </c>
      <c r="AP165" s="97">
        <f>COUNTIF($D$69:$P$76,"*윤호*")</f>
        <v>0</v>
      </c>
      <c r="AQ165" s="97">
        <f>COUNTIF($D$83:$P$100,"*윤호*")</f>
        <v>0</v>
      </c>
      <c r="AR165" s="97">
        <f>COUNTIF($D$107:$P$124,"*윤호*")</f>
        <v>0</v>
      </c>
      <c r="AS165" s="97">
        <f>COUNTIF($D$131:$P$132,"*윤호*")+COUNTIF($D$146:$P$158,"*윤호*")</f>
        <v>0</v>
      </c>
      <c r="AT165" s="97">
        <f>COUNTIF($D$165:$P$182,"*윤호*")</f>
        <v>0</v>
      </c>
      <c r="AU165" s="97">
        <f>COUNTIF($D$189:$P$206,"*윤호*")</f>
        <v>0</v>
      </c>
      <c r="AV165" s="97">
        <f>COUNTIF($D$213:$P$230,"*윤호*")</f>
        <v>0</v>
      </c>
      <c r="AW165" s="81">
        <f>SUM(AO165:AV165)</f>
        <v>0</v>
      </c>
    </row>
    <row r="166" spans="2:49" s="2" customFormat="1" ht="9.75" customHeight="1">
      <c r="B166" s="105" t="s">
        <v>0</v>
      </c>
      <c r="C166" s="114"/>
      <c r="D166" s="8"/>
      <c r="E166" s="114"/>
      <c r="F166" s="114"/>
      <c r="G166" s="114"/>
      <c r="H166" s="3"/>
      <c r="I166" s="3"/>
      <c r="J166" s="114"/>
      <c r="K166" s="3"/>
      <c r="L166" s="3"/>
      <c r="M166" s="114"/>
      <c r="N166" s="3"/>
      <c r="O166" s="3"/>
      <c r="P166" s="114" t="s">
        <v>228</v>
      </c>
      <c r="Q166" s="29"/>
      <c r="R166" s="66" t="s">
        <v>22</v>
      </c>
      <c r="S166" s="46">
        <f>COUNTIF($D$146:$P$146,"*정은*")+COUNTIF($D$151:$P$151,"*정은*")+COUNTIF($D$156:$P$156,"*정은*")+COUNTIF($D$165:$P$165,"*정은*")+COUNTIF($D$170:$P$170,"*정은*")+COUNTIF($D$175:$P$175,"*정은*")+COUNTIF($D$180:$P$180,"*정은*")</f>
        <v>3</v>
      </c>
      <c r="T166" s="169">
        <f>COUNTIF($D$147:$P$147,"*정은*")+COUNTIF($D$152:$P$152,"*정은*")+COUNTIF($D$157:$P$157,"*정은*")+COUNTIF($D$166:$P$166,"*정은*")+COUNTIF($D$171:$P$171,"*정은*")+COUNTIF($D$176:$P$176,"*정은*")+COUNTIF($D$181:$P$181,"*정은*")</f>
        <v>0</v>
      </c>
      <c r="U166" s="47">
        <f>S166*2+T166</f>
        <v>6</v>
      </c>
      <c r="V166" s="35">
        <f>COUNTIF($D$156:$P$157,"*정은*")+COUNTIF($D$180:$P$181,"*정은*")</f>
        <v>1</v>
      </c>
      <c r="W166" s="3"/>
      <c r="X166" s="4">
        <f t="shared" ref="X166:AA167" si="20">X106</f>
        <v>3</v>
      </c>
      <c r="Y166" s="35">
        <f t="shared" si="20"/>
        <v>0</v>
      </c>
      <c r="Z166" s="48">
        <f t="shared" si="20"/>
        <v>6</v>
      </c>
      <c r="AA166" s="35">
        <f t="shared" si="20"/>
        <v>1</v>
      </c>
      <c r="AB166" s="162">
        <f>COUNTIF($AC$54:$AO$54,"*정은*")+COUNTIF($AC$56:$AO$56,"*정은*")+COUNTIF($AC$57:$AO$57,"*정은*")+COUNTIF($AC$58:$AO$58,"*정은*")+COUNTIF($AC$59:$AO$59,"*정은*")+COUNTIF($AC$60:$AO$60,"*정은*")+COUNTIF($AC$61:$AO$61,"*정은*")+COUNTIF($AC$62:$AO$62,"*정은*")+COUNTIF($AC$64:$AO$64,"*정은*")+COUNTIF($AC$65:$AO$65,"*정은*")+COUNTIF($AC$66:$AO$66,"*정은*")+COUNTIF($AC$68:$AO$68,"*정은*")+COUNTIF($AC$69:$AO$69,"*정은*")+COUNTIF($AC$70:$AO$70,"*정은*")+COUNTIF($AC$71:$AO$71,"*정은*")+COUNTIF($AC$73:$AO$73,"*정은*")+COUNTIF($AC$74:$AO$74,"*정은*")+COUNTIF($AC$75:$AO$75,"*정은*")</f>
        <v>0</v>
      </c>
      <c r="AC166" s="73"/>
      <c r="AD166" s="84"/>
      <c r="AE166" s="84"/>
      <c r="AF166" s="3"/>
      <c r="AG166" s="84"/>
      <c r="AH166" s="84"/>
      <c r="AI166" s="84"/>
      <c r="AJ166" s="84"/>
      <c r="AK166" s="84"/>
      <c r="AL166" s="84"/>
      <c r="AM166" s="84"/>
      <c r="AN166" s="84"/>
      <c r="AO166" s="66" t="s">
        <v>22</v>
      </c>
      <c r="AP166" s="97">
        <f>COUNTIF($D$69:$P$76,"*정은*")</f>
        <v>0</v>
      </c>
      <c r="AQ166" s="97">
        <f>COUNTIF($D$83:$P$100,"*정은*")</f>
        <v>0</v>
      </c>
      <c r="AR166" s="97">
        <f>COUNTIF($D$107:$P$124,"*정은*")</f>
        <v>0</v>
      </c>
      <c r="AS166" s="97">
        <v>0</v>
      </c>
      <c r="AT166" s="97">
        <f>COUNTIF($D$165:$P$182,"*정은*")</f>
        <v>0</v>
      </c>
      <c r="AU166" s="97">
        <v>3</v>
      </c>
      <c r="AV166" s="97">
        <f>COUNTIF($D$213:$P$230,"*정은*")</f>
        <v>0</v>
      </c>
      <c r="AW166" s="81">
        <f>SUM(AO166:AV166)</f>
        <v>3</v>
      </c>
    </row>
    <row r="167" spans="2:49" s="2" customFormat="1" ht="9.75" customHeight="1">
      <c r="B167" s="105" t="s">
        <v>68</v>
      </c>
      <c r="C167" s="114"/>
      <c r="D167" s="79" t="s">
        <v>268</v>
      </c>
      <c r="E167" s="114"/>
      <c r="F167" s="114"/>
      <c r="G167" s="114"/>
      <c r="H167" s="3"/>
      <c r="I167" s="3"/>
      <c r="J167" s="114"/>
      <c r="K167" s="3"/>
      <c r="L167" s="3"/>
      <c r="M167" s="114"/>
      <c r="N167" s="3"/>
      <c r="O167" s="3"/>
      <c r="P167" s="114"/>
      <c r="Q167" s="29"/>
      <c r="R167" s="66" t="s">
        <v>21</v>
      </c>
      <c r="S167" s="46">
        <f>COUNTIF($D$146:$P$146,"*지현*")+COUNTIF($D$151:$P$151,"*지현*")+COUNTIF($D$156:$P$156,"*지현*")+COUNTIF($D$165:$P$165,"*지현*")+COUNTIF($D$170:$P$170,"*지현*")+COUNTIF($D$175:$P$175,"*지현*")+COUNTIF($D$180:$P$180,"*지현*")</f>
        <v>2</v>
      </c>
      <c r="T167" s="166">
        <f>COUNTIF($D$147:$P$147,"*지현*")+COUNTIF($D$152:$P$152,"*지현*")+COUNTIF($D$157:$P$157,"*지현*")+COUNTIF($D$166:$P$166,"*지현*")+COUNTIF($D$171:$P$171,"*지현*")+COUNTIF($D$176:$P$176,"*지현*")+COUNTIF($D$181:$P$181,"*지현*")</f>
        <v>0</v>
      </c>
      <c r="U167" s="47">
        <f t="shared" ref="U167" si="21">S167*2+T167</f>
        <v>4</v>
      </c>
      <c r="V167" s="35">
        <f>COUNTIF($D$156:$P$157,"*지현*")+COUNTIF($D$180:$P$181,"*지현*")</f>
        <v>1</v>
      </c>
      <c r="W167" s="3"/>
      <c r="X167" s="4">
        <f t="shared" si="20"/>
        <v>4</v>
      </c>
      <c r="Y167" s="35">
        <f t="shared" si="20"/>
        <v>1</v>
      </c>
      <c r="Z167" s="48">
        <f t="shared" si="20"/>
        <v>9</v>
      </c>
      <c r="AA167" s="35">
        <f t="shared" si="20"/>
        <v>1</v>
      </c>
      <c r="AB167" s="162">
        <f>COUNTIF($AC$54:$AO$54,"*지현*")+COUNTIF($AC$56:$AO$56,"*지현*")+COUNTIF($AC$57:$AO$57,"*지현*")+COUNTIF($AC$58:$AO$58,"*지현*")+COUNTIF($AC$59:$AO$59,"*지현*")+COUNTIF($AC$60:$AO$60,"*지현*")+COUNTIF($AC$61:$AO$61,"*지현*")+COUNTIF($AC$62:$AO$62,"*지현*")+COUNTIF($AC$64:$AO$64,"*지현*")+COUNTIF($AC$65:$AO$65,"*지현*")+COUNTIF($AC$66:$AO$66,"*지현*")+COUNTIF($AC$68:$AO$68,"*지현*")+COUNTIF($AC$69:$AO$69,"*지현*")+COUNTIF($AC$70:$AO$70,"*지현*")+COUNTIF($AC$71:$AO$71,"*지현*")+COUNTIF($AC$73:$AO$73,"*지현*")+COUNTIF($AC$74:$AO$74,"*지현*")+COUNTIF($AC$75:$AO$75,"*지현*")</f>
        <v>0</v>
      </c>
      <c r="AC167" s="73"/>
      <c r="AD167" s="84"/>
      <c r="AE167" s="84"/>
      <c r="AF167" s="3"/>
      <c r="AG167" s="84"/>
      <c r="AH167" s="84"/>
      <c r="AI167" s="84"/>
      <c r="AJ167" s="84"/>
      <c r="AK167" s="84"/>
      <c r="AL167" s="84"/>
      <c r="AM167" s="84"/>
      <c r="AN167" s="84"/>
      <c r="AO167" s="66" t="s">
        <v>21</v>
      </c>
      <c r="AP167" s="97">
        <f>COUNTIF($D$69:$P$76,"*지현*")</f>
        <v>0</v>
      </c>
      <c r="AQ167" s="97">
        <v>0</v>
      </c>
      <c r="AR167" s="97">
        <v>0</v>
      </c>
      <c r="AS167" s="97">
        <v>1</v>
      </c>
      <c r="AT167" s="97">
        <v>2</v>
      </c>
      <c r="AU167" s="97">
        <v>3</v>
      </c>
      <c r="AV167" s="97">
        <f>COUNTIF($D$213:$P$230,"*지현*")</f>
        <v>0</v>
      </c>
      <c r="AW167" s="81">
        <f>SUM(AO167:AV167)</f>
        <v>6</v>
      </c>
    </row>
    <row r="168" spans="2:49" s="2" customFormat="1" ht="1.5" customHeight="1">
      <c r="B168" s="114"/>
      <c r="C168" s="114"/>
      <c r="D168" s="114"/>
      <c r="F168" s="3"/>
      <c r="G168" s="3"/>
      <c r="H168" s="3"/>
      <c r="I168" s="3"/>
      <c r="J168" s="114"/>
      <c r="K168" s="3"/>
      <c r="L168" s="3"/>
      <c r="M168" s="3"/>
      <c r="N168" s="3"/>
      <c r="O168" s="3"/>
      <c r="P168" s="114"/>
      <c r="Q168" s="29"/>
      <c r="R168" s="8"/>
      <c r="S168" s="50"/>
      <c r="T168" s="167"/>
      <c r="U168" s="47"/>
      <c r="V168" s="115"/>
      <c r="W168" s="114"/>
      <c r="X168" s="4"/>
      <c r="Y168" s="35"/>
      <c r="Z168" s="48"/>
      <c r="AA168" s="35"/>
      <c r="AB168" s="162"/>
      <c r="AC168" s="73"/>
      <c r="AD168" s="84"/>
      <c r="AE168" s="84"/>
      <c r="AF168" s="114"/>
      <c r="AG168" s="84"/>
      <c r="AH168" s="84"/>
      <c r="AI168" s="84"/>
      <c r="AJ168" s="84"/>
      <c r="AK168" s="84"/>
      <c r="AL168" s="84"/>
      <c r="AM168" s="84"/>
      <c r="AN168" s="84"/>
      <c r="AO168" s="8"/>
      <c r="AP168" s="99"/>
      <c r="AQ168" s="81"/>
      <c r="AR168" s="81"/>
      <c r="AS168" s="81"/>
      <c r="AT168" s="81"/>
      <c r="AU168" s="81"/>
      <c r="AV168" s="81"/>
      <c r="AW168" s="103"/>
    </row>
    <row r="169" spans="2:49" s="2" customFormat="1" ht="9.75" customHeight="1">
      <c r="B169" s="114"/>
      <c r="C169" s="114"/>
      <c r="D169" s="114"/>
      <c r="E169" s="114"/>
      <c r="F169" s="114"/>
      <c r="G169" s="114"/>
      <c r="H169" s="3"/>
      <c r="I169" s="3"/>
      <c r="J169" s="114"/>
      <c r="K169" s="3"/>
      <c r="L169" s="3"/>
      <c r="M169" s="114"/>
      <c r="N169" s="3"/>
      <c r="O169" s="3"/>
      <c r="P169" s="114"/>
      <c r="Q169" s="29"/>
      <c r="R169" s="66" t="s">
        <v>75</v>
      </c>
      <c r="S169" s="46">
        <f>COUNTIF($D$146:$P$146,"*태우*")+COUNTIF($D$151:$P$151,"*태우*")+COUNTIF($D$156:$P$156,"*태우*")+COUNTIF($D$165:$P$165,"*태우*")+COUNTIF($D$170:$P$170,"*태우*")+COUNTIF($D$175:$P$175,"*태우*")+COUNTIF($D$180:$P$180,"*태우*")</f>
        <v>0</v>
      </c>
      <c r="T169" s="166">
        <f>COUNTIF($D$147:$P$147,"*태우*")+COUNTIF($D$152:$P$152,"*태우*")+COUNTIF($D$157:$P$157,"*태우*")+COUNTIF($D$166:$P$166,"*태우*")+COUNTIF($D$171:$P$171,"*태우*")+COUNTIF($D$176:$P$176,"*태우*")+COUNTIF($D$181:$P$181,"*태우*")</f>
        <v>0</v>
      </c>
      <c r="U169" s="47">
        <f>S169*2+T169</f>
        <v>0</v>
      </c>
      <c r="V169" s="35">
        <f>COUNTIF($D$156:$P$157,"*태우*")+COUNTIF($D$180:$P$181,"*태우*")</f>
        <v>0</v>
      </c>
      <c r="W169" s="3"/>
      <c r="X169" s="4">
        <f t="shared" ref="X169:AA170" si="22">X108</f>
        <v>1</v>
      </c>
      <c r="Y169" s="35">
        <f t="shared" si="22"/>
        <v>4</v>
      </c>
      <c r="Z169" s="48">
        <f t="shared" si="22"/>
        <v>6</v>
      </c>
      <c r="AA169" s="35">
        <f t="shared" si="22"/>
        <v>0</v>
      </c>
      <c r="AB169" s="162">
        <f>COUNTIF($AC$54:$AO$54,"*태우*")+COUNTIF($AC$56:$AO$56,"*태우*")+COUNTIF($AC$57:$AO$57,"*태우*")+COUNTIF($AC$58:$AO$58,"*태우*")+COUNTIF($AC$59:$AO$59,"*태우*")+COUNTIF($AC$60:$AO$60,"*태우*")+COUNTIF($AC$61:$AO$61,"*태우*")+COUNTIF($AC$62:$AO$62,"*태우*")+COUNTIF($AC$64:$AO$64,"*태우*")+COUNTIF($AC$65:$AO$65,"*태우*")+COUNTIF($AC$66:$AO$66,"*태우*")+COUNTIF($AC$68:$AO$68,"*태우*")+COUNTIF($AC$69:$AO$69,"*태우*")+COUNTIF($AC$70:$AO$70,"*태우*")+COUNTIF($AC$71:$AO$71,"*태우*")+COUNTIF($AC$73:$AO$73,"*태우*")+COUNTIF($AC$74:$AO$74,"*태우*")+COUNTIF($AC$75:$AO$75,"*태우*")</f>
        <v>0</v>
      </c>
      <c r="AC169" s="73"/>
      <c r="AD169" s="84"/>
      <c r="AE169" s="84"/>
      <c r="AF169" s="3"/>
      <c r="AG169" s="84"/>
      <c r="AH169" s="84"/>
      <c r="AI169" s="84"/>
      <c r="AJ169" s="84"/>
      <c r="AK169" s="84"/>
      <c r="AL169" s="84"/>
      <c r="AM169" s="84"/>
      <c r="AN169" s="84"/>
      <c r="AO169" s="66" t="s">
        <v>75</v>
      </c>
      <c r="AP169" s="97">
        <v>0</v>
      </c>
      <c r="AQ169" s="97">
        <v>2</v>
      </c>
      <c r="AR169" s="97">
        <v>0</v>
      </c>
      <c r="AS169" s="97">
        <v>3</v>
      </c>
      <c r="AT169" s="97">
        <v>1</v>
      </c>
      <c r="AU169" s="97">
        <f>COUNTIF($D$189:$P$206,"*태우*")</f>
        <v>0</v>
      </c>
      <c r="AV169" s="97">
        <f>COUNTIF($D$213:$P$230,"*태우*")</f>
        <v>0</v>
      </c>
      <c r="AW169" s="81">
        <f>SUM(AO169:AV169)</f>
        <v>6</v>
      </c>
    </row>
    <row r="170" spans="2:49" s="2" customFormat="1" ht="9.75" customHeight="1">
      <c r="B170" s="114"/>
      <c r="C170" s="114"/>
      <c r="D170" s="114"/>
      <c r="E170" s="114"/>
      <c r="F170" s="114"/>
      <c r="G170" s="114"/>
      <c r="H170" s="3"/>
      <c r="I170" s="3"/>
      <c r="J170" s="114"/>
      <c r="K170" s="3"/>
      <c r="L170" s="3"/>
      <c r="M170" s="114"/>
      <c r="N170" s="3"/>
      <c r="O170" s="3"/>
      <c r="P170" s="114"/>
      <c r="Q170" s="29"/>
      <c r="R170" s="66" t="s">
        <v>76</v>
      </c>
      <c r="S170" s="46">
        <f>COUNTIF($D$146:$P$146,"*훈*")+COUNTIF($D$151:$P$151,"*훈*")+COUNTIF($D$156:$P$156,"*훈*")+COUNTIF($D$165:$P$165,"*훈*")+COUNTIF($D$170:$P$170,"*훈*")+COUNTIF($D$175:$P$175,"*훈*")+COUNTIF($D$180:$P$180,"*훈*")</f>
        <v>0</v>
      </c>
      <c r="T170" s="166">
        <f>COUNTIF($D$147:$P$147,"*훈*")+COUNTIF($D$152:$P$152,"*훈*")+COUNTIF($D$157:$P$157,"*훈*")+COUNTIF($D$166:$P$166,"*훈*")+COUNTIF($D$171:$P$171,"*훈*")+COUNTIF($D$176:$P$176,"*훈*")+COUNTIF($D$181:$P$181,"*훈*")</f>
        <v>0</v>
      </c>
      <c r="U170" s="47">
        <f t="shared" ref="U170:U172" si="23">S170*2+T170</f>
        <v>0</v>
      </c>
      <c r="V170" s="35">
        <f>COUNTIF($D$156:$P$157,"*훈*")+COUNTIF($D$180:$P$181,"*훈*")</f>
        <v>0</v>
      </c>
      <c r="W170" s="3"/>
      <c r="X170" s="4">
        <f t="shared" si="22"/>
        <v>3</v>
      </c>
      <c r="Y170" s="35">
        <f t="shared" si="22"/>
        <v>0</v>
      </c>
      <c r="Z170" s="48">
        <f t="shared" si="22"/>
        <v>6</v>
      </c>
      <c r="AA170" s="35">
        <f t="shared" si="22"/>
        <v>0</v>
      </c>
      <c r="AB170" s="162">
        <f>COUNTIF($AC$54:$AO$54,"*훈*")+COUNTIF($AC$56:$AO$56,"*훈*")+COUNTIF($AC$57:$AO$57,"*훈*")+COUNTIF($AC$58:$AO$58,"*훈*")+COUNTIF($AC$59:$AO$59,"*훈*")+COUNTIF($AC$60:$AO$60,"*훈*")+COUNTIF($AC$61:$AO$61,"*훈*")+COUNTIF($AC$62:$AO$62,"*훈*")+COUNTIF($AC$64:$AO$64,"*훈*")+COUNTIF($AC$65:$AO$65,"*훈*")+COUNTIF($AC$66:$AO$66,"*훈*")+COUNTIF($AC$68:$AO$68,"*훈*")+COUNTIF($AC$69:$AO$69,"*훈*")+COUNTIF($AC$70:$AO$70,"*훈*")+COUNTIF($AC$71:$AO$71,"*훈*")+COUNTIF($AC$73:$AO$73,"*훈*")+COUNTIF($AC$74:$AO$74,"*훈*")+COUNTIF($AC$75:$AO$75,"*훈*")</f>
        <v>0</v>
      </c>
      <c r="AC170" s="73"/>
      <c r="AD170" s="84"/>
      <c r="AE170" s="84"/>
      <c r="AF170" s="3"/>
      <c r="AG170" s="84"/>
      <c r="AH170" s="84"/>
      <c r="AI170" s="84"/>
      <c r="AJ170" s="84"/>
      <c r="AK170" s="84"/>
      <c r="AL170" s="84"/>
      <c r="AM170" s="84"/>
      <c r="AN170" s="84"/>
      <c r="AO170" s="66" t="s">
        <v>76</v>
      </c>
      <c r="AP170" s="97">
        <f>COUNTIF($D$69:$P$76,"*훈*")</f>
        <v>0</v>
      </c>
      <c r="AQ170" s="97">
        <v>0</v>
      </c>
      <c r="AR170" s="97">
        <f>COUNTIF($D$107:$P$124,"*훈*")</f>
        <v>0</v>
      </c>
      <c r="AS170" s="97">
        <v>4</v>
      </c>
      <c r="AT170" s="97">
        <f>COUNTIF($D$165:$P$182,"*훈*")</f>
        <v>0</v>
      </c>
      <c r="AU170" s="97">
        <f>COUNTIF($D$189:$P$206,"*훈*")</f>
        <v>0</v>
      </c>
      <c r="AV170" s="97">
        <f>COUNTIF($D$213:$P$230,"*훈*")</f>
        <v>0</v>
      </c>
      <c r="AW170" s="81">
        <f>SUM(AO170:AV170)</f>
        <v>4</v>
      </c>
    </row>
    <row r="171" spans="2:49" s="2" customFormat="1" ht="9.75" customHeight="1">
      <c r="B171" s="114"/>
      <c r="C171" s="114"/>
      <c r="D171" s="114"/>
      <c r="E171" s="114"/>
      <c r="F171" s="114"/>
      <c r="G171" s="114"/>
      <c r="H171" s="3"/>
      <c r="I171" s="3"/>
      <c r="J171" s="114"/>
      <c r="K171" s="3"/>
      <c r="L171" s="3"/>
      <c r="M171" s="114"/>
      <c r="N171" s="3"/>
      <c r="O171" s="3"/>
      <c r="P171" s="114"/>
      <c r="Q171" s="29"/>
      <c r="R171" s="66" t="s">
        <v>77</v>
      </c>
      <c r="S171" s="46">
        <f>COUNTIF($D$146:$P$146,"*누리*")+COUNTIF($D$151:$P$151,"*누리*")+COUNTIF($D$156:$P$156,"*누리*")+COUNTIF($D$165:$P$165,"*누리*")+COUNTIF($D$170:$P$170,"*누리*")+COUNTIF($D$175:$P$175,"*누리*")+COUNTIF($D$180:$P$180,"*누리*")</f>
        <v>3</v>
      </c>
      <c r="T171" s="166">
        <f>COUNTIF($D$147:$P$147,"*누리*")+COUNTIF($D$152:$P$152,"*누리*")+COUNTIF($D$157:$P$157,"*누리*")+COUNTIF($D$166:$P$166,"*누리*")+COUNTIF($D$171:$P$171,"*누리*")+COUNTIF($D$176:$P$176,"*누리*")+COUNTIF($D$181:$P$181,"*누리*")</f>
        <v>0</v>
      </c>
      <c r="U171" s="47">
        <f t="shared" si="23"/>
        <v>6</v>
      </c>
      <c r="V171" s="35">
        <f>COUNTIF($D$156:$P$157,"*누리*")+COUNTIF($D$180:$P$181,"*누리*")</f>
        <v>1</v>
      </c>
      <c r="W171" s="3"/>
      <c r="X171" s="4">
        <f t="shared" ref="X171:AA172" si="24">X111</f>
        <v>4</v>
      </c>
      <c r="Y171" s="35">
        <f t="shared" si="24"/>
        <v>0</v>
      </c>
      <c r="Z171" s="48">
        <f t="shared" si="24"/>
        <v>8</v>
      </c>
      <c r="AA171" s="35">
        <f t="shared" si="24"/>
        <v>1</v>
      </c>
      <c r="AB171" s="162">
        <f>COUNTIF($AC$54:$AO$54,"*누리*")+COUNTIF($AC$56:$AO$56,"*누리*")+COUNTIF($AC$57:$AO$57,"*누리*")+COUNTIF($AC$58:$AO$58,"*누리*")+COUNTIF($AC$59:$AO$59,"*누리*")+COUNTIF($AC$60:$AO$60,"*누리*")+COUNTIF($AC$61:$AO$61,"*누리*")+COUNTIF($AC$62:$AO$62,"*누리*")+COUNTIF($AC$64:$AO$64,"*누리*")+COUNTIF($AC$65:$AO$65,"*누리*")+COUNTIF($AC$66:$AO$66,"*누리*")+COUNTIF($AC$68:$AO$68,"*누리*")+COUNTIF($AC$69:$AO$69,"*누리*")+COUNTIF($AC$70:$AO$70,"*누리*")+COUNTIF($AC$71:$AO$71,"*누리*")+COUNTIF($AC$73:$AO$73,"*누리*")+COUNTIF($AC$74:$AO$74,"*누리*")+COUNTIF($AC$75:$AO$75,"*누리*")</f>
        <v>0</v>
      </c>
      <c r="AC171" s="73"/>
      <c r="AD171" s="84"/>
      <c r="AE171" s="84"/>
      <c r="AF171" s="3"/>
      <c r="AG171" s="84"/>
      <c r="AH171" s="84"/>
      <c r="AI171" s="84"/>
      <c r="AJ171" s="84"/>
      <c r="AK171" s="84"/>
      <c r="AL171" s="84"/>
      <c r="AM171" s="84"/>
      <c r="AN171" s="84"/>
      <c r="AO171" s="66" t="s">
        <v>77</v>
      </c>
      <c r="AP171" s="97">
        <f>COUNTIF($D$69:$P$76,"*누리*")</f>
        <v>0</v>
      </c>
      <c r="AQ171" s="97">
        <v>0</v>
      </c>
      <c r="AR171" s="97">
        <f>COUNTIF($D$107:$P$124,"*누리*")</f>
        <v>0</v>
      </c>
      <c r="AS171" s="97">
        <v>1</v>
      </c>
      <c r="AT171" s="97">
        <f>COUNTIF($D$165:$P$182,"*누리*")</f>
        <v>0</v>
      </c>
      <c r="AU171" s="97">
        <v>3</v>
      </c>
      <c r="AV171" s="97">
        <f>COUNTIF($D$213:$P$230,"*누리*")</f>
        <v>0</v>
      </c>
      <c r="AW171" s="81">
        <f>SUM(AO171:AV171)</f>
        <v>4</v>
      </c>
    </row>
    <row r="172" spans="2:49" s="2" customFormat="1" ht="9.75" customHeight="1">
      <c r="B172" s="114"/>
      <c r="C172" s="114"/>
      <c r="D172" s="114"/>
      <c r="E172" s="114"/>
      <c r="F172" s="114"/>
      <c r="G172" s="114"/>
      <c r="H172" s="3"/>
      <c r="I172" s="3"/>
      <c r="J172" s="114"/>
      <c r="K172" s="3"/>
      <c r="L172" s="3"/>
      <c r="M172" s="114"/>
      <c r="N172" s="3"/>
      <c r="O172" s="3"/>
      <c r="P172" s="114"/>
      <c r="Q172" s="29"/>
      <c r="R172" s="66" t="s">
        <v>88</v>
      </c>
      <c r="S172" s="46">
        <f>COUNTIF($D$146:$P$146,"*미소*")+COUNTIF($D$151:$P$151,"*미소*")+COUNTIF($D$156:$P$156,"*미소*")+COUNTIF($D$165:$P$165,"*미소*")+COUNTIF($D$170:$P$170,"*미소*")+COUNTIF($D$175:$P$175,"*미소*")+COUNTIF($D$180:$P$180,"*미소*")</f>
        <v>2</v>
      </c>
      <c r="T172" s="168">
        <f>COUNTIF($D$147:$P$147,"*미소*")+COUNTIF($D$152:$P$152,"*미소*")+COUNTIF($D$157:$P$157,"*미소*")+COUNTIF($D$166:$P$166,"*미소*")+COUNTIF($D$171:$P$171,"*미소*")+COUNTIF($D$176:$P$176,"*미소*")+COUNTIF($D$181:$P$181,"*미소*")</f>
        <v>0</v>
      </c>
      <c r="U172" s="47">
        <f t="shared" si="23"/>
        <v>4</v>
      </c>
      <c r="V172" s="35">
        <f>COUNTIF($D$156:$P$157,"*미소*")+COUNTIF($D$180:$P$181,"*미소*")</f>
        <v>1</v>
      </c>
      <c r="W172" s="3"/>
      <c r="X172" s="4">
        <f t="shared" si="24"/>
        <v>3</v>
      </c>
      <c r="Y172" s="35">
        <f t="shared" si="24"/>
        <v>2</v>
      </c>
      <c r="Z172" s="48">
        <f t="shared" si="24"/>
        <v>8</v>
      </c>
      <c r="AA172" s="35">
        <f t="shared" si="24"/>
        <v>1</v>
      </c>
      <c r="AB172" s="162">
        <f>COUNTIF($AC$54:$AO$54,"*미소*")+COUNTIF($AC$56:$AO$56,"*미소*")+COUNTIF($AC$57:$AO$57,"*미소*")+COUNTIF($AC$58:$AO$58,"*미소*")+COUNTIF($AC$59:$AO$59,"*미소*")+COUNTIF($AC$60:$AO$60,"*미소*")+COUNTIF($AC$61:$AO$61,"*미소*")+COUNTIF($AC$62:$AO$62,"*미소*")+COUNTIF($AC$64:$AO$64,"*미소*")+COUNTIF($AC$65:$AO$65,"*미소*")+COUNTIF($AC$66:$AO$66,"*미소*")+COUNTIF($AC$68:$AO$68,"*미소*")+COUNTIF($AC$69:$AO$69,"*미소*")+COUNTIF($AC$70:$AO$70,"*미소*")+COUNTIF($AC$71:$AO$71,"*미소*")+COUNTIF($AC$73:$AO$73,"*미소*")+COUNTIF($AC$74:$AO$74,"*미소*")+COUNTIF($AC$75:$AO$75,"*미소*")</f>
        <v>0</v>
      </c>
      <c r="AC172" s="73"/>
      <c r="AD172" s="84"/>
      <c r="AE172" s="84"/>
      <c r="AF172" s="3"/>
      <c r="AG172" s="84"/>
      <c r="AH172" s="84"/>
      <c r="AI172" s="84"/>
      <c r="AJ172" s="84"/>
      <c r="AK172" s="84"/>
      <c r="AL172" s="84"/>
      <c r="AM172" s="84"/>
      <c r="AN172" s="84"/>
      <c r="AO172" s="66" t="s">
        <v>88</v>
      </c>
      <c r="AP172" s="97">
        <f>COUNTIF($D$69:$P$76,"*미소*")</f>
        <v>0</v>
      </c>
      <c r="AQ172" s="97">
        <v>0</v>
      </c>
      <c r="AR172" s="97">
        <f>COUNTIF($D$107:$P$124,"*미소*")</f>
        <v>0</v>
      </c>
      <c r="AS172" s="97">
        <v>3</v>
      </c>
      <c r="AT172" s="97">
        <f>COUNTIF($D$165:$P$182,"*미소*")</f>
        <v>0</v>
      </c>
      <c r="AU172" s="97">
        <v>3</v>
      </c>
      <c r="AV172" s="97">
        <f>COUNTIF($D$213:$P$230,"*미소*")</f>
        <v>0</v>
      </c>
      <c r="AW172" s="81">
        <f>SUM(AO172:AV172)</f>
        <v>6</v>
      </c>
    </row>
    <row r="173" spans="2:49" s="2" customFormat="1" ht="1.5" customHeight="1">
      <c r="B173" s="114"/>
      <c r="C173" s="114"/>
      <c r="D173" s="114"/>
      <c r="E173" s="3"/>
      <c r="F173" s="3"/>
      <c r="G173" s="3"/>
      <c r="H173" s="3"/>
      <c r="I173" s="3"/>
      <c r="J173" s="114"/>
      <c r="K173" s="3"/>
      <c r="L173" s="3"/>
      <c r="M173" s="3"/>
      <c r="N173" s="3"/>
      <c r="O173" s="3"/>
      <c r="P173" s="114"/>
      <c r="Q173" s="29"/>
      <c r="R173" s="66"/>
      <c r="S173" s="46"/>
      <c r="T173" s="166"/>
      <c r="U173" s="47"/>
      <c r="V173" s="35"/>
      <c r="W173" s="3"/>
      <c r="X173" s="4"/>
      <c r="Y173" s="35"/>
      <c r="Z173" s="48"/>
      <c r="AA173" s="35"/>
      <c r="AB173" s="162"/>
      <c r="AC173" s="73"/>
      <c r="AD173" s="84"/>
      <c r="AE173" s="84"/>
      <c r="AF173" s="3"/>
      <c r="AG173" s="84"/>
      <c r="AH173" s="84"/>
      <c r="AI173" s="84"/>
      <c r="AJ173" s="84"/>
      <c r="AK173" s="84"/>
      <c r="AL173" s="84"/>
      <c r="AM173" s="84"/>
      <c r="AN173" s="84"/>
      <c r="AO173" s="66"/>
      <c r="AP173" s="99"/>
      <c r="AQ173" s="81"/>
      <c r="AR173" s="81"/>
      <c r="AS173" s="81"/>
      <c r="AT173" s="81"/>
      <c r="AU173" s="81"/>
      <c r="AV173" s="81"/>
      <c r="AW173" s="81"/>
    </row>
    <row r="174" spans="2:49" s="2" customFormat="1" ht="9.75" customHeight="1">
      <c r="B174" s="114"/>
      <c r="C174" s="114"/>
      <c r="D174" s="114"/>
      <c r="E174" s="114"/>
      <c r="F174" s="114"/>
      <c r="G174" s="114"/>
      <c r="H174" s="3"/>
      <c r="I174" s="3"/>
      <c r="J174" s="114"/>
      <c r="K174" s="3"/>
      <c r="L174" s="3"/>
      <c r="M174" s="114"/>
      <c r="N174" s="3"/>
      <c r="O174" s="3"/>
      <c r="P174" s="114"/>
      <c r="Q174" s="29"/>
      <c r="R174" s="66" t="s">
        <v>97</v>
      </c>
      <c r="S174" s="46">
        <f>COUNTIF($D$146:$P$146,"*소희*")+COUNTIF($D$151:$P$151,"*소희*")+COUNTIF($D$156:$P$156,"*소희*")+COUNTIF($D$165:$P$165,"*소희*")+COUNTIF($D$170:$P$170,"*소희*")+COUNTIF($D$175:$P$175,"*소희*")+COUNTIF($D$180:$P$180,"*소희*")</f>
        <v>2</v>
      </c>
      <c r="T174" s="166">
        <f>COUNTIF($D$147:$P$147,"*소희*")+COUNTIF($D$152:$P$152,"*소희*")+COUNTIF($D$157:$P$157,"*소희*")+COUNTIF($D$166:$P$166,"*소희*")+COUNTIF($D$171:$P$171,"*소희*")+COUNTIF($D$176:$P$176,"*소희*")+COUNTIF($D$181:$P$181,"*소희*")</f>
        <v>0</v>
      </c>
      <c r="U174" s="47">
        <f t="shared" ref="U174:U175" si="25">S174*2+T174</f>
        <v>4</v>
      </c>
      <c r="V174" s="35">
        <f>COUNTIF($D$156:$P$157,"*소희*")+COUNTIF($D$180:$P$181,"*소희*")</f>
        <v>1</v>
      </c>
      <c r="W174" s="3"/>
      <c r="X174" s="4">
        <f t="shared" ref="X174:AA175" si="26">X113</f>
        <v>3</v>
      </c>
      <c r="Y174" s="35">
        <f t="shared" si="26"/>
        <v>2</v>
      </c>
      <c r="Z174" s="48">
        <f t="shared" si="26"/>
        <v>8</v>
      </c>
      <c r="AA174" s="35">
        <f t="shared" si="26"/>
        <v>1</v>
      </c>
      <c r="AB174" s="129">
        <f>COUNTIF($AC$54:$AO$54,"*소희*")+COUNTIF($AC$56:$AO$56,"*소희*")+COUNTIF($AC$57:$AO$57,"*소희*")+COUNTIF($AC$58:$AO$58,"*소희*")+COUNTIF($AC$59:$AO$59,"*소희*")+COUNTIF($AC$60:$AO$60,"*소희*")+COUNTIF($AC$61:$AO$61,"*소희*")+COUNTIF($AC$62:$AO$62,"*소희*")+COUNTIF($AC$64:$AO$64,"*소희*")+COUNTIF($AC$65:$AO$65,"*소희*")+COUNTIF($AC$66:$AO$66,"*소희*")+COUNTIF($AC$68:$AO$68,"*소희*")+COUNTIF($AC$69:$AO$69,"*소희*")+COUNTIF($AC$70:$AO$70,"*소희*")+COUNTIF($AC$71:$AO$71,"*소희*")+COUNTIF($AC$73:$AO$73,"*소희*")+COUNTIF($AC$74:$AO$74,"*소희*")+COUNTIF($AC$75:$AO$75,"*소희*")</f>
        <v>0</v>
      </c>
      <c r="AC174" s="73"/>
      <c r="AD174" s="84"/>
      <c r="AE174" s="84"/>
      <c r="AF174" s="3"/>
      <c r="AG174" s="84"/>
      <c r="AH174" s="84"/>
      <c r="AI174" s="84"/>
      <c r="AJ174" s="84"/>
      <c r="AK174" s="84"/>
      <c r="AL174" s="84"/>
      <c r="AM174" s="84"/>
      <c r="AN174" s="84"/>
      <c r="AO174" s="66" t="s">
        <v>97</v>
      </c>
      <c r="AP174" s="97">
        <f>COUNTIF($D$69:$P$76,"*소희*")</f>
        <v>0</v>
      </c>
      <c r="AQ174" s="97">
        <v>0</v>
      </c>
      <c r="AR174" s="97">
        <f>COUNTIF($D$107:$P$124,"*소희*")</f>
        <v>0</v>
      </c>
      <c r="AS174" s="97">
        <v>2</v>
      </c>
      <c r="AT174" s="97">
        <f>COUNTIF($D$165:$P$182,"*소희*")</f>
        <v>0</v>
      </c>
      <c r="AU174" s="97">
        <v>3</v>
      </c>
      <c r="AV174" s="97">
        <f>COUNTIF($D$213:$P$230,"*소희*")</f>
        <v>0</v>
      </c>
      <c r="AW174" s="81">
        <f>SUM(AO174:AV174)</f>
        <v>5</v>
      </c>
    </row>
    <row r="175" spans="2:49" s="2" customFormat="1" ht="9.75" customHeight="1">
      <c r="B175" s="114"/>
      <c r="C175" s="114"/>
      <c r="D175" s="114"/>
      <c r="E175" s="114"/>
      <c r="F175" s="114"/>
      <c r="G175" s="114"/>
      <c r="H175" s="3"/>
      <c r="I175" s="3"/>
      <c r="J175" s="114"/>
      <c r="K175" s="3"/>
      <c r="L175" s="3"/>
      <c r="M175" s="114"/>
      <c r="N175" s="3"/>
      <c r="O175" s="3"/>
      <c r="P175" s="114"/>
      <c r="Q175" s="29"/>
      <c r="R175" s="54" t="s">
        <v>101</v>
      </c>
      <c r="S175" s="52">
        <f>COUNTIF($D$146:$P$146,"*현동*")+COUNTIF($D$151:$P$151,"*현동*")+COUNTIF($D$156:$P$156,"*현동*")+COUNTIF($D$165:$P$165,"*현동*")+COUNTIF($D$170:$P$170,"*현동*")+COUNTIF($D$175:$P$175,"*현동*")+COUNTIF($D$180:$P$180,"*현동*")</f>
        <v>2</v>
      </c>
      <c r="T175" s="119">
        <f>COUNTIF($D$147:$P$147,"*현동*")+COUNTIF($D$152:$P$152,"*현동*")+COUNTIF($D$157:$P$157,"*현동*")+COUNTIF($D$166:$P$166,"*현동*")+COUNTIF($D$171:$P$171,"*현동*")+COUNTIF($D$176:$P$176,"*현동*")+COUNTIF($D$181:$P$181,"*현동*")</f>
        <v>0</v>
      </c>
      <c r="U175" s="194">
        <f t="shared" si="25"/>
        <v>4</v>
      </c>
      <c r="V175" s="170">
        <f>COUNTIF($D$156:$P$157,"*현동*")+COUNTIF($D$180:$P$181,"*현동*")</f>
        <v>1</v>
      </c>
      <c r="W175" s="54"/>
      <c r="X175" s="54">
        <f t="shared" si="26"/>
        <v>3</v>
      </c>
      <c r="Y175" s="170">
        <f t="shared" si="26"/>
        <v>4</v>
      </c>
      <c r="Z175" s="68">
        <f t="shared" si="26"/>
        <v>10</v>
      </c>
      <c r="AA175" s="170">
        <f t="shared" si="26"/>
        <v>1</v>
      </c>
      <c r="AB175" s="195">
        <f>COUNTIF($AC$54:$AO$54,"*현동*")+COUNTIF($AC$56:$AO$56,"*현동*")+COUNTIF($AC$57:$AO$57,"*현동*")+COUNTIF($AC$58:$AO$58,"*현동*")+COUNTIF($AC$59:$AO$59,"*현동*")+COUNTIF($AC$60:$AO$60,"*현동*")+COUNTIF($AC$61:$AO$61,"*현동*")+COUNTIF($AC$62:$AO$62,"*현동*")+COUNTIF($AC$64:$AO$64,"*현동*")+COUNTIF($AC$65:$AO$65,"*현동*")+COUNTIF($AC$66:$AO$66,"*현동*")+COUNTIF($AC$68:$AO$68,"*현동*")+COUNTIF($AC$69:$AO$69,"*현동*")+COUNTIF($AC$70:$AO$70,"*현동*")+COUNTIF($AC$71:$AO$71,"*현동*")+COUNTIF($AC$73:$AO$73,"*현동*")+COUNTIF($AC$74:$AO$74,"*현동*")+COUNTIF($AC$75:$AO$75,"*현동*")</f>
        <v>0</v>
      </c>
      <c r="AC175" s="73"/>
      <c r="AD175" s="84"/>
      <c r="AE175" s="84"/>
      <c r="AF175" s="3"/>
      <c r="AG175" s="84"/>
      <c r="AH175" s="84"/>
      <c r="AI175" s="84"/>
      <c r="AJ175" s="84"/>
      <c r="AK175" s="84"/>
      <c r="AL175" s="84"/>
      <c r="AM175" s="84"/>
      <c r="AN175" s="84"/>
      <c r="AO175" s="54" t="s">
        <v>102</v>
      </c>
      <c r="AP175" s="101">
        <v>0</v>
      </c>
      <c r="AQ175" s="101">
        <f>COUNTIF($D$83:$P$100,"*현동*")</f>
        <v>1</v>
      </c>
      <c r="AR175" s="101">
        <v>0</v>
      </c>
      <c r="AS175" s="101">
        <v>2</v>
      </c>
      <c r="AT175" s="101">
        <v>1</v>
      </c>
      <c r="AU175" s="101">
        <v>3</v>
      </c>
      <c r="AV175" s="101">
        <f>COUNTIF($D$213:$P$230,"*현동*")</f>
        <v>0</v>
      </c>
      <c r="AW175" s="104">
        <f>SUM(AO175:AV175)</f>
        <v>7</v>
      </c>
    </row>
    <row r="176" spans="2:49" s="2" customFormat="1" ht="9.75" customHeight="1">
      <c r="B176" s="114"/>
      <c r="C176" s="114"/>
      <c r="D176" s="114"/>
      <c r="E176" s="114"/>
      <c r="F176" s="114"/>
      <c r="G176" s="114"/>
      <c r="H176" s="3"/>
      <c r="I176" s="3"/>
      <c r="J176" s="114"/>
      <c r="K176" s="3"/>
      <c r="L176" s="3"/>
      <c r="M176" s="114"/>
      <c r="N176" s="3"/>
      <c r="O176" s="3"/>
      <c r="P176" s="114"/>
      <c r="Q176" s="29"/>
      <c r="R176" s="3"/>
      <c r="S176" s="82"/>
      <c r="T176" s="82"/>
      <c r="U176" s="134"/>
      <c r="V176" s="3"/>
      <c r="W176" s="3"/>
      <c r="X176" s="3"/>
      <c r="Y176" s="3"/>
      <c r="Z176" s="135"/>
      <c r="AA176" s="3"/>
      <c r="AB176" s="93"/>
      <c r="AC176" s="93"/>
      <c r="AD176" s="84"/>
      <c r="AE176" s="84"/>
      <c r="AF176" s="3"/>
      <c r="AG176" s="84"/>
      <c r="AH176" s="84"/>
      <c r="AI176" s="84"/>
      <c r="AJ176" s="84"/>
      <c r="AK176" s="84"/>
      <c r="AL176" s="84"/>
      <c r="AM176" s="84"/>
      <c r="AN176" s="84"/>
      <c r="AO176" s="3"/>
      <c r="AP176" s="147"/>
      <c r="AQ176" s="147"/>
      <c r="AR176" s="147"/>
      <c r="AS176" s="147"/>
      <c r="AT176" s="147"/>
      <c r="AU176" s="147"/>
      <c r="AV176" s="147"/>
      <c r="AW176" s="198"/>
    </row>
    <row r="177" spans="2:49" s="2" customFormat="1" ht="9.75" customHeight="1">
      <c r="B177" s="114"/>
      <c r="C177" s="114"/>
      <c r="D177" s="114"/>
      <c r="E177" s="114"/>
      <c r="F177" s="114"/>
      <c r="G177" s="114"/>
      <c r="H177" s="3"/>
      <c r="I177" s="3"/>
      <c r="J177" s="114"/>
      <c r="K177" s="3"/>
      <c r="L177" s="3"/>
      <c r="M177" s="114"/>
      <c r="N177" s="3"/>
      <c r="O177" s="3"/>
      <c r="P177" s="114"/>
      <c r="Q177" s="29"/>
      <c r="R177" s="3"/>
      <c r="S177" s="82"/>
      <c r="T177" s="82"/>
      <c r="U177" s="134"/>
      <c r="V177" s="3"/>
      <c r="W177" s="3"/>
      <c r="X177" s="3"/>
      <c r="Y177" s="3"/>
      <c r="Z177" s="135"/>
      <c r="AA177" s="3"/>
      <c r="AB177" s="93"/>
      <c r="AC177" s="93"/>
      <c r="AD177" s="84"/>
      <c r="AE177" s="84"/>
      <c r="AF177" s="3"/>
      <c r="AG177" s="84"/>
      <c r="AH177" s="84"/>
      <c r="AI177" s="84"/>
      <c r="AJ177" s="84"/>
      <c r="AK177" s="84"/>
      <c r="AL177" s="84"/>
      <c r="AM177" s="84"/>
      <c r="AN177" s="84"/>
      <c r="AO177" s="3"/>
      <c r="AP177" s="147"/>
      <c r="AQ177" s="147"/>
      <c r="AR177" s="147"/>
      <c r="AS177" s="147"/>
      <c r="AT177" s="147"/>
      <c r="AU177" s="147"/>
      <c r="AV177" s="147"/>
      <c r="AW177" s="198"/>
    </row>
    <row r="178" spans="2:49" s="2" customFormat="1" ht="1.5" customHeight="1">
      <c r="B178" s="114"/>
      <c r="C178" s="114"/>
      <c r="D178" s="114"/>
      <c r="E178" s="3"/>
      <c r="F178" s="3"/>
      <c r="G178" s="3"/>
      <c r="H178" s="3"/>
      <c r="I178" s="3"/>
      <c r="J178" s="114"/>
      <c r="K178" s="3"/>
      <c r="L178" s="3"/>
      <c r="M178" s="3"/>
      <c r="N178" s="3"/>
      <c r="O178" s="3"/>
      <c r="P178" s="114"/>
      <c r="Q178" s="29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211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198"/>
      <c r="AR178" s="198"/>
      <c r="AS178" s="198"/>
      <c r="AT178" s="198"/>
      <c r="AU178" s="198"/>
      <c r="AV178" s="198"/>
      <c r="AW178" s="198"/>
    </row>
    <row r="179" spans="2:49" s="2" customFormat="1" ht="9.75" customHeight="1">
      <c r="B179" s="114"/>
      <c r="C179" s="114"/>
      <c r="D179" s="114"/>
      <c r="E179" s="114"/>
      <c r="F179" s="114"/>
      <c r="G179" s="114"/>
      <c r="H179" s="3"/>
      <c r="I179" s="3"/>
      <c r="J179" s="114"/>
      <c r="K179" s="3"/>
      <c r="L179" s="3"/>
      <c r="M179" s="114"/>
      <c r="N179" s="3"/>
      <c r="O179" s="3"/>
      <c r="P179" s="114"/>
      <c r="Q179" s="29"/>
      <c r="R179" s="3"/>
      <c r="S179" s="82"/>
      <c r="T179" s="82"/>
      <c r="U179" s="134"/>
      <c r="V179" s="3"/>
      <c r="W179" s="3"/>
      <c r="X179" s="3"/>
      <c r="Y179" s="3"/>
      <c r="Z179" s="135"/>
      <c r="AA179" s="3"/>
      <c r="AB179" s="93"/>
      <c r="AC179" s="93"/>
      <c r="AD179" s="84"/>
      <c r="AE179" s="84"/>
      <c r="AF179" s="3"/>
      <c r="AG179" s="84"/>
      <c r="AH179" s="84"/>
      <c r="AI179" s="84"/>
      <c r="AJ179" s="84"/>
      <c r="AK179" s="84"/>
      <c r="AL179" s="84"/>
      <c r="AM179" s="84"/>
      <c r="AN179" s="84"/>
      <c r="AO179" s="3"/>
      <c r="AP179" s="147"/>
      <c r="AQ179" s="147"/>
      <c r="AR179" s="147"/>
      <c r="AS179" s="147"/>
      <c r="AT179" s="147"/>
      <c r="AU179" s="147"/>
      <c r="AV179" s="147"/>
      <c r="AW179" s="198"/>
    </row>
    <row r="180" spans="2:49" s="2" customFormat="1" ht="9.75" customHeight="1">
      <c r="B180" s="114"/>
      <c r="C180" s="114"/>
      <c r="D180" s="114"/>
      <c r="E180" s="114"/>
      <c r="F180" s="114"/>
      <c r="G180" s="114"/>
      <c r="H180" s="3"/>
      <c r="I180" s="3"/>
      <c r="J180" s="114"/>
      <c r="K180" s="3"/>
      <c r="L180" s="3"/>
      <c r="M180" s="114"/>
      <c r="N180" s="3"/>
      <c r="O180" s="3"/>
      <c r="P180" s="114"/>
      <c r="R180" s="3"/>
      <c r="S180" s="82"/>
      <c r="T180" s="82"/>
      <c r="U180" s="82"/>
      <c r="V180" s="82"/>
      <c r="W180" s="3"/>
      <c r="X180" s="3"/>
      <c r="Y180" s="3"/>
      <c r="Z180" s="135"/>
      <c r="AA180" s="176"/>
      <c r="AB180" s="177"/>
      <c r="AC180" s="84"/>
      <c r="AD180" s="84"/>
      <c r="AE180" s="84"/>
      <c r="AF180" s="3"/>
      <c r="AG180" s="84"/>
      <c r="AH180" s="84"/>
      <c r="AI180" s="84"/>
      <c r="AJ180" s="84"/>
      <c r="AK180" s="84"/>
      <c r="AL180" s="84"/>
      <c r="AM180" s="84"/>
      <c r="AN180" s="84"/>
      <c r="AO180" s="147"/>
      <c r="AP180" s="147"/>
      <c r="AQ180" s="189"/>
      <c r="AR180" s="189"/>
      <c r="AS180" s="189"/>
      <c r="AT180" s="189"/>
      <c r="AU180" s="189"/>
      <c r="AV180" s="189"/>
      <c r="AW180" s="189"/>
    </row>
    <row r="181" spans="2:49" s="2" customFormat="1" ht="9.75" customHeight="1">
      <c r="B181" s="114"/>
      <c r="C181" s="114"/>
      <c r="D181" s="114"/>
      <c r="E181" s="114"/>
      <c r="F181" s="114"/>
      <c r="G181" s="114"/>
      <c r="H181" s="3"/>
      <c r="I181" s="3"/>
      <c r="J181" s="114"/>
      <c r="K181" s="3"/>
      <c r="L181" s="3"/>
      <c r="M181" s="114"/>
      <c r="N181" s="3"/>
      <c r="O181" s="3"/>
      <c r="P181" s="114"/>
      <c r="R181" s="3"/>
      <c r="S181" s="82"/>
      <c r="T181" s="82"/>
      <c r="U181" s="82"/>
      <c r="V181" s="82"/>
      <c r="W181" s="3"/>
      <c r="X181" s="3"/>
      <c r="Y181" s="3"/>
      <c r="Z181" s="135"/>
      <c r="AA181" s="176"/>
      <c r="AB181" s="177"/>
      <c r="AC181" s="84"/>
      <c r="AD181" s="84"/>
      <c r="AE181" s="84"/>
      <c r="AF181" s="3"/>
      <c r="AG181" s="84"/>
      <c r="AH181" s="84"/>
      <c r="AI181" s="84"/>
      <c r="AJ181" s="84"/>
      <c r="AK181" s="84"/>
      <c r="AL181" s="84"/>
      <c r="AM181" s="84"/>
      <c r="AN181" s="84"/>
      <c r="AO181" s="147"/>
      <c r="AP181" s="147"/>
      <c r="AQ181" s="174"/>
      <c r="AR181" s="174"/>
      <c r="AS181" s="174"/>
      <c r="AT181" s="174"/>
      <c r="AU181" s="174"/>
      <c r="AV181" s="174"/>
      <c r="AW181" s="174"/>
    </row>
    <row r="182" spans="2:49" s="2" customFormat="1" ht="9.75" customHeight="1">
      <c r="B182" s="114"/>
      <c r="C182" s="114"/>
      <c r="D182" s="114"/>
      <c r="E182" s="114"/>
      <c r="F182" s="114"/>
      <c r="G182" s="114"/>
      <c r="H182" s="3"/>
      <c r="I182" s="3"/>
      <c r="J182" s="114"/>
      <c r="K182" s="3"/>
      <c r="L182" s="3"/>
      <c r="M182" s="114"/>
      <c r="N182" s="3"/>
      <c r="O182" s="3"/>
      <c r="P182" s="114"/>
      <c r="Q182" s="32"/>
      <c r="R182" s="179" t="s">
        <v>82</v>
      </c>
      <c r="S182" s="157" t="s">
        <v>33</v>
      </c>
      <c r="T182" s="158" t="s">
        <v>83</v>
      </c>
      <c r="U182" s="157" t="s">
        <v>84</v>
      </c>
      <c r="V182" s="180" t="s">
        <v>85</v>
      </c>
      <c r="W182" s="181"/>
      <c r="X182" s="182" t="s">
        <v>24</v>
      </c>
      <c r="Y182" s="3"/>
      <c r="Z182" s="133" t="s">
        <v>86</v>
      </c>
      <c r="AA182" s="175" t="s">
        <v>87</v>
      </c>
      <c r="AB182" s="159" t="s">
        <v>86</v>
      </c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137"/>
      <c r="AP182" s="70"/>
    </row>
    <row r="183" spans="2:49" s="2" customFormat="1" ht="1.5" customHeight="1">
      <c r="B183" s="114"/>
      <c r="C183" s="114"/>
      <c r="D183" s="114"/>
      <c r="E183" s="3"/>
      <c r="F183" s="3"/>
      <c r="G183" s="3"/>
      <c r="H183" s="3"/>
      <c r="I183" s="3"/>
      <c r="J183" s="114"/>
      <c r="K183" s="3"/>
      <c r="L183" s="3"/>
      <c r="M183" s="3"/>
      <c r="N183" s="3"/>
      <c r="O183" s="3"/>
      <c r="P183" s="3"/>
      <c r="Q183" s="32"/>
      <c r="R183" s="66"/>
      <c r="S183" s="4"/>
      <c r="T183" s="35"/>
      <c r="U183" s="54"/>
      <c r="V183" s="170"/>
      <c r="W183" s="170"/>
      <c r="X183" s="53"/>
      <c r="Y183" s="3"/>
      <c r="Z183" s="48"/>
      <c r="AA183" s="91"/>
      <c r="AB183" s="118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2:49" s="2" customFormat="1" ht="9.75" customHeight="1"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32"/>
      <c r="R184" s="67" t="s">
        <v>81</v>
      </c>
      <c r="S184" s="191">
        <f>COUNTIF($D$189:$P$189,"*원석*")+COUNTIF($D$194:$P$194,"*원석*")+COUNTIF($D$199:$P$199,"*원석*")+COUNTIF($D$204:$P$204,"*원석*")+COUNTIF($D$213:$P$213,"*원석*")</f>
        <v>0</v>
      </c>
      <c r="T184" s="193">
        <f>COUNTIF($D$190:$P$190,"*원석*")+COUNTIF($D$195:$P$195,"*원석*")+COUNTIF($D$200:$P$200,"*원석*")+COUNTIF($D$205:$P$205,"*원석*")+COUNTIF($D$214:$P$214,"*원석*")</f>
        <v>0</v>
      </c>
      <c r="U184" s="191">
        <f>S184*2+T184</f>
        <v>0</v>
      </c>
      <c r="V184" s="192">
        <f>COUNTIF($D$204:$P$205,"*원석*")</f>
        <v>0</v>
      </c>
      <c r="W184" s="69"/>
      <c r="X184" s="65">
        <f>COUNTIF($AC$76:$AO$76,"*원석*")+COUNTIF($AC$78:$AO$78,"*원석*")+COUNTIF($AC$79:$AO$79,"*원석*")+COUNTIF($AC$80:$AO$80,"*원석*")+COUNTIF($AC$82:$AO$82,"*원석*")</f>
        <v>0</v>
      </c>
      <c r="Y184" s="3"/>
      <c r="Z184" s="45">
        <f>U184+Z147</f>
        <v>0</v>
      </c>
      <c r="AA184" s="185">
        <f>V184+AA147</f>
        <v>0</v>
      </c>
      <c r="AB184" s="186">
        <f>X184+AB147</f>
        <v>0</v>
      </c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137"/>
      <c r="AP184" s="70"/>
    </row>
    <row r="185" spans="2:49" s="2" customFormat="1" ht="9.75" customHeight="1">
      <c r="B185" s="3"/>
      <c r="C185" s="3"/>
      <c r="D185" s="3"/>
      <c r="E185" s="3"/>
      <c r="F185" s="3"/>
      <c r="G185" s="3"/>
      <c r="H185" s="3"/>
      <c r="I185" s="3"/>
      <c r="J185" s="114"/>
      <c r="K185" s="3"/>
      <c r="L185" s="3"/>
      <c r="M185" s="3"/>
      <c r="N185" s="3"/>
      <c r="O185" s="3"/>
      <c r="P185" s="3"/>
      <c r="R185" s="66" t="s">
        <v>72</v>
      </c>
      <c r="S185" s="46">
        <f>COUNTIF($D$189:$P$189,"*성진*")+COUNTIF($D$194:$P$194,"*성진*")+COUNTIF($D$199:$P$199,"*성진*")+COUNTIF($D$204:$P$204,"*성진*")+COUNTIF($D$213:$P$213,"*성진*")</f>
        <v>0</v>
      </c>
      <c r="T185" s="166">
        <f>COUNTIF($D$190:$P$190,"*성진*")+COUNTIF($D$195:$P$195,"*성진*")+COUNTIF($D$200:$P$200,"*성진*")+COUNTIF($D$205:$P$205,"*성진*")+COUNTIF($D$214:$P$214,"*성진*")</f>
        <v>0</v>
      </c>
      <c r="U185" s="46">
        <f>S185*2+T185</f>
        <v>0</v>
      </c>
      <c r="V185" s="82">
        <f>COUNTIF($D$204:$P$205,"*성진*")</f>
        <v>0</v>
      </c>
      <c r="W185" s="3"/>
      <c r="X185" s="35">
        <f>COUNTIF($AC$76:$AO$76,"*성진*")+COUNTIF($AC$78:$AO$78,"*성진*")+COUNTIF($AC$79:$AO$79,"*성진*")+COUNTIF($AC$80:$AO$80,"*성진*")+COUNTIF($AC$82:$AO$82,"*성진*")</f>
        <v>0</v>
      </c>
      <c r="Y185" s="3"/>
      <c r="Z185" s="48">
        <f t="shared" ref="Z185:Z190" si="27">U185+Z148</f>
        <v>3</v>
      </c>
      <c r="AA185" s="91">
        <f t="shared" ref="AA185:AA209" si="28">V185+AA148</f>
        <v>0</v>
      </c>
      <c r="AB185" s="118">
        <f t="shared" ref="AB185:AB209" si="29">X185+AB148</f>
        <v>0</v>
      </c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137"/>
      <c r="AP185" s="70"/>
    </row>
    <row r="186" spans="2:49" s="2" customFormat="1" ht="9.75" customHeight="1">
      <c r="B186" s="114"/>
      <c r="C186" s="114"/>
      <c r="D186" s="183"/>
      <c r="E186" s="224"/>
      <c r="F186" s="224"/>
      <c r="G186" s="224"/>
      <c r="H186" s="114"/>
      <c r="I186" s="114"/>
      <c r="J186" s="114"/>
      <c r="K186" s="114"/>
      <c r="L186" s="114"/>
      <c r="M186" s="114"/>
      <c r="N186" s="114"/>
      <c r="O186" s="114"/>
      <c r="P186" s="114"/>
      <c r="R186" s="66" t="s">
        <v>73</v>
      </c>
      <c r="S186" s="46">
        <f>COUNTIF($D$189:$P$189,"*종섭*")+COUNTIF($D$194:$P$194,"*종섭*")+COUNTIF($D$199:$P$199,"*종섭*")+COUNTIF($D$204:$P$204,"*종섭*")+COUNTIF($D$213:$P$213,"*종섭*")</f>
        <v>0</v>
      </c>
      <c r="T186" s="166">
        <f>COUNTIF($D$190:$P$190,"*종섭*")+COUNTIF($D$195:$P$195,"*종섭*")+COUNTIF($D$200:$P$200,"*종섭*")+COUNTIF($D$205:$P$205,"*종섭*")+COUNTIF($D$214:$P$214,"*종섭*")</f>
        <v>0</v>
      </c>
      <c r="U186" s="46">
        <f>S186*2+T186</f>
        <v>0</v>
      </c>
      <c r="V186" s="82">
        <f>COUNTIF($D$204:$P$205,"*종섭*")</f>
        <v>0</v>
      </c>
      <c r="W186" s="3"/>
      <c r="X186" s="35">
        <f>COUNTIF($AC$76:$AO$76,"*종섭*")+COUNTIF($AC$78:$AO$78,"*종섭*")+COUNTIF($AC$79:$AO$79,"*종섭*")+COUNTIF($AC$80:$AO$80,"*종섭*")+COUNTIF($AC$82:$AO$82,"*종섭*")</f>
        <v>0</v>
      </c>
      <c r="Y186" s="3"/>
      <c r="Z186" s="48">
        <f>U186+Z150</f>
        <v>0</v>
      </c>
      <c r="AA186" s="91">
        <f>V186+AA150</f>
        <v>0</v>
      </c>
      <c r="AB186" s="118">
        <f>X186+AB150</f>
        <v>0</v>
      </c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2:49" ht="1.5" customHeight="1">
      <c r="B187" s="114"/>
      <c r="C187" s="114"/>
      <c r="D187" s="114"/>
      <c r="E187" s="114"/>
      <c r="F187" s="114"/>
      <c r="G187" s="114"/>
      <c r="H187" s="3"/>
      <c r="I187" s="3"/>
      <c r="J187" s="114"/>
      <c r="K187" s="114"/>
      <c r="L187" s="114"/>
      <c r="M187" s="114"/>
      <c r="N187" s="114"/>
      <c r="O187" s="114"/>
      <c r="P187" s="114"/>
      <c r="R187" s="66"/>
      <c r="S187" s="46"/>
      <c r="T187" s="166"/>
      <c r="U187" s="46"/>
      <c r="V187" s="51"/>
      <c r="W187" s="114"/>
      <c r="X187" s="35"/>
      <c r="Y187" s="3"/>
      <c r="Z187" s="48"/>
      <c r="AA187" s="91"/>
      <c r="AB187" s="118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1"/>
    </row>
    <row r="188" spans="2:49">
      <c r="B188" s="114"/>
      <c r="C188" s="114"/>
      <c r="D188" s="114"/>
      <c r="E188" s="114"/>
      <c r="F188" s="114"/>
      <c r="G188" s="114"/>
      <c r="H188" s="3"/>
      <c r="I188" s="3"/>
      <c r="J188" s="114"/>
      <c r="K188" s="3"/>
      <c r="L188" s="3"/>
      <c r="M188" s="114"/>
      <c r="N188" s="3"/>
      <c r="O188" s="3"/>
      <c r="P188" s="114"/>
      <c r="R188" s="66" t="s">
        <v>23</v>
      </c>
      <c r="S188" s="46">
        <f>COUNTIF($D$189:$P$189,"*형민*")+COUNTIF($D$194:$P$194,"*형민*")+COUNTIF($D$199:$P$199,"*형민*")+COUNTIF($D$204:$P$204,"*형민*")+COUNTIF($D$213:$P$213,"*형민*")</f>
        <v>0</v>
      </c>
      <c r="T188" s="166">
        <f>COUNTIF($D$190:$P$190,"*형민*")+COUNTIF($D$195:$P$195,"*형민*")+COUNTIF($D$200:$P$200,"*형민*")+COUNTIF($D$205:$P$205,"*형민*")+COUNTIF($D$214:$P$214,"*형민*")</f>
        <v>0</v>
      </c>
      <c r="U188" s="46">
        <f>S188*2+T188</f>
        <v>0</v>
      </c>
      <c r="V188" s="82">
        <f>COUNTIF($D$204:$P$205,"*형민*")</f>
        <v>0</v>
      </c>
      <c r="W188" s="3"/>
      <c r="X188" s="35">
        <f>COUNTIF($AC$76:$AO$76,"*형민*")+COUNTIF($AC$78:$AO$78,"*형민*")+COUNTIF($AC$79:$AO$79,"*형민*")+COUNTIF($AC$80:$AO$80,"*형민*")+COUNTIF($AC$82:$AO$82,"*형민*")</f>
        <v>0</v>
      </c>
      <c r="Y188" s="3"/>
      <c r="Z188" s="48">
        <f t="shared" si="27"/>
        <v>0</v>
      </c>
      <c r="AA188" s="91">
        <f t="shared" si="28"/>
        <v>0</v>
      </c>
      <c r="AB188" s="118">
        <f t="shared" si="29"/>
        <v>0</v>
      </c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1"/>
    </row>
    <row r="189" spans="2:49">
      <c r="B189" s="114"/>
      <c r="C189" s="114"/>
      <c r="D189" s="114"/>
      <c r="E189" s="114"/>
      <c r="F189" s="114"/>
      <c r="G189" s="114"/>
      <c r="H189" s="3"/>
      <c r="I189" s="3"/>
      <c r="J189" s="114"/>
      <c r="K189" s="3"/>
      <c r="L189" s="3"/>
      <c r="M189" s="114"/>
      <c r="N189" s="3"/>
      <c r="O189" s="3"/>
      <c r="P189" s="114"/>
      <c r="R189" s="66" t="s">
        <v>13</v>
      </c>
      <c r="S189" s="46">
        <f>COUNTIF($D$189:$P$189,"*효동*")+COUNTIF($D$194:$P$194,"*효동*")+COUNTIF($D$199:$P$199,"*효동*")+COUNTIF($D$204:$P$204,"*효동*")+COUNTIF($D$213:$P$213,"*효동*")</f>
        <v>0</v>
      </c>
      <c r="T189" s="166">
        <f>COUNTIF($D$190:$P$190,"*효동*")+COUNTIF($D$195:$P$195,"*효동*")+COUNTIF($D$200:$P$200,"*효동*")+COUNTIF($D$205:$P$205,"*효동*")+COUNTIF($D$214:$P$214,"*효동*")</f>
        <v>0</v>
      </c>
      <c r="U189" s="46">
        <f>S189*2+T189</f>
        <v>0</v>
      </c>
      <c r="V189" s="82">
        <f>COUNTIF($D$204:$P$205,"*효동*")</f>
        <v>0</v>
      </c>
      <c r="W189" s="3"/>
      <c r="X189" s="35">
        <f>COUNTIF($AC$76:$AO$76,"*효동*")+COUNTIF($AC$78:$AO$78,"*효동*")+COUNTIF($AC$79:$AO$79,"*효동*")+COUNTIF($AC$80:$AO$80,"*효동*")+COUNTIF($AC$82:$AO$82,"*효동*")</f>
        <v>0</v>
      </c>
      <c r="Y189" s="3"/>
      <c r="Z189" s="48">
        <f t="shared" si="27"/>
        <v>6</v>
      </c>
      <c r="AA189" s="91">
        <f t="shared" si="28"/>
        <v>0</v>
      </c>
      <c r="AB189" s="118">
        <f t="shared" si="29"/>
        <v>0</v>
      </c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1"/>
    </row>
    <row r="190" spans="2:49">
      <c r="B190" s="114"/>
      <c r="C190" s="114"/>
      <c r="D190" s="114"/>
      <c r="E190" s="114"/>
      <c r="F190" s="114"/>
      <c r="G190" s="114"/>
      <c r="H190" s="3"/>
      <c r="I190" s="3"/>
      <c r="J190" s="114"/>
      <c r="K190" s="3"/>
      <c r="L190" s="3"/>
      <c r="M190" s="114"/>
      <c r="N190" s="3"/>
      <c r="O190" s="3"/>
      <c r="P190" s="114"/>
      <c r="R190" s="66" t="s">
        <v>74</v>
      </c>
      <c r="S190" s="46">
        <f>COUNTIF($D$189:$P$189,"*상은*")+COUNTIF($D$194:$P$194,"*상은*")+COUNTIF($D$199:$P$199,"*상은*")+COUNTIF($D$204:$P$204,"*상은*")+COUNTIF($D$213:$P$213,"*상은*")</f>
        <v>0</v>
      </c>
      <c r="T190" s="166">
        <f>COUNTIF($D$190:$P$190,"*상은*")+COUNTIF($D$195:$P$195,"*상은*")+COUNTIF($D$200:$P$200,"*상은*")+COUNTIF($D$205:$P$205,"*상은*")+COUNTIF($D$214:$P$214,"*상은*")</f>
        <v>0</v>
      </c>
      <c r="U190" s="46">
        <f>S190*2+T190</f>
        <v>0</v>
      </c>
      <c r="V190" s="82">
        <f>COUNTIF($D$204:$P$205,"*상은*")</f>
        <v>0</v>
      </c>
      <c r="W190" s="3"/>
      <c r="X190" s="35">
        <f>COUNTIF($AC$76:$AO$76,"*상은*")+COUNTIF($AC$78:$AO$78,"*상은*")+COUNTIF($AC$79:$AO$79,"*상은*")+COUNTIF($AC$80:$AO$80,"*상은*")+COUNTIF($AC$82:$AO$82,"*상은*")</f>
        <v>0</v>
      </c>
      <c r="Y190" s="3"/>
      <c r="Z190" s="48">
        <f t="shared" si="27"/>
        <v>6</v>
      </c>
      <c r="AA190" s="91">
        <f t="shared" si="28"/>
        <v>0</v>
      </c>
      <c r="AB190" s="118">
        <f t="shared" si="29"/>
        <v>0</v>
      </c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1"/>
    </row>
    <row r="191" spans="2:49">
      <c r="B191" s="114"/>
      <c r="C191" s="114"/>
      <c r="D191" s="114"/>
      <c r="E191" s="114"/>
      <c r="F191" s="114"/>
      <c r="G191" s="114"/>
      <c r="H191" s="3"/>
      <c r="I191" s="3"/>
      <c r="J191" s="114"/>
      <c r="K191" s="3"/>
      <c r="L191" s="3"/>
      <c r="M191" s="114"/>
      <c r="N191" s="3"/>
      <c r="O191" s="3"/>
      <c r="P191" s="114"/>
      <c r="R191" s="66" t="s">
        <v>12</v>
      </c>
      <c r="S191" s="46">
        <f>COUNTIF($D$189:$P$189,"*준범*")+COUNTIF($D$194:$P$194,"*준범*")+COUNTIF($D$199:$P$199,"*준범*")+COUNTIF($D$204:$P$204,"*준범*")+COUNTIF($D$213:$P$213,"*준범*")</f>
        <v>0</v>
      </c>
      <c r="T191" s="166">
        <f>COUNTIF($D$190:$P$190,"*준범*")+COUNTIF($D$195:$P$195,"*준범*")+COUNTIF($D$200:$P$200,"*준범*")+COUNTIF($D$205:$P$205,"*준범*")+COUNTIF($D$214:$P$214,"*준범*")</f>
        <v>0</v>
      </c>
      <c r="U191" s="46">
        <f>S191*2+T191</f>
        <v>0</v>
      </c>
      <c r="V191" s="82">
        <f>COUNTIF($D$204:$P$205,"*준범*")</f>
        <v>0</v>
      </c>
      <c r="W191" s="3"/>
      <c r="X191" s="35">
        <f>COUNTIF($AC$76:$AO$76,"*준범*")+COUNTIF($AC$78:$AO$78,"*준범*")+COUNTIF($AC$79:$AO$79,"*준범*")+COUNTIF($AC$80:$AO$80,"*준범*")+COUNTIF($AC$82:$AO$82,"*준범*")</f>
        <v>0</v>
      </c>
      <c r="Y191" s="3"/>
      <c r="Z191" s="48">
        <f>U191+Z155</f>
        <v>9</v>
      </c>
      <c r="AA191" s="91">
        <f>V191+AA155</f>
        <v>0</v>
      </c>
      <c r="AB191" s="118">
        <f>X191+AB155</f>
        <v>0</v>
      </c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1"/>
    </row>
    <row r="192" spans="2:49" ht="1.5" customHeight="1">
      <c r="B192" s="114"/>
      <c r="C192" s="114"/>
      <c r="D192" s="114"/>
      <c r="E192" s="3"/>
      <c r="F192" s="3"/>
      <c r="G192" s="3"/>
      <c r="H192" s="3"/>
      <c r="I192" s="3"/>
      <c r="J192" s="114"/>
      <c r="K192" s="3"/>
      <c r="L192" s="3"/>
      <c r="M192" s="3"/>
      <c r="N192" s="3"/>
      <c r="O192" s="3"/>
      <c r="P192" s="114"/>
      <c r="R192" s="66"/>
      <c r="S192" s="46"/>
      <c r="T192" s="166"/>
      <c r="U192" s="46"/>
      <c r="V192" s="82"/>
      <c r="W192" s="3"/>
      <c r="X192" s="35"/>
      <c r="Y192" s="3"/>
      <c r="Z192" s="48"/>
      <c r="AA192" s="91"/>
      <c r="AB192" s="118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1"/>
    </row>
    <row r="193" spans="2:42">
      <c r="B193" s="114"/>
      <c r="C193" s="114"/>
      <c r="D193" s="114"/>
      <c r="E193" s="114"/>
      <c r="F193" s="114"/>
      <c r="G193" s="114"/>
      <c r="H193" s="3"/>
      <c r="I193" s="3"/>
      <c r="J193" s="114"/>
      <c r="K193" s="3"/>
      <c r="L193" s="3"/>
      <c r="M193" s="114"/>
      <c r="N193" s="3"/>
      <c r="O193" s="3"/>
      <c r="P193" s="114"/>
      <c r="R193" s="66" t="s">
        <v>103</v>
      </c>
      <c r="S193" s="46">
        <f>COUNTIF($D$189:$P$189,"*슬비*")+COUNTIF($D$194:$P$194,"*슬비*")+COUNTIF($D$199:$P$199,"*슬비*")+COUNTIF($D$204:$P$204,"*슬비*")+COUNTIF($D$213:$P$213,"*슬비*")</f>
        <v>0</v>
      </c>
      <c r="T193" s="166">
        <f>COUNTIF($D$190:$P$190,"*슬비*")+COUNTIF($D$195:$P$195,"*슬비*")+COUNTIF($D$200:$P$200,"*슬비*")+COUNTIF($D$205:$P$205,"*슬비*")+COUNTIF($D$214:$P$214,"*슬비*")</f>
        <v>0</v>
      </c>
      <c r="U193" s="46">
        <f>S193*2+T193</f>
        <v>0</v>
      </c>
      <c r="V193" s="82">
        <f>COUNTIF($D$204:$P$205,"*슬비*")</f>
        <v>0</v>
      </c>
      <c r="W193" s="3"/>
      <c r="X193" s="35">
        <f>COUNTIF($AC$76:$AO$76,"*슬비*")+COUNTIF($AC$78:$AO$78,"*슬비*")+COUNTIF($AC$79:$AO$79,"*슬비*")+COUNTIF($AC$80:$AO$80,"*슬비*")+COUNTIF($AC$82:$AO$82,"*슬비*")</f>
        <v>0</v>
      </c>
      <c r="Y193" s="3"/>
      <c r="Z193" s="48">
        <f>U193+Z156</f>
        <v>0</v>
      </c>
      <c r="AA193" s="91">
        <f t="shared" si="28"/>
        <v>0</v>
      </c>
      <c r="AB193" s="118">
        <f t="shared" si="29"/>
        <v>0</v>
      </c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1"/>
    </row>
    <row r="194" spans="2:42">
      <c r="B194" s="114"/>
      <c r="C194" s="114"/>
      <c r="D194" s="114"/>
      <c r="E194" s="114"/>
      <c r="F194" s="114"/>
      <c r="G194" s="114"/>
      <c r="H194" s="3"/>
      <c r="I194" s="3"/>
      <c r="J194" s="114"/>
      <c r="K194" s="3"/>
      <c r="L194" s="3"/>
      <c r="M194" s="114"/>
      <c r="N194" s="3"/>
      <c r="O194" s="3"/>
      <c r="P194" s="114"/>
      <c r="R194" s="66" t="s">
        <v>14</v>
      </c>
      <c r="S194" s="46">
        <f>COUNTIF($D$189:$P$189,"*최근*")+COUNTIF($D$194:$P$194,"*최근*")+COUNTIF($D$199:$P$199,"*최근*")+COUNTIF($D$204:$P$204,"*최근*")+COUNTIF($D$213:$P$213,"*최근*")</f>
        <v>0</v>
      </c>
      <c r="T194" s="166">
        <f>COUNTIF($D$190:$P$190,"*최근*")+COUNTIF($D$195:$P$195,"*최근*")+COUNTIF($D$200:$P$200,"*최근*")+COUNTIF($D$205:$P$205,"*최근*")+COUNTIF($D$214:$P$214,"*최근*")</f>
        <v>0</v>
      </c>
      <c r="U194" s="46">
        <f>S194*2+T194</f>
        <v>0</v>
      </c>
      <c r="V194" s="82">
        <f>COUNTIF($D$204:$P$205,"*최근*")</f>
        <v>0</v>
      </c>
      <c r="W194" s="3"/>
      <c r="X194" s="35">
        <f>COUNTIF($AC$76:$AO$76,"*최근*")+COUNTIF($AC$78:$AO$78,"*최근*")+COUNTIF($AC$79:$AO$79,"*최근*")+COUNTIF($AC$80:$AO$80,"*최근*")+COUNTIF($AC$82:$AO$82,"*최근*")</f>
        <v>0</v>
      </c>
      <c r="Y194" s="3"/>
      <c r="Z194" s="48">
        <f t="shared" ref="Z194:Z206" si="30">U194+Z157</f>
        <v>0</v>
      </c>
      <c r="AA194" s="91">
        <f t="shared" si="28"/>
        <v>0</v>
      </c>
      <c r="AB194" s="118">
        <f t="shared" si="29"/>
        <v>0</v>
      </c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1"/>
    </row>
    <row r="195" spans="2:42">
      <c r="B195" s="114"/>
      <c r="C195" s="114"/>
      <c r="D195" s="114"/>
      <c r="E195" s="114"/>
      <c r="F195" s="114"/>
      <c r="G195" s="114"/>
      <c r="H195" s="3"/>
      <c r="I195" s="3"/>
      <c r="J195" s="114"/>
      <c r="K195" s="3"/>
      <c r="L195" s="3"/>
      <c r="M195" s="114"/>
      <c r="N195" s="3"/>
      <c r="O195" s="3"/>
      <c r="P195" s="114"/>
      <c r="R195" s="66" t="s">
        <v>15</v>
      </c>
      <c r="S195" s="46">
        <f>COUNTIF($D$189:$P$189,"*상록*")+COUNTIF($D$194:$P$194,"*상록*")+COUNTIF($D$199:$P$199,"*상록*")+COUNTIF($D$204:$P$204,"*상록*")+COUNTIF($D$213:$P$213,"*상록*")</f>
        <v>0</v>
      </c>
      <c r="T195" s="166">
        <f>COUNTIF($D$190:$P$190,"*상록*")+COUNTIF($D$195:$P$195,"*상록*")+COUNTIF($D$200:$P$200,"*상록*")+COUNTIF($D$205:$P$205,"*상록*")+COUNTIF($D$214:$P$214,"*상록*")</f>
        <v>0</v>
      </c>
      <c r="U195" s="46">
        <f>S195*2+T195</f>
        <v>0</v>
      </c>
      <c r="V195" s="82">
        <f>COUNTIF($D$204:$P$205,"*상록*")</f>
        <v>0</v>
      </c>
      <c r="W195" s="114"/>
      <c r="X195" s="35">
        <f>COUNTIF($AC$76:$AO$76,"*상록*")+COUNTIF($AC$78:$AO$78,"*상록*")+COUNTIF($AC$79:$AO$79,"*상록*")+COUNTIF($AC$80:$AO$80,"*상록*")+COUNTIF($AC$82:$AO$82,"*상록*")</f>
        <v>0</v>
      </c>
      <c r="Y195" s="114"/>
      <c r="Z195" s="48">
        <f t="shared" si="30"/>
        <v>8</v>
      </c>
      <c r="AA195" s="91">
        <f t="shared" si="28"/>
        <v>0</v>
      </c>
      <c r="AB195" s="118">
        <f t="shared" si="29"/>
        <v>0</v>
      </c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1"/>
    </row>
    <row r="196" spans="2:42">
      <c r="B196" s="114"/>
      <c r="C196" s="114"/>
      <c r="D196" s="114"/>
      <c r="E196" s="114"/>
      <c r="F196" s="114"/>
      <c r="G196" s="114"/>
      <c r="H196" s="3"/>
      <c r="I196" s="3"/>
      <c r="J196" s="114"/>
      <c r="K196" s="3"/>
      <c r="L196" s="3"/>
      <c r="M196" s="114"/>
      <c r="N196" s="3"/>
      <c r="O196" s="3"/>
      <c r="P196" s="114"/>
      <c r="R196" s="66" t="s">
        <v>16</v>
      </c>
      <c r="S196" s="46">
        <f>COUNTIF($D$189:$P$189,"*신우*")+COUNTIF($D$194:$P$194,"*신우*")+COUNTIF($D$199:$P$199,"*신우*")+COUNTIF($D$204:$P$204,"*신우*")+COUNTIF($D$213:$P$213,"*신우*")</f>
        <v>0</v>
      </c>
      <c r="T196" s="166">
        <f>COUNTIF($D$190:$P$190,"*신우*")+COUNTIF($D$195:$P$195,"*신우*")+COUNTIF($D$200:$P$200,"*신우*")+COUNTIF($D$205:$P$205,"*신우*")+COUNTIF($D$214:$P$214,"*신우*")</f>
        <v>0</v>
      </c>
      <c r="U196" s="46">
        <f>S196*2+T196</f>
        <v>0</v>
      </c>
      <c r="V196" s="82">
        <f>COUNTIF($D$204:$P$205,"*신우*")</f>
        <v>0</v>
      </c>
      <c r="W196" s="114"/>
      <c r="X196" s="35">
        <f>COUNTIF($AC$76:$AO$76,"*신우*")+COUNTIF($AC$78:$AO$78,"*신우*")+COUNTIF($AC$79:$AO$79,"*신우*")+COUNTIF($AC$80:$AO$80,"*신우*")+COUNTIF($AC$82:$AO$82,"*신우*")</f>
        <v>0</v>
      </c>
      <c r="Y196" s="114"/>
      <c r="Z196" s="48">
        <f>U196+Z160</f>
        <v>4</v>
      </c>
      <c r="AA196" s="91">
        <f>V196+AA160</f>
        <v>0</v>
      </c>
      <c r="AB196" s="118">
        <f>X196+AB160</f>
        <v>0</v>
      </c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1"/>
    </row>
    <row r="197" spans="2:42" ht="1.5" customHeight="1">
      <c r="B197" s="114"/>
      <c r="C197" s="114"/>
      <c r="D197" s="114"/>
      <c r="E197" s="3"/>
      <c r="F197" s="3"/>
      <c r="G197" s="3"/>
      <c r="H197" s="3"/>
      <c r="I197" s="3"/>
      <c r="J197" s="114"/>
      <c r="K197" s="3"/>
      <c r="L197" s="3"/>
      <c r="M197" s="3"/>
      <c r="N197" s="3"/>
      <c r="O197" s="3"/>
      <c r="P197" s="114"/>
      <c r="R197" s="66"/>
      <c r="S197" s="50"/>
      <c r="T197" s="167"/>
      <c r="U197" s="50"/>
      <c r="V197" s="51"/>
      <c r="W197" s="114"/>
      <c r="X197" s="35"/>
      <c r="Y197" s="114"/>
      <c r="Z197" s="48"/>
      <c r="AA197" s="91"/>
      <c r="AB197" s="118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1"/>
    </row>
    <row r="198" spans="2:42">
      <c r="B198" s="114"/>
      <c r="C198" s="114"/>
      <c r="D198" s="114"/>
      <c r="E198" s="114"/>
      <c r="F198" s="114"/>
      <c r="G198" s="114"/>
      <c r="H198" s="3"/>
      <c r="I198" s="3"/>
      <c r="J198" s="114"/>
      <c r="K198" s="3"/>
      <c r="L198" s="3"/>
      <c r="M198" s="114"/>
      <c r="N198" s="3"/>
      <c r="O198" s="3"/>
      <c r="P198" s="114"/>
      <c r="R198" s="66" t="s">
        <v>17</v>
      </c>
      <c r="S198" s="46">
        <f>COUNTIF($D$189:$P$189,"*다운*")+COUNTIF($D$194:$P$194,"*다운*")+COUNTIF($D$199:$P$199,"*다운*")+COUNTIF($D$204:$P$204,"*다운*")+COUNTIF($D$213:$P$213,"*다운*")</f>
        <v>0</v>
      </c>
      <c r="T198" s="166">
        <f>COUNTIF($D$190:$P$190,"*다운*")+COUNTIF($D$195:$P$195,"*다운*")+COUNTIF($D$200:$P$200,"*다운*")+COUNTIF($D$205:$P$205,"*다운*")+COUNTIF($D$214:$P$214,"*다운*")</f>
        <v>0</v>
      </c>
      <c r="U198" s="46">
        <f>S198*2+T198</f>
        <v>0</v>
      </c>
      <c r="V198" s="82">
        <f>COUNTIF($D$204:$P$205,"*다운*")</f>
        <v>0</v>
      </c>
      <c r="W198" s="114"/>
      <c r="X198" s="35">
        <f>COUNTIF($AC$76:$AO$76,"*다운*")+COUNTIF($AC$78:$AO$78,"*다운*")+COUNTIF($AC$79:$AO$79,"*다운*")+COUNTIF($AC$80:$AO$80,"*다운*")+COUNTIF($AC$82:$AO$82,"*다운*")</f>
        <v>0</v>
      </c>
      <c r="Y198" s="114"/>
      <c r="Z198" s="48">
        <f t="shared" si="30"/>
        <v>0</v>
      </c>
      <c r="AA198" s="91">
        <f t="shared" si="28"/>
        <v>0</v>
      </c>
      <c r="AB198" s="118">
        <f t="shared" si="29"/>
        <v>0</v>
      </c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1"/>
    </row>
    <row r="199" spans="2:42">
      <c r="B199" s="114"/>
      <c r="C199" s="114"/>
      <c r="D199" s="114"/>
      <c r="E199" s="114"/>
      <c r="F199" s="114"/>
      <c r="G199" s="114"/>
      <c r="H199" s="3"/>
      <c r="I199" s="3"/>
      <c r="J199" s="114"/>
      <c r="K199" s="3"/>
      <c r="L199" s="3"/>
      <c r="M199" s="114"/>
      <c r="N199" s="3"/>
      <c r="O199" s="3"/>
      <c r="P199" s="114"/>
      <c r="R199" s="66" t="s">
        <v>18</v>
      </c>
      <c r="S199" s="46">
        <f>COUNTIF($D$189:$P$189,"*지성*")+COUNTIF($D$194:$P$194,"*지성*")+COUNTIF($D$199:$P$199,"*지성*")+COUNTIF($D$204:$P$204,"*지성*")+COUNTIF($D$213:$P$213,"*지성*")</f>
        <v>0</v>
      </c>
      <c r="T199" s="166">
        <f>COUNTIF($D$190:$P$190,"*지성*")+COUNTIF($D$195:$P$195,"*지성*")+COUNTIF($D$200:$P$200,"*지성*")+COUNTIF($D$205:$P$205,"*지성*")+COUNTIF($D$214:$P$214,"*지성*")</f>
        <v>0</v>
      </c>
      <c r="U199" s="46">
        <f>S199*2+T199</f>
        <v>0</v>
      </c>
      <c r="V199" s="82">
        <f>COUNTIF($D$204:$P$205,"*지성*")</f>
        <v>0</v>
      </c>
      <c r="W199" s="114"/>
      <c r="X199" s="35">
        <f>COUNTIF($AC$76:$AO$76,"*지성*")+COUNTIF($AC$78:$AO$78,"*지성*")+COUNTIF($AC$79:$AO$79,"*지성*")+COUNTIF($AC$80:$AO$80,"*지성*")+COUNTIF($AC$82:$AO$82,"*지성*")</f>
        <v>0</v>
      </c>
      <c r="Y199" s="114"/>
      <c r="Z199" s="48">
        <f t="shared" si="30"/>
        <v>3</v>
      </c>
      <c r="AA199" s="91">
        <f t="shared" si="28"/>
        <v>0</v>
      </c>
      <c r="AB199" s="118">
        <f t="shared" si="29"/>
        <v>0</v>
      </c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1"/>
    </row>
    <row r="200" spans="2:42">
      <c r="B200" s="114"/>
      <c r="C200" s="114"/>
      <c r="D200" s="114"/>
      <c r="E200" s="114"/>
      <c r="F200" s="114"/>
      <c r="G200" s="114"/>
      <c r="H200" s="3"/>
      <c r="I200" s="3"/>
      <c r="J200" s="114"/>
      <c r="K200" s="3"/>
      <c r="L200" s="3"/>
      <c r="M200" s="114"/>
      <c r="N200" s="3"/>
      <c r="O200" s="3"/>
      <c r="P200" s="114"/>
      <c r="R200" s="66" t="s">
        <v>19</v>
      </c>
      <c r="S200" s="46">
        <f>COUNTIF($D$189:$P$189,"*용철*")+COUNTIF($D$194:$P$194,"*용철*")+COUNTIF($D$199:$P$199,"*용철*")+COUNTIF($D$204:$P$204,"*용철*")+COUNTIF($D$213:$P$213,"*용철*")</f>
        <v>0</v>
      </c>
      <c r="T200" s="166">
        <f>COUNTIF($D$190:$P$190,"*용철*")+COUNTIF($D$195:$P$195,"*용철*")+COUNTIF($D$200:$P$200,"*용철*")+COUNTIF($D$205:$P$205,"*용철*")+COUNTIF($D$214:$P$214,"*용철*")</f>
        <v>0</v>
      </c>
      <c r="U200" s="46">
        <f>S200*2+T200</f>
        <v>0</v>
      </c>
      <c r="V200" s="82">
        <f>COUNTIF($D$204:$P$205,"*용철*")</f>
        <v>0</v>
      </c>
      <c r="W200" s="114"/>
      <c r="X200" s="35">
        <f>COUNTIF($AC$76:$AO$76,"*용철*")+COUNTIF($AC$78:$AO$78,"*용철*")+COUNTIF($AC$79:$AO$79,"*용철*")+COUNTIF($AC$80:$AO$80,"*용철*")+COUNTIF($AC$82:$AO$82,"*용철*")</f>
        <v>0</v>
      </c>
      <c r="Y200" s="114"/>
      <c r="Z200" s="48">
        <f>U200+Z164</f>
        <v>5</v>
      </c>
      <c r="AA200" s="91">
        <f>V200+AA164</f>
        <v>0</v>
      </c>
      <c r="AB200" s="118">
        <f>X200+AB164</f>
        <v>0</v>
      </c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1"/>
    </row>
    <row r="201" spans="2:42">
      <c r="B201" s="114"/>
      <c r="C201" s="114"/>
      <c r="D201" s="114"/>
      <c r="E201" s="114"/>
      <c r="F201" s="114"/>
      <c r="G201" s="114"/>
      <c r="H201" s="3"/>
      <c r="I201" s="3"/>
      <c r="J201" s="114"/>
      <c r="K201" s="3"/>
      <c r="L201" s="3"/>
      <c r="M201" s="114"/>
      <c r="N201" s="3"/>
      <c r="O201" s="3"/>
      <c r="P201" s="114"/>
      <c r="R201" s="66" t="s">
        <v>20</v>
      </c>
      <c r="S201" s="46">
        <f>COUNTIF($D$189:$P$189,"*윤호*")+COUNTIF($D$194:$P$194,"*윤호*")+COUNTIF($D$199:$P$199,"*윤호*")+COUNTIF($D$204:$P$204,"*윤호*")+COUNTIF($D$213:$P$213,"*윤호*")</f>
        <v>0</v>
      </c>
      <c r="T201" s="166">
        <f>COUNTIF($D$190:$P$190,"*윤호*")+COUNTIF($D$195:$P$195,"*윤호*")+COUNTIF($D$200:$P$200,"*윤호*")+COUNTIF($D$205:$P$205,"*윤호*")+COUNTIF($D$214:$P$214,"*윤호*")</f>
        <v>0</v>
      </c>
      <c r="U201" s="46">
        <f>S201*2+T201</f>
        <v>0</v>
      </c>
      <c r="V201" s="82">
        <f>COUNTIF($D$204:$P$205,"*윤호*")</f>
        <v>0</v>
      </c>
      <c r="W201" s="114"/>
      <c r="X201" s="35">
        <f>COUNTIF($AC$76:$AO$76,"*윤호*")+COUNTIF($AC$78:$AO$78,"*윤호*")+COUNTIF($AC$79:$AO$79,"*윤호*")+COUNTIF($AC$80:$AO$80,"*윤호*")+COUNTIF($AC$82:$AO$82,"*윤호*")</f>
        <v>0</v>
      </c>
      <c r="Y201" s="114"/>
      <c r="Z201" s="48">
        <f>U201+Z165</f>
        <v>0</v>
      </c>
      <c r="AA201" s="91">
        <f>V201+AA165</f>
        <v>0</v>
      </c>
      <c r="AB201" s="118">
        <f>X201+AB165</f>
        <v>0</v>
      </c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1"/>
    </row>
    <row r="202" spans="2:42" ht="1.5" customHeight="1">
      <c r="B202" s="114"/>
      <c r="C202" s="114"/>
      <c r="D202" s="114"/>
      <c r="E202" s="3"/>
      <c r="F202" s="3"/>
      <c r="G202" s="3"/>
      <c r="H202" s="3"/>
      <c r="I202" s="3"/>
      <c r="J202" s="114"/>
      <c r="K202" s="3"/>
      <c r="L202" s="3"/>
      <c r="M202" s="3"/>
      <c r="N202" s="3"/>
      <c r="O202" s="3"/>
      <c r="P202" s="114"/>
      <c r="R202" s="66"/>
      <c r="S202" s="50"/>
      <c r="T202" s="167"/>
      <c r="U202" s="50"/>
      <c r="V202" s="51"/>
      <c r="W202" s="114"/>
      <c r="X202" s="35"/>
      <c r="Y202" s="114"/>
      <c r="Z202" s="48"/>
      <c r="AA202" s="91"/>
      <c r="AB202" s="118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1"/>
    </row>
    <row r="203" spans="2:42">
      <c r="B203" s="114"/>
      <c r="C203" s="114"/>
      <c r="D203" s="114"/>
      <c r="E203" s="114"/>
      <c r="F203" s="114"/>
      <c r="G203" s="114"/>
      <c r="H203" s="3"/>
      <c r="I203" s="3"/>
      <c r="J203" s="114"/>
      <c r="K203" s="3"/>
      <c r="L203" s="3"/>
      <c r="M203" s="114"/>
      <c r="N203" s="3"/>
      <c r="O203" s="3"/>
      <c r="P203" s="114"/>
      <c r="R203" s="66" t="s">
        <v>22</v>
      </c>
      <c r="S203" s="46">
        <f>COUNTIF($D$189:$P$189,"*정은*")+COUNTIF($D$194:$P$194,"*정은*")+COUNTIF($D$199:$P$199,"*정은*")+COUNTIF($D$204:$P$204,"*정은*")+COUNTIF($D$213:$P$213,"*정은*")</f>
        <v>0</v>
      </c>
      <c r="T203" s="166">
        <f>COUNTIF($D$190:$P$190,"*정은*")+COUNTIF($D$195:$P$195,"*정은*")+COUNTIF($D$200:$P$200,"*정은*")+COUNTIF($D$205:$P$205,"*정은*")+COUNTIF($D$214:$P$214,"*정은*")</f>
        <v>0</v>
      </c>
      <c r="U203" s="46">
        <f>S203*2+T203</f>
        <v>0</v>
      </c>
      <c r="V203" s="82">
        <f>COUNTIF($D$204:$P$205,"*정은*")</f>
        <v>0</v>
      </c>
      <c r="W203" s="114"/>
      <c r="X203" s="35">
        <f>COUNTIF($AC$76:$AO$76,"*정은*")+COUNTIF($AC$78:$AO$78,"*정은*")+COUNTIF($AC$79:$AO$79,"*정은*")+COUNTIF($AC$80:$AO$80,"*정은*")+COUNTIF($AC$82:$AO$82,"*정은*")</f>
        <v>0</v>
      </c>
      <c r="Y203" s="114"/>
      <c r="Z203" s="48">
        <f t="shared" si="30"/>
        <v>6</v>
      </c>
      <c r="AA203" s="91">
        <f t="shared" si="28"/>
        <v>1</v>
      </c>
      <c r="AB203" s="118">
        <f t="shared" si="29"/>
        <v>0</v>
      </c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1"/>
    </row>
    <row r="204" spans="2:42">
      <c r="B204" s="114"/>
      <c r="C204" s="114"/>
      <c r="D204" s="114"/>
      <c r="E204" s="114"/>
      <c r="F204" s="114"/>
      <c r="G204" s="114"/>
      <c r="H204" s="3"/>
      <c r="I204" s="3"/>
      <c r="J204" s="114"/>
      <c r="K204" s="3"/>
      <c r="L204" s="3"/>
      <c r="M204" s="114"/>
      <c r="N204" s="3"/>
      <c r="O204" s="3"/>
      <c r="P204" s="114"/>
      <c r="R204" s="66" t="s">
        <v>21</v>
      </c>
      <c r="S204" s="46">
        <f>COUNTIF($D$189:$P$189,"*지현*")+COUNTIF($D$194:$P$194,"*지현*")+COUNTIF($D$199:$P$199,"*지현*")+COUNTIF($D$204:$P$204,"*지현*")+COUNTIF($D$213:$P$213,"*지현*")</f>
        <v>0</v>
      </c>
      <c r="T204" s="166">
        <f>COUNTIF($D$190:$P$190,"*지현*")+COUNTIF($D$195:$P$195,"*지현*")+COUNTIF($D$200:$P$200,"*지현*")+COUNTIF($D$205:$P$205,"*지현*")+COUNTIF($D$214:$P$214,"*지현*")</f>
        <v>0</v>
      </c>
      <c r="U204" s="46">
        <f>S204*2+T204</f>
        <v>0</v>
      </c>
      <c r="V204" s="82">
        <f>COUNTIF($D$204:$P$205,"*지현*")</f>
        <v>0</v>
      </c>
      <c r="W204" s="114"/>
      <c r="X204" s="35">
        <f>COUNTIF($AC$76:$AO$76,"*지현*")+COUNTIF($AC$78:$AO$78,"*지현*")+COUNTIF($AC$79:$AO$79,"*지현*")+COUNTIF($AC$80:$AO$80,"*지현*")+COUNTIF($AC$82:$AO$82,"*지현*")</f>
        <v>0</v>
      </c>
      <c r="Y204" s="114"/>
      <c r="Z204" s="48">
        <f t="shared" si="30"/>
        <v>9</v>
      </c>
      <c r="AA204" s="91">
        <f t="shared" si="28"/>
        <v>1</v>
      </c>
      <c r="AB204" s="118">
        <f t="shared" si="29"/>
        <v>0</v>
      </c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1"/>
    </row>
    <row r="205" spans="2:42">
      <c r="B205" s="114"/>
      <c r="C205" s="114"/>
      <c r="D205" s="114"/>
      <c r="E205" s="114"/>
      <c r="F205" s="114"/>
      <c r="G205" s="114"/>
      <c r="H205" s="3"/>
      <c r="I205" s="3"/>
      <c r="J205" s="114"/>
      <c r="K205" s="3"/>
      <c r="L205" s="3"/>
      <c r="M205" s="114"/>
      <c r="N205" s="3"/>
      <c r="O205" s="3"/>
      <c r="P205" s="114"/>
      <c r="R205" s="66" t="s">
        <v>75</v>
      </c>
      <c r="S205" s="46">
        <f>COUNTIF($D$189:$P$189,"*태우*")+COUNTIF($D$194:$P$194,"*태우*")+COUNTIF($D$199:$P$199,"*태우*")+COUNTIF($D$204:$P$204,"*태우*")+COUNTIF($D$213:$P$213,"*태우*")</f>
        <v>0</v>
      </c>
      <c r="T205" s="166">
        <f>COUNTIF($D$190:$P$190,"*태우*")+COUNTIF($D$195:$P$195,"*태우*")+COUNTIF($D$200:$P$200,"*태우*")+COUNTIF($D$205:$P$205,"*태우*")+COUNTIF($D$214:$P$214,"*태우*")</f>
        <v>0</v>
      </c>
      <c r="U205" s="46">
        <f>S205*2+T205</f>
        <v>0</v>
      </c>
      <c r="V205" s="3">
        <f>COUNTIF($D$204:$P$205,"*태우*")</f>
        <v>0</v>
      </c>
      <c r="W205" s="114"/>
      <c r="X205" s="35">
        <f>COUNTIF($AC$76:$AO$76,"*태우*")+COUNTIF($AC$78:$AO$78,"*태우*")+COUNTIF($AC$79:$AO$79,"*태우*")+COUNTIF($AC$80:$AO$80,"*태우*")+COUNTIF($AC$82:$AO$82,"*태우*")</f>
        <v>0</v>
      </c>
      <c r="Y205" s="114"/>
      <c r="Z205" s="48">
        <f>U205+Z169</f>
        <v>6</v>
      </c>
      <c r="AA205" s="91">
        <f>V205+AA169</f>
        <v>0</v>
      </c>
      <c r="AB205" s="118">
        <f>X205+AB169</f>
        <v>0</v>
      </c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1"/>
    </row>
    <row r="206" spans="2:42">
      <c r="B206" s="114"/>
      <c r="C206" s="114"/>
      <c r="D206" s="114"/>
      <c r="E206" s="114"/>
      <c r="F206" s="114"/>
      <c r="G206" s="114"/>
      <c r="H206" s="3"/>
      <c r="I206" s="3"/>
      <c r="J206" s="114"/>
      <c r="K206" s="3"/>
      <c r="L206" s="3"/>
      <c r="M206" s="114"/>
      <c r="N206" s="3"/>
      <c r="O206" s="3"/>
      <c r="P206" s="114"/>
      <c r="R206" s="66" t="s">
        <v>76</v>
      </c>
      <c r="S206" s="46">
        <f>COUNTIF($D$189:$P$189,"*훈*")+COUNTIF($D$194:$P$194,"*훈*")+COUNTIF($D$199:$P$199,"*훈*")+COUNTIF($D$204:$P$204,"*훈*")+COUNTIF($D$213:$P$213,"*훈*")</f>
        <v>0</v>
      </c>
      <c r="T206" s="166">
        <f>COUNTIF($D$190:$P$190,"*훈*")+COUNTIF($D$195:$P$195,"*훈*")+COUNTIF($D$200:$P$200,"*훈*")+COUNTIF($D$205:$P$205,"*훈*")+COUNTIF($D$214:$P$214,"*훈*")</f>
        <v>0</v>
      </c>
      <c r="U206" s="46">
        <f>S206*2+T206</f>
        <v>0</v>
      </c>
      <c r="V206" s="3">
        <f>COUNTIF($D$204:$P$205,"*훈*")</f>
        <v>0</v>
      </c>
      <c r="W206" s="3"/>
      <c r="X206" s="35">
        <f>COUNTIF($AC$76:$AO$76,"*훈*")+COUNTIF($AC$78:$AO$78,"*훈*")+COUNTIF($AC$79:$AO$79,"*훈*")+COUNTIF($AC$80:$AO$80,"*훈*")+COUNTIF($AC$82:$AO$82,"*훈*")</f>
        <v>0</v>
      </c>
      <c r="Y206" s="3"/>
      <c r="Z206" s="48">
        <f t="shared" si="30"/>
        <v>6</v>
      </c>
      <c r="AA206" s="91">
        <f>V206+AA170</f>
        <v>0</v>
      </c>
      <c r="AB206" s="118">
        <f>X206+AB170</f>
        <v>0</v>
      </c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1"/>
    </row>
    <row r="207" spans="2:42" ht="1.5" customHeight="1">
      <c r="B207" s="114"/>
      <c r="C207" s="114"/>
      <c r="D207" s="114"/>
      <c r="E207" s="3"/>
      <c r="F207" s="3"/>
      <c r="G207" s="3"/>
      <c r="H207" s="3"/>
      <c r="I207" s="3"/>
      <c r="J207" s="114"/>
      <c r="K207" s="3"/>
      <c r="L207" s="3"/>
      <c r="M207" s="3"/>
      <c r="N207" s="3"/>
      <c r="O207" s="3"/>
      <c r="P207" s="3"/>
      <c r="R207" s="66"/>
      <c r="S207" s="46"/>
      <c r="T207" s="166"/>
      <c r="U207" s="46"/>
      <c r="V207" s="3"/>
      <c r="W207" s="3"/>
      <c r="X207" s="35"/>
      <c r="Y207" s="3"/>
      <c r="Z207" s="48"/>
      <c r="AA207" s="91"/>
      <c r="AB207" s="118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1"/>
    </row>
    <row r="208" spans="2:42"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R208" s="66" t="s">
        <v>77</v>
      </c>
      <c r="S208" s="46">
        <f>COUNTIF($D$189:$P$189,"*누리*")+COUNTIF($D$194:$P$194,"*누리*")+COUNTIF($D$199:$P$199,"*누리*")+COUNTIF($D$204:$P$204,"*누리*")+COUNTIF($D$213:$P$213,"*누리*")</f>
        <v>0</v>
      </c>
      <c r="T208" s="166">
        <f>COUNTIF($D$190:$P$190,"*누리*")+COUNTIF($D$195:$P$195,"*누리*")+COUNTIF($D$200:$P$200,"*누리*")+COUNTIF($D$205:$P$205,"*누리*")+COUNTIF($D$214:$P$214,"*누리*")</f>
        <v>0</v>
      </c>
      <c r="U208" s="46">
        <f>S208*2+T208</f>
        <v>0</v>
      </c>
      <c r="V208" s="3">
        <f>COUNTIF($D$204:$P$205,"*누리*")</f>
        <v>0</v>
      </c>
      <c r="W208" s="3"/>
      <c r="X208" s="35">
        <f>COUNTIF($AC$76:$AO$76,"*누리*")+COUNTIF($AC$78:$AO$78,"*누리*")+COUNTIF($AC$79:$AO$79,"*누리*")+COUNTIF($AC$80:$AO$80,"*누리*")+COUNTIF($AC$82:$AO$82,"*누리*")</f>
        <v>0</v>
      </c>
      <c r="Y208" s="3"/>
      <c r="Z208" s="48">
        <f>U208+Z171</f>
        <v>8</v>
      </c>
      <c r="AA208" s="91">
        <f t="shared" si="28"/>
        <v>1</v>
      </c>
      <c r="AB208" s="118">
        <f t="shared" si="29"/>
        <v>0</v>
      </c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1"/>
    </row>
    <row r="209" spans="2:42">
      <c r="B209" s="3"/>
      <c r="C209" s="3"/>
      <c r="D209" s="3"/>
      <c r="E209" s="3"/>
      <c r="F209" s="3"/>
      <c r="G209" s="3"/>
      <c r="H209" s="3"/>
      <c r="I209" s="3"/>
      <c r="J209" s="114"/>
      <c r="K209" s="3"/>
      <c r="L209" s="3"/>
      <c r="M209" s="3"/>
      <c r="N209" s="3"/>
      <c r="O209" s="3"/>
      <c r="P209" s="3"/>
      <c r="R209" s="66" t="s">
        <v>88</v>
      </c>
      <c r="S209" s="46">
        <f>COUNTIF($D$189:$P$189,"*미소*")+COUNTIF($D$194:$P$194,"*미소*")+COUNTIF($D$199:$P$199,"*미소*")+COUNTIF($D$204:$P$204,"*미소*")+COUNTIF($D$213:$P$213,"*미소*")</f>
        <v>0</v>
      </c>
      <c r="T209" s="166">
        <f>COUNTIF($D$190:$P$190,"*미소*")+COUNTIF($D$195:$P$195,"*미소*")+COUNTIF($D$200:$P$200,"*미소*")+COUNTIF($D$205:$P$205,"*미소*")+COUNTIF($D$214:$P$214,"*미소*")</f>
        <v>0</v>
      </c>
      <c r="U209" s="46">
        <f>S209*2+T209</f>
        <v>0</v>
      </c>
      <c r="V209" s="3">
        <f>COUNTIF($D$204:$P$205,"*미소*")</f>
        <v>0</v>
      </c>
      <c r="W209" s="3"/>
      <c r="X209" s="35">
        <f>COUNTIF($AC$76:$AO$76,"*미소*")+COUNTIF($AC$78:$AO$78,"*미소*")+COUNTIF($AC$79:$AO$79,"*미소*")+COUNTIF($AC$80:$AO$80,"*미소*")+COUNTIF($AC$82:$AO$82,"*미소*")</f>
        <v>0</v>
      </c>
      <c r="Y209" s="3"/>
      <c r="Z209" s="48">
        <f>U209+Z172</f>
        <v>8</v>
      </c>
      <c r="AA209" s="91">
        <f t="shared" si="28"/>
        <v>1</v>
      </c>
      <c r="AB209" s="118">
        <f t="shared" si="29"/>
        <v>0</v>
      </c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1"/>
    </row>
    <row r="210" spans="2:42">
      <c r="B210" s="114"/>
      <c r="C210" s="114"/>
      <c r="D210" s="183"/>
      <c r="E210" s="224"/>
      <c r="F210" s="224"/>
      <c r="G210" s="224"/>
      <c r="H210" s="114"/>
      <c r="I210" s="114"/>
      <c r="J210" s="114"/>
      <c r="K210" s="114"/>
      <c r="L210" s="114"/>
      <c r="M210" s="114"/>
      <c r="N210" s="114"/>
      <c r="O210" s="114"/>
      <c r="P210" s="114"/>
      <c r="R210" s="4" t="s">
        <v>97</v>
      </c>
      <c r="S210" s="46">
        <f>COUNTIF($D$189:$P$189,"*소희*")+COUNTIF($D$194:$P$194,"*소희*")+COUNTIF($D$199:$P$199,"*소희*")+COUNTIF($D$204:$P$204,"*소희*")+COUNTIF($D$213:$P$213,"*소희*")</f>
        <v>0</v>
      </c>
      <c r="T210" s="82">
        <f>COUNTIF($D$190:$P$190,"*소희*")+COUNTIF($D$195:$P$195,"*소희*")+COUNTIF($D$200:$P$200,"*소희*")+COUNTIF($D$205:$P$205,"*소희*")+COUNTIF($D$214:$P$214,"*소희*")</f>
        <v>0</v>
      </c>
      <c r="U210" s="46">
        <f t="shared" ref="U210:U212" si="31">S210*2+T210</f>
        <v>0</v>
      </c>
      <c r="V210" s="3">
        <f>COUNTIF($D$204:$P$205,"*소희*")</f>
        <v>0</v>
      </c>
      <c r="W210" s="3"/>
      <c r="X210" s="3">
        <f>COUNTIF($AC$76:$AO$76,"*소희*")+COUNTIF($AC$78:$AO$78,"*소희*")+COUNTIF($AC$79:$AO$79,"*소희*")+COUNTIF($AC$80:$AO$80,"*소희*")+COUNTIF($AC$82:$AO$82,"*소희*")</f>
        <v>0</v>
      </c>
      <c r="Y210" s="113"/>
      <c r="Z210" s="48">
        <f t="shared" ref="Z210:Z212" si="32">U210+Z174</f>
        <v>8</v>
      </c>
      <c r="AA210" s="80">
        <f t="shared" ref="AA210:AA212" si="33">V210+AA174</f>
        <v>1</v>
      </c>
      <c r="AB210" s="118">
        <f>X210+AB174</f>
        <v>0</v>
      </c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1"/>
    </row>
    <row r="211" spans="2:42" ht="2.25" customHeight="1">
      <c r="B211" s="114"/>
      <c r="C211" s="114"/>
      <c r="D211" s="114"/>
      <c r="E211" s="114"/>
      <c r="F211" s="114"/>
      <c r="G211" s="114"/>
      <c r="H211" s="3"/>
      <c r="I211" s="3"/>
      <c r="J211" s="114"/>
      <c r="K211" s="114"/>
      <c r="L211" s="114"/>
      <c r="M211" s="114"/>
      <c r="N211" s="114"/>
      <c r="O211" s="114"/>
      <c r="P211" s="114"/>
      <c r="R211" s="113"/>
      <c r="S211" s="50"/>
      <c r="T211" s="51"/>
      <c r="U211" s="50"/>
      <c r="V211" s="114"/>
      <c r="W211" s="114"/>
      <c r="X211" s="114"/>
      <c r="Y211" s="113"/>
      <c r="Z211" s="48"/>
      <c r="AA211" s="80"/>
      <c r="AB211" s="118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1"/>
    </row>
    <row r="212" spans="2:42">
      <c r="B212" s="114"/>
      <c r="C212" s="114"/>
      <c r="D212" s="114"/>
      <c r="E212" s="114"/>
      <c r="F212" s="114"/>
      <c r="G212" s="114"/>
      <c r="H212" s="3"/>
      <c r="I212" s="3"/>
      <c r="J212" s="114"/>
      <c r="K212" s="3"/>
      <c r="L212" s="3"/>
      <c r="M212" s="114"/>
      <c r="N212" s="3"/>
      <c r="O212" s="3"/>
      <c r="P212" s="114"/>
      <c r="R212" s="54" t="s">
        <v>102</v>
      </c>
      <c r="S212" s="52">
        <f>COUNTIF($D$189:$P$189,"*현동*")+COUNTIF($D$194:$P$194,"*현동*")+COUNTIF($D$199:$P$199,"*현동*")+COUNTIF($D$204:$P$204,"*현동*")+COUNTIF($D$213:$P$213,"*현동*")</f>
        <v>0</v>
      </c>
      <c r="T212" s="205">
        <f>COUNTIF($D$190:$P$190,"*현동*")+COUNTIF($D$195:$P$195,"*현동*")+COUNTIF($D$200:$P$200,"*현동*")+COUNTIF($D$205:$P$205,"*현동*")+COUNTIF($D$214:$P$214,"*현동*")</f>
        <v>0</v>
      </c>
      <c r="U212" s="52">
        <f t="shared" si="31"/>
        <v>0</v>
      </c>
      <c r="V212" s="170">
        <f>COUNTIF($D$204:$P$205,"*현동*")</f>
        <v>0</v>
      </c>
      <c r="W212" s="170"/>
      <c r="X212" s="170">
        <f>COUNTIF($AC$76:$AO$76,"*현동*")+COUNTIF($AC$78:$AO$78,"*현동*")+COUNTIF($AC$79:$AO$79,"*현동*")+COUNTIF($AC$80:$AO$80,"*현동*")+COUNTIF($AC$82:$AO$82,"*현동*")</f>
        <v>0</v>
      </c>
      <c r="Y212" s="54"/>
      <c r="Z212" s="68">
        <f t="shared" si="32"/>
        <v>0</v>
      </c>
      <c r="AA212" s="212">
        <f t="shared" si="33"/>
        <v>0</v>
      </c>
      <c r="AB212" s="187">
        <f>X212+AB176</f>
        <v>0</v>
      </c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1"/>
    </row>
    <row r="213" spans="2:42">
      <c r="B213" s="114"/>
      <c r="C213" s="114"/>
      <c r="D213" s="114"/>
      <c r="E213" s="114"/>
      <c r="F213" s="114"/>
      <c r="G213" s="114"/>
      <c r="H213" s="3"/>
      <c r="I213" s="3"/>
      <c r="J213" s="114"/>
      <c r="K213" s="3"/>
      <c r="L213" s="3"/>
      <c r="M213" s="114"/>
      <c r="N213" s="3"/>
      <c r="O213" s="3"/>
      <c r="P213" s="114"/>
      <c r="R213" s="3"/>
      <c r="S213" s="82"/>
      <c r="T213" s="82"/>
      <c r="U213" s="82"/>
      <c r="V213" s="3"/>
      <c r="W213" s="3"/>
      <c r="X213" s="3"/>
      <c r="Y213" s="114"/>
      <c r="Z213" s="135"/>
      <c r="AA213" s="80"/>
      <c r="AB213" s="178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1"/>
    </row>
    <row r="214" spans="2:42">
      <c r="B214" s="114"/>
      <c r="C214" s="114"/>
      <c r="D214" s="114"/>
      <c r="E214" s="114"/>
      <c r="F214" s="114"/>
      <c r="G214" s="114"/>
      <c r="H214" s="3"/>
      <c r="I214" s="3"/>
      <c r="J214" s="114"/>
      <c r="K214" s="3"/>
      <c r="L214" s="3"/>
      <c r="M214" s="114"/>
      <c r="N214" s="3"/>
      <c r="O214" s="3"/>
      <c r="P214" s="114"/>
      <c r="R214" s="3"/>
      <c r="S214" s="82"/>
      <c r="T214" s="82"/>
      <c r="U214" s="82"/>
      <c r="V214" s="3"/>
      <c r="W214" s="3"/>
      <c r="X214" s="3"/>
      <c r="Y214" s="114"/>
      <c r="Z214" s="135"/>
      <c r="AA214" s="80"/>
      <c r="AB214" s="178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1"/>
    </row>
    <row r="215" spans="2:42">
      <c r="B215" s="114"/>
      <c r="C215" s="114"/>
      <c r="D215" s="114"/>
      <c r="E215" s="114"/>
      <c r="F215" s="114"/>
      <c r="G215" s="114"/>
      <c r="H215" s="3"/>
      <c r="I215" s="3"/>
      <c r="J215" s="114"/>
      <c r="K215" s="3"/>
      <c r="L215" s="3"/>
      <c r="M215" s="114"/>
      <c r="N215" s="3"/>
      <c r="O215" s="3"/>
      <c r="P215" s="114"/>
      <c r="R215" s="3"/>
      <c r="S215" s="82"/>
      <c r="T215" s="82"/>
      <c r="U215" s="82"/>
      <c r="V215" s="3"/>
      <c r="W215" s="3"/>
      <c r="X215" s="3"/>
      <c r="Y215" s="114"/>
      <c r="Z215" s="135"/>
      <c r="AA215" s="80"/>
      <c r="AB215" s="178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1"/>
    </row>
    <row r="216" spans="2:42">
      <c r="B216" s="7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R216" s="3"/>
      <c r="S216" s="82"/>
      <c r="T216" s="82"/>
      <c r="U216" s="82"/>
      <c r="V216" s="3"/>
      <c r="W216" s="3"/>
      <c r="X216" s="3"/>
      <c r="Y216" s="114"/>
      <c r="Z216" s="135"/>
      <c r="AA216" s="80"/>
      <c r="AB216" s="178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</row>
    <row r="217" spans="2:42">
      <c r="C217" s="74"/>
      <c r="R217" s="3"/>
      <c r="S217" s="82"/>
      <c r="T217" s="82"/>
      <c r="U217" s="82"/>
      <c r="V217" s="3"/>
      <c r="W217" s="3"/>
      <c r="X217" s="3"/>
      <c r="Y217" s="114"/>
      <c r="Z217" s="135"/>
      <c r="AA217" s="80"/>
      <c r="AB217" s="178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</row>
  </sheetData>
  <dataConsolidate/>
  <mergeCells count="80">
    <mergeCell ref="D32:P33"/>
    <mergeCell ref="D18:I18"/>
    <mergeCell ref="F19:I19"/>
    <mergeCell ref="K19:M19"/>
    <mergeCell ref="D42:P42"/>
    <mergeCell ref="B32:B37"/>
    <mergeCell ref="N19:P19"/>
    <mergeCell ref="D40:P40"/>
    <mergeCell ref="B28:B30"/>
    <mergeCell ref="D41:P41"/>
    <mergeCell ref="B24:B26"/>
    <mergeCell ref="B22:B23"/>
    <mergeCell ref="D25:P25"/>
    <mergeCell ref="D26:P26"/>
    <mergeCell ref="D21:J21"/>
    <mergeCell ref="K21:P21"/>
    <mergeCell ref="N22:P23"/>
    <mergeCell ref="B39:B41"/>
    <mergeCell ref="D39:P39"/>
    <mergeCell ref="D28:P28"/>
    <mergeCell ref="D24:P24"/>
    <mergeCell ref="D11:I11"/>
    <mergeCell ref="D12:I12"/>
    <mergeCell ref="D13:I13"/>
    <mergeCell ref="D34:P35"/>
    <mergeCell ref="D36:P37"/>
    <mergeCell ref="D29:P29"/>
    <mergeCell ref="D30:P30"/>
    <mergeCell ref="N15:P15"/>
    <mergeCell ref="N16:P16"/>
    <mergeCell ref="N17:P17"/>
    <mergeCell ref="N18:P18"/>
    <mergeCell ref="B19:E19"/>
    <mergeCell ref="K18:M18"/>
    <mergeCell ref="D22:M22"/>
    <mergeCell ref="D23:M23"/>
    <mergeCell ref="D17:I17"/>
    <mergeCell ref="B5:P5"/>
    <mergeCell ref="D9:I9"/>
    <mergeCell ref="B7:P7"/>
    <mergeCell ref="D10:I10"/>
    <mergeCell ref="K9:M9"/>
    <mergeCell ref="K10:M10"/>
    <mergeCell ref="N9:P9"/>
    <mergeCell ref="N10:P10"/>
    <mergeCell ref="N11:P11"/>
    <mergeCell ref="N12:P12"/>
    <mergeCell ref="N13:P13"/>
    <mergeCell ref="N14:P14"/>
    <mergeCell ref="K17:M17"/>
    <mergeCell ref="K16:M16"/>
    <mergeCell ref="K11:M11"/>
    <mergeCell ref="K12:M12"/>
    <mergeCell ref="K13:M13"/>
    <mergeCell ref="D14:I14"/>
    <mergeCell ref="D15:I15"/>
    <mergeCell ref="K14:M14"/>
    <mergeCell ref="K15:M15"/>
    <mergeCell ref="D16:I16"/>
    <mergeCell ref="AC84:AO84"/>
    <mergeCell ref="B45:B47"/>
    <mergeCell ref="D44:P44"/>
    <mergeCell ref="D45:P45"/>
    <mergeCell ref="D46:P46"/>
    <mergeCell ref="D47:P47"/>
    <mergeCell ref="B42:B44"/>
    <mergeCell ref="D43:P43"/>
    <mergeCell ref="S54:X54"/>
    <mergeCell ref="D60:J60"/>
    <mergeCell ref="X84:AB84"/>
    <mergeCell ref="J56:P56"/>
    <mergeCell ref="J57:P57"/>
    <mergeCell ref="J58:P58"/>
    <mergeCell ref="S144:V144"/>
    <mergeCell ref="X144:AB144"/>
    <mergeCell ref="S84:V84"/>
    <mergeCell ref="J142:M142"/>
    <mergeCell ref="J141:M141"/>
    <mergeCell ref="J108:M108"/>
    <mergeCell ref="J107:M107"/>
  </mergeCells>
  <phoneticPr fontId="3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편성표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이효동</dc:creator>
  <cp:lastModifiedBy>USER</cp:lastModifiedBy>
  <cp:revision>15</cp:revision>
  <cp:lastPrinted>2020-10-18T23:46:38Z</cp:lastPrinted>
  <dcterms:created xsi:type="dcterms:W3CDTF">2014-01-16T13:44:40Z</dcterms:created>
  <dcterms:modified xsi:type="dcterms:W3CDTF">2020-10-24T07:02:45Z</dcterms:modified>
</cp:coreProperties>
</file>