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c5428768da686f3/Desktop/Daily Line Balancing Record/"/>
    </mc:Choice>
  </mc:AlternateContent>
  <xr:revisionPtr revIDLastSave="1174" documentId="13_ncr:1_{6BEBB57E-4254-4139-990B-A08BF7D4AC73}" xr6:coauthVersionLast="47" xr6:coauthVersionMax="47" xr10:uidLastSave="{0BFF2C7E-6608-4177-B549-A10B7914601E}"/>
  <bookViews>
    <workbookView xWindow="-108" yWindow="-108" windowWidth="23256" windowHeight="12456" xr2:uid="{00000000-000D-0000-FFFF-FFFF00000000}"/>
  </bookViews>
  <sheets>
    <sheet name="INPUT SHEET" sheetId="4" r:id="rId1"/>
    <sheet name="Dashboard" sheetId="6" r:id="rId2"/>
    <sheet name="Batch" sheetId="2" r:id="rId3"/>
    <sheet name="DRG-FC Calc" sheetId="7" r:id="rId4"/>
    <sheet name="Cross-Check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4" l="1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5" i="4"/>
  <c r="H4" i="8"/>
  <c r="K4" i="8"/>
  <c r="J10" i="8"/>
  <c r="J11" i="8"/>
  <c r="K13" i="8"/>
  <c r="D11" i="8"/>
  <c r="B31" i="4"/>
  <c r="B9" i="6" s="1"/>
  <c r="B32" i="4"/>
  <c r="B10" i="6" s="1"/>
  <c r="B33" i="4"/>
  <c r="B11" i="6" s="1"/>
  <c r="B34" i="4"/>
  <c r="B35" i="4"/>
  <c r="B36" i="4"/>
  <c r="B14" i="6" s="1"/>
  <c r="B37" i="4"/>
  <c r="B15" i="6" s="1"/>
  <c r="B38" i="4"/>
  <c r="B39" i="4"/>
  <c r="F39" i="4" s="1"/>
  <c r="F17" i="6" s="1"/>
  <c r="B40" i="4"/>
  <c r="B18" i="6" s="1"/>
  <c r="C11" i="8"/>
  <c r="B23" i="6"/>
  <c r="B24" i="6"/>
  <c r="B25" i="6"/>
  <c r="B26" i="6"/>
  <c r="B27" i="6"/>
  <c r="U18" i="6"/>
  <c r="J14" i="8" s="1"/>
  <c r="U17" i="6"/>
  <c r="J13" i="8" s="1"/>
  <c r="U16" i="6"/>
  <c r="J12" i="8" s="1"/>
  <c r="U15" i="6"/>
  <c r="U14" i="6"/>
  <c r="U13" i="6"/>
  <c r="J9" i="8" s="1"/>
  <c r="U12" i="6"/>
  <c r="J8" i="8" s="1"/>
  <c r="U11" i="6"/>
  <c r="J7" i="8" s="1"/>
  <c r="U10" i="6"/>
  <c r="J6" i="8" s="1"/>
  <c r="U9" i="6"/>
  <c r="J5" i="8" s="1"/>
  <c r="S18" i="6"/>
  <c r="G14" i="8" s="1"/>
  <c r="S17" i="6"/>
  <c r="G13" i="8" s="1"/>
  <c r="S16" i="6"/>
  <c r="G12" i="8" s="1"/>
  <c r="S15" i="6"/>
  <c r="G11" i="8" s="1"/>
  <c r="S14" i="6"/>
  <c r="G10" i="8" s="1"/>
  <c r="S13" i="6"/>
  <c r="G9" i="8" s="1"/>
  <c r="S12" i="6"/>
  <c r="G8" i="8" s="1"/>
  <c r="S11" i="6"/>
  <c r="G7" i="8" s="1"/>
  <c r="S10" i="6"/>
  <c r="G6" i="8" s="1"/>
  <c r="B21" i="6"/>
  <c r="B22" i="6"/>
  <c r="D22" i="6"/>
  <c r="F23" i="6"/>
  <c r="F24" i="6"/>
  <c r="F25" i="6"/>
  <c r="F26" i="6"/>
  <c r="F27" i="6"/>
  <c r="D23" i="6"/>
  <c r="H23" i="6"/>
  <c r="D24" i="6"/>
  <c r="H24" i="6"/>
  <c r="D25" i="6"/>
  <c r="H25" i="6"/>
  <c r="I25" i="6"/>
  <c r="D26" i="6"/>
  <c r="H26" i="6"/>
  <c r="I26" i="6"/>
  <c r="D27" i="6"/>
  <c r="H27" i="6"/>
  <c r="I27" i="6"/>
  <c r="S7" i="6"/>
  <c r="S8" i="6"/>
  <c r="G4" i="8" s="1"/>
  <c r="U8" i="6"/>
  <c r="J4" i="8" s="1"/>
  <c r="S9" i="6"/>
  <c r="G5" i="8" s="1"/>
  <c r="AE38" i="4"/>
  <c r="V16" i="6" s="1"/>
  <c r="K12" i="8" s="1"/>
  <c r="AE39" i="4"/>
  <c r="V17" i="6" s="1"/>
  <c r="AE41" i="4"/>
  <c r="V18" i="6" s="1"/>
  <c r="K14" i="8" s="1"/>
  <c r="AM7" i="4"/>
  <c r="AM8" i="4"/>
  <c r="AM10" i="4"/>
  <c r="AM12" i="4"/>
  <c r="AM16" i="4"/>
  <c r="AM17" i="4"/>
  <c r="AM18" i="4"/>
  <c r="AM19" i="4"/>
  <c r="AM20" i="4"/>
  <c r="AM24" i="4"/>
  <c r="AM25" i="4"/>
  <c r="AL7" i="4"/>
  <c r="AL8" i="4"/>
  <c r="AL10" i="4"/>
  <c r="AL12" i="4"/>
  <c r="AL16" i="4"/>
  <c r="AL17" i="4"/>
  <c r="AL18" i="4"/>
  <c r="AL19" i="4"/>
  <c r="AL20" i="4"/>
  <c r="AL24" i="4"/>
  <c r="AL25" i="4"/>
  <c r="AK7" i="4"/>
  <c r="AK8" i="4"/>
  <c r="AK10" i="4"/>
  <c r="AK12" i="4"/>
  <c r="AK16" i="4"/>
  <c r="AK17" i="4"/>
  <c r="AK18" i="4"/>
  <c r="AK19" i="4"/>
  <c r="AK20" i="4"/>
  <c r="AK24" i="4"/>
  <c r="AK25" i="4"/>
  <c r="AJ7" i="4"/>
  <c r="AJ8" i="4"/>
  <c r="AJ10" i="4"/>
  <c r="AJ12" i="4"/>
  <c r="AJ16" i="4"/>
  <c r="AJ17" i="4"/>
  <c r="AJ18" i="4"/>
  <c r="AJ19" i="4"/>
  <c r="AJ20" i="4"/>
  <c r="AJ24" i="4"/>
  <c r="AJ25" i="4"/>
  <c r="AI7" i="4"/>
  <c r="AI8" i="4"/>
  <c r="AI10" i="4"/>
  <c r="AI12" i="4"/>
  <c r="AI16" i="4"/>
  <c r="AI17" i="4"/>
  <c r="AI18" i="4"/>
  <c r="AI19" i="4"/>
  <c r="AI20" i="4"/>
  <c r="AI24" i="4"/>
  <c r="AI25" i="4"/>
  <c r="AH7" i="4"/>
  <c r="AH8" i="4"/>
  <c r="AH10" i="4"/>
  <c r="AH12" i="4"/>
  <c r="AH16" i="4"/>
  <c r="AH17" i="4"/>
  <c r="AH18" i="4"/>
  <c r="AH19" i="4"/>
  <c r="AH20" i="4"/>
  <c r="AH24" i="4"/>
  <c r="AH25" i="4"/>
  <c r="AG7" i="4"/>
  <c r="AG8" i="4"/>
  <c r="AG10" i="4"/>
  <c r="AG12" i="4"/>
  <c r="AG16" i="4"/>
  <c r="AG17" i="4"/>
  <c r="AG18" i="4"/>
  <c r="AG19" i="4"/>
  <c r="AG20" i="4"/>
  <c r="AG24" i="4"/>
  <c r="AG25" i="4"/>
  <c r="AF7" i="4"/>
  <c r="AF8" i="4"/>
  <c r="AF10" i="4"/>
  <c r="AF12" i="4"/>
  <c r="AF16" i="4"/>
  <c r="AF17" i="4"/>
  <c r="AF18" i="4"/>
  <c r="AF19" i="4"/>
  <c r="AF20" i="4"/>
  <c r="AF24" i="4"/>
  <c r="AF25" i="4"/>
  <c r="AE7" i="4"/>
  <c r="AE8" i="4"/>
  <c r="AE10" i="4"/>
  <c r="AE12" i="4"/>
  <c r="AE16" i="4"/>
  <c r="AE17" i="4"/>
  <c r="AE18" i="4"/>
  <c r="AE19" i="4"/>
  <c r="AE20" i="4"/>
  <c r="AE24" i="4"/>
  <c r="AE25" i="4"/>
  <c r="AD7" i="4"/>
  <c r="AD8" i="4"/>
  <c r="AD10" i="4"/>
  <c r="AD12" i="4"/>
  <c r="AD16" i="4"/>
  <c r="AD17" i="4"/>
  <c r="AD18" i="4"/>
  <c r="AD19" i="4"/>
  <c r="AD20" i="4"/>
  <c r="AD24" i="4"/>
  <c r="AD25" i="4"/>
  <c r="AC7" i="4"/>
  <c r="AC8" i="4"/>
  <c r="AC10" i="4"/>
  <c r="AC12" i="4"/>
  <c r="AC16" i="4"/>
  <c r="AC17" i="4"/>
  <c r="AC18" i="4"/>
  <c r="AC19" i="4"/>
  <c r="AC20" i="4"/>
  <c r="AC24" i="4"/>
  <c r="AC25" i="4"/>
  <c r="AB7" i="4"/>
  <c r="AB8" i="4"/>
  <c r="AB10" i="4"/>
  <c r="AB12" i="4"/>
  <c r="AB16" i="4"/>
  <c r="AB17" i="4"/>
  <c r="AB18" i="4"/>
  <c r="AB19" i="4"/>
  <c r="AB20" i="4"/>
  <c r="AB24" i="4"/>
  <c r="AB25" i="4"/>
  <c r="AA7" i="4"/>
  <c r="AA8" i="4"/>
  <c r="AA10" i="4"/>
  <c r="AA12" i="4"/>
  <c r="AA16" i="4"/>
  <c r="AA17" i="4"/>
  <c r="AA18" i="4"/>
  <c r="AA19" i="4"/>
  <c r="AA20" i="4"/>
  <c r="AA24" i="4"/>
  <c r="AA25" i="4"/>
  <c r="Z7" i="4"/>
  <c r="Z8" i="4"/>
  <c r="Z10" i="4"/>
  <c r="Z12" i="4"/>
  <c r="Z16" i="4"/>
  <c r="Z17" i="4"/>
  <c r="Z18" i="4"/>
  <c r="Z19" i="4"/>
  <c r="Z20" i="4"/>
  <c r="Z24" i="4"/>
  <c r="Z25" i="4"/>
  <c r="Y7" i="4"/>
  <c r="Y8" i="4"/>
  <c r="Y10" i="4"/>
  <c r="Y12" i="4"/>
  <c r="Y16" i="4"/>
  <c r="Y17" i="4"/>
  <c r="Y18" i="4"/>
  <c r="Y19" i="4"/>
  <c r="Y20" i="4"/>
  <c r="Y24" i="4"/>
  <c r="Y25" i="4"/>
  <c r="X7" i="4"/>
  <c r="X8" i="4"/>
  <c r="X10" i="4"/>
  <c r="X12" i="4"/>
  <c r="X16" i="4"/>
  <c r="X17" i="4"/>
  <c r="X18" i="4"/>
  <c r="X19" i="4"/>
  <c r="X20" i="4"/>
  <c r="X24" i="4"/>
  <c r="X25" i="4"/>
  <c r="W7" i="4"/>
  <c r="W8" i="4"/>
  <c r="W10" i="4"/>
  <c r="W12" i="4"/>
  <c r="W16" i="4"/>
  <c r="W17" i="4"/>
  <c r="W18" i="4"/>
  <c r="W19" i="4"/>
  <c r="W20" i="4"/>
  <c r="W24" i="4"/>
  <c r="W25" i="4"/>
  <c r="H64" i="7"/>
  <c r="G64" i="7"/>
  <c r="O7" i="6"/>
  <c r="O8" i="6"/>
  <c r="P8" i="6"/>
  <c r="Q8" i="6"/>
  <c r="K7" i="6"/>
  <c r="K8" i="6"/>
  <c r="L8" i="6"/>
  <c r="M8" i="6"/>
  <c r="F7" i="6"/>
  <c r="F8" i="6"/>
  <c r="G8" i="6"/>
  <c r="H8" i="6"/>
  <c r="I8" i="6"/>
  <c r="B7" i="6"/>
  <c r="B8" i="6"/>
  <c r="C8" i="6"/>
  <c r="B12" i="6"/>
  <c r="B13" i="6"/>
  <c r="F10" i="4"/>
  <c r="H10" i="4" s="1"/>
  <c r="I10" i="4" s="1"/>
  <c r="H39" i="4"/>
  <c r="H17" i="6" s="1"/>
  <c r="H50" i="7"/>
  <c r="H51" i="7"/>
  <c r="H52" i="7"/>
  <c r="H53" i="7"/>
  <c r="H54" i="7"/>
  <c r="H55" i="7"/>
  <c r="H56" i="7"/>
  <c r="H57" i="7"/>
  <c r="H58" i="7"/>
  <c r="H59" i="7"/>
  <c r="H49" i="7"/>
  <c r="G61" i="7"/>
  <c r="G59" i="7"/>
  <c r="G58" i="7"/>
  <c r="G57" i="7"/>
  <c r="G56" i="7"/>
  <c r="G55" i="7"/>
  <c r="G54" i="7"/>
  <c r="G53" i="7"/>
  <c r="G52" i="7"/>
  <c r="G60" i="7" s="1"/>
  <c r="G51" i="7"/>
  <c r="G50" i="7"/>
  <c r="G49" i="7"/>
  <c r="G43" i="7"/>
  <c r="G42" i="7"/>
  <c r="G41" i="7"/>
  <c r="G40" i="7"/>
  <c r="G39" i="7"/>
  <c r="G38" i="7"/>
  <c r="G37" i="7"/>
  <c r="G33" i="7"/>
  <c r="G32" i="7"/>
  <c r="G31" i="7"/>
  <c r="G30" i="7"/>
  <c r="G29" i="7"/>
  <c r="G28" i="7"/>
  <c r="G27" i="7"/>
  <c r="G23" i="7"/>
  <c r="G22" i="7"/>
  <c r="G21" i="7"/>
  <c r="G20" i="7"/>
  <c r="G19" i="7"/>
  <c r="G18" i="7"/>
  <c r="G17" i="7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L24" i="4"/>
  <c r="N24" i="4" s="1"/>
  <c r="O24" i="4" s="1"/>
  <c r="L25" i="4"/>
  <c r="N25" i="4" s="1"/>
  <c r="O25" i="4" s="1"/>
  <c r="D26" i="4"/>
  <c r="F13" i="4"/>
  <c r="H13" i="4" s="1"/>
  <c r="I13" i="4" s="1"/>
  <c r="F14" i="4"/>
  <c r="H14" i="4" s="1"/>
  <c r="I14" i="4" s="1"/>
  <c r="G39" i="4" l="1"/>
  <c r="G17" i="6" s="1"/>
  <c r="I39" i="4"/>
  <c r="I17" i="6" s="1"/>
  <c r="K39" i="4"/>
  <c r="M39" i="4" s="1"/>
  <c r="M17" i="6" s="1"/>
  <c r="L39" i="4"/>
  <c r="L17" i="6" s="1"/>
  <c r="O39" i="4"/>
  <c r="O17" i="6" s="1"/>
  <c r="B17" i="6"/>
  <c r="P39" i="4"/>
  <c r="P17" i="6" s="1"/>
  <c r="B16" i="6"/>
  <c r="U25" i="4"/>
  <c r="U24" i="4"/>
  <c r="R25" i="4"/>
  <c r="U10" i="4"/>
  <c r="R24" i="4"/>
  <c r="M24" i="4"/>
  <c r="M25" i="4"/>
  <c r="K17" i="6" l="1"/>
  <c r="Q39" i="4"/>
  <c r="Q17" i="6" s="1"/>
  <c r="U13" i="4"/>
  <c r="AA13" i="4"/>
  <c r="AL13" i="4"/>
  <c r="AJ13" i="4"/>
  <c r="AH13" i="4"/>
  <c r="AF13" i="4"/>
  <c r="AD13" i="4"/>
  <c r="AB13" i="4"/>
  <c r="Z13" i="4"/>
  <c r="X13" i="4"/>
  <c r="AK13" i="4"/>
  <c r="AI13" i="4"/>
  <c r="AG13" i="4"/>
  <c r="AE13" i="4"/>
  <c r="W13" i="4"/>
  <c r="AM13" i="4"/>
  <c r="AC13" i="4"/>
  <c r="Y13" i="4"/>
  <c r="U14" i="4"/>
  <c r="AM14" i="4"/>
  <c r="AI14" i="4"/>
  <c r="AE14" i="4"/>
  <c r="AA14" i="4"/>
  <c r="W14" i="4"/>
  <c r="AG14" i="4"/>
  <c r="AC14" i="4"/>
  <c r="AF14" i="4"/>
  <c r="X14" i="4"/>
  <c r="AK14" i="4"/>
  <c r="Y14" i="4"/>
  <c r="AJ14" i="4"/>
  <c r="AB14" i="4"/>
  <c r="AL14" i="4"/>
  <c r="AH14" i="4"/>
  <c r="AD14" i="4"/>
  <c r="Z14" i="4"/>
  <c r="R10" i="4"/>
  <c r="L10" i="4"/>
  <c r="L13" i="4"/>
  <c r="M13" i="4" s="1"/>
  <c r="L14" i="4"/>
  <c r="N14" i="4" s="1"/>
  <c r="O14" i="4" s="1"/>
  <c r="R14" i="4"/>
  <c r="I24" i="4"/>
  <c r="I25" i="4"/>
  <c r="B27" i="4"/>
  <c r="C39" i="4"/>
  <c r="F6" i="4"/>
  <c r="H6" i="4" s="1"/>
  <c r="C40" i="4" s="1"/>
  <c r="F7" i="4"/>
  <c r="H7" i="4" s="1"/>
  <c r="F8" i="4"/>
  <c r="H8" i="4" s="1"/>
  <c r="F9" i="4"/>
  <c r="H9" i="4" s="1"/>
  <c r="F11" i="4"/>
  <c r="H11" i="4" s="1"/>
  <c r="F12" i="4"/>
  <c r="H12" i="4" s="1"/>
  <c r="U12" i="4" s="1"/>
  <c r="F15" i="4"/>
  <c r="H15" i="4" s="1"/>
  <c r="F16" i="4"/>
  <c r="H16" i="4" s="1"/>
  <c r="U16" i="4" s="1"/>
  <c r="F17" i="4"/>
  <c r="H17" i="4" s="1"/>
  <c r="U17" i="4" s="1"/>
  <c r="F18" i="4"/>
  <c r="H18" i="4" s="1"/>
  <c r="F19" i="4"/>
  <c r="H19" i="4" s="1"/>
  <c r="U19" i="4" s="1"/>
  <c r="F20" i="4"/>
  <c r="H20" i="4" s="1"/>
  <c r="U20" i="4" s="1"/>
  <c r="F21" i="4"/>
  <c r="H21" i="4" s="1"/>
  <c r="F22" i="4"/>
  <c r="H22" i="4" s="1"/>
  <c r="F23" i="4"/>
  <c r="H23" i="4" s="1"/>
  <c r="F5" i="4"/>
  <c r="H5" i="4" s="1"/>
  <c r="C38" i="4" l="1"/>
  <c r="D38" i="4" s="1"/>
  <c r="D16" i="6" s="1"/>
  <c r="D40" i="4"/>
  <c r="D18" i="6" s="1"/>
  <c r="C18" i="6"/>
  <c r="U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AM15" i="4"/>
  <c r="AE15" i="4"/>
  <c r="W15" i="4"/>
  <c r="AJ15" i="4"/>
  <c r="AH15" i="4"/>
  <c r="AG15" i="4"/>
  <c r="X15" i="4"/>
  <c r="AL15" i="4"/>
  <c r="AD15" i="4"/>
  <c r="AB15" i="4"/>
  <c r="AI15" i="4"/>
  <c r="AA15" i="4"/>
  <c r="Z15" i="4"/>
  <c r="Y15" i="4"/>
  <c r="AK15" i="4"/>
  <c r="AC15" i="4"/>
  <c r="AF15" i="4"/>
  <c r="U11" i="4"/>
  <c r="AG11" i="4"/>
  <c r="Y11" i="4"/>
  <c r="AA11" i="4"/>
  <c r="AF11" i="4"/>
  <c r="X11" i="4"/>
  <c r="AH11" i="4"/>
  <c r="Z11" i="4"/>
  <c r="AM11" i="4"/>
  <c r="AE11" i="4"/>
  <c r="W11" i="4"/>
  <c r="AJ11" i="4"/>
  <c r="AB11" i="4"/>
  <c r="AL11" i="4"/>
  <c r="AD11" i="4"/>
  <c r="AI11" i="4"/>
  <c r="AK11" i="4"/>
  <c r="AC11" i="4"/>
  <c r="U22" i="4"/>
  <c r="P33" i="4" s="1"/>
  <c r="AH22" i="4"/>
  <c r="AM22" i="4"/>
  <c r="AK22" i="4"/>
  <c r="AI22" i="4"/>
  <c r="AG22" i="4"/>
  <c r="AE22" i="4"/>
  <c r="AC22" i="4"/>
  <c r="AA22" i="4"/>
  <c r="Y22" i="4"/>
  <c r="W22" i="4"/>
  <c r="AL22" i="4"/>
  <c r="AJ22" i="4"/>
  <c r="AF22" i="4"/>
  <c r="AD22" i="4"/>
  <c r="Z22" i="4"/>
  <c r="X22" i="4"/>
  <c r="AB22" i="4"/>
  <c r="U23" i="4"/>
  <c r="AG23" i="4"/>
  <c r="Y23" i="4"/>
  <c r="AE23" i="4"/>
  <c r="AH23" i="4"/>
  <c r="Z23" i="4"/>
  <c r="AF23" i="4"/>
  <c r="X23" i="4"/>
  <c r="AD23" i="4"/>
  <c r="AJ23" i="4"/>
  <c r="AB23" i="4"/>
  <c r="AM23" i="4"/>
  <c r="W23" i="4"/>
  <c r="AK23" i="4"/>
  <c r="AC23" i="4"/>
  <c r="AI23" i="4"/>
  <c r="AA23" i="4"/>
  <c r="AL23" i="4"/>
  <c r="U7" i="4"/>
  <c r="U15" i="4"/>
  <c r="P35" i="4" s="1"/>
  <c r="O35" i="4"/>
  <c r="U18" i="4"/>
  <c r="D39" i="4"/>
  <c r="D17" i="6" s="1"/>
  <c r="C17" i="6"/>
  <c r="M10" i="4"/>
  <c r="N10" i="4"/>
  <c r="O10" i="4" s="1"/>
  <c r="L15" i="4"/>
  <c r="M15" i="4" s="1"/>
  <c r="L21" i="4"/>
  <c r="N21" i="4" s="1"/>
  <c r="O21" i="4" s="1"/>
  <c r="R21" i="4"/>
  <c r="L11" i="4"/>
  <c r="N11" i="4" s="1"/>
  <c r="O11" i="4" s="1"/>
  <c r="R11" i="4"/>
  <c r="L20" i="4"/>
  <c r="N20" i="4" s="1"/>
  <c r="O20" i="4" s="1"/>
  <c r="R20" i="4"/>
  <c r="L19" i="4"/>
  <c r="N19" i="4" s="1"/>
  <c r="O19" i="4" s="1"/>
  <c r="R19" i="4"/>
  <c r="L18" i="4"/>
  <c r="M18" i="4" s="1"/>
  <c r="M14" i="4"/>
  <c r="L16" i="4"/>
  <c r="N16" i="4" s="1"/>
  <c r="O16" i="4" s="1"/>
  <c r="R16" i="4"/>
  <c r="L17" i="4"/>
  <c r="N17" i="4" s="1"/>
  <c r="O17" i="4" s="1"/>
  <c r="R17" i="4"/>
  <c r="L23" i="4"/>
  <c r="N23" i="4" s="1"/>
  <c r="O23" i="4" s="1"/>
  <c r="R23" i="4"/>
  <c r="L22" i="4"/>
  <c r="N22" i="4" s="1"/>
  <c r="O22" i="4" s="1"/>
  <c r="R22" i="4"/>
  <c r="L12" i="4"/>
  <c r="N12" i="4" s="1"/>
  <c r="O12" i="4" s="1"/>
  <c r="R12" i="4"/>
  <c r="R13" i="4"/>
  <c r="N13" i="4"/>
  <c r="I5" i="4"/>
  <c r="D27" i="4"/>
  <c r="I9" i="4"/>
  <c r="I8" i="4"/>
  <c r="M11" i="4"/>
  <c r="I12" i="4"/>
  <c r="I11" i="4"/>
  <c r="I22" i="4"/>
  <c r="I21" i="4"/>
  <c r="I7" i="4"/>
  <c r="I20" i="4"/>
  <c r="I6" i="4"/>
  <c r="I18" i="4"/>
  <c r="I17" i="4"/>
  <c r="C34" i="4"/>
  <c r="I16" i="4"/>
  <c r="C31" i="4"/>
  <c r="C27" i="4"/>
  <c r="I19" i="4"/>
  <c r="C36" i="4"/>
  <c r="I23" i="4"/>
  <c r="I15" i="4"/>
  <c r="C35" i="4"/>
  <c r="C32" i="4"/>
  <c r="C37" i="4"/>
  <c r="C33" i="4"/>
  <c r="C16" i="6" l="1"/>
  <c r="C9" i="6"/>
  <c r="C41" i="4"/>
  <c r="AL9" i="4"/>
  <c r="AD9" i="4"/>
  <c r="AF9" i="4"/>
  <c r="AA9" i="4"/>
  <c r="AG9" i="4"/>
  <c r="Y9" i="4"/>
  <c r="AE9" i="4"/>
  <c r="X9" i="4"/>
  <c r="AI9" i="4"/>
  <c r="AJ9" i="4"/>
  <c r="AB9" i="4"/>
  <c r="W9" i="4"/>
  <c r="AM9" i="4"/>
  <c r="AH9" i="4"/>
  <c r="Z9" i="4"/>
  <c r="AK9" i="4"/>
  <c r="AC9" i="4"/>
  <c r="AJ5" i="4"/>
  <c r="AF5" i="4"/>
  <c r="AB5" i="4"/>
  <c r="X5" i="4"/>
  <c r="AD5" i="4"/>
  <c r="AM5" i="4"/>
  <c r="AI5" i="4"/>
  <c r="AE5" i="4"/>
  <c r="AH5" i="4"/>
  <c r="AA5" i="4"/>
  <c r="W5" i="4"/>
  <c r="AK5" i="4"/>
  <c r="AG5" i="4"/>
  <c r="AC5" i="4"/>
  <c r="Y5" i="4"/>
  <c r="AL5" i="4"/>
  <c r="Z5" i="4"/>
  <c r="AL6" i="4"/>
  <c r="AD6" i="4"/>
  <c r="AG6" i="4"/>
  <c r="Z6" i="4"/>
  <c r="AA6" i="4"/>
  <c r="AJ6" i="4"/>
  <c r="AB6" i="4"/>
  <c r="AM6" i="4"/>
  <c r="AE6" i="4"/>
  <c r="W6" i="4"/>
  <c r="Y6" i="4"/>
  <c r="AI6" i="4"/>
  <c r="AF6" i="4"/>
  <c r="X6" i="4"/>
  <c r="AH6" i="4"/>
  <c r="AK6" i="4"/>
  <c r="AC6" i="4"/>
  <c r="M21" i="4"/>
  <c r="O33" i="4"/>
  <c r="O11" i="6" s="1"/>
  <c r="L6" i="4"/>
  <c r="R7" i="4"/>
  <c r="L7" i="4"/>
  <c r="N7" i="4" s="1"/>
  <c r="O37" i="4"/>
  <c r="O15" i="6" s="1"/>
  <c r="U8" i="4"/>
  <c r="O31" i="4"/>
  <c r="D33" i="4"/>
  <c r="D11" i="6" s="1"/>
  <c r="C11" i="6"/>
  <c r="D37" i="4"/>
  <c r="D15" i="6" s="1"/>
  <c r="C15" i="6"/>
  <c r="D32" i="4"/>
  <c r="D10" i="6" s="1"/>
  <c r="C10" i="6"/>
  <c r="D35" i="4"/>
  <c r="D13" i="6" s="1"/>
  <c r="C13" i="6"/>
  <c r="D36" i="4"/>
  <c r="D14" i="6" s="1"/>
  <c r="C14" i="6"/>
  <c r="M17" i="4"/>
  <c r="D34" i="4"/>
  <c r="D12" i="6" s="1"/>
  <c r="C12" i="6"/>
  <c r="M12" i="4"/>
  <c r="M19" i="4"/>
  <c r="M22" i="4"/>
  <c r="M16" i="4"/>
  <c r="L8" i="4"/>
  <c r="M8" i="4" s="1"/>
  <c r="K33" i="4"/>
  <c r="L9" i="4"/>
  <c r="M9" i="4" s="1"/>
  <c r="G31" i="4" s="1"/>
  <c r="K32" i="4"/>
  <c r="R18" i="4"/>
  <c r="L5" i="4"/>
  <c r="N18" i="4"/>
  <c r="Q33" i="4"/>
  <c r="L33" i="4"/>
  <c r="M20" i="4"/>
  <c r="R15" i="4"/>
  <c r="O13" i="6"/>
  <c r="K35" i="4"/>
  <c r="H33" i="4"/>
  <c r="H11" i="6" s="1"/>
  <c r="O13" i="4"/>
  <c r="I33" i="4" s="1"/>
  <c r="I11" i="6" s="1"/>
  <c r="M23" i="4"/>
  <c r="F33" i="4"/>
  <c r="F11" i="6" s="1"/>
  <c r="N15" i="4"/>
  <c r="F35" i="4"/>
  <c r="F13" i="6" s="1"/>
  <c r="D31" i="4"/>
  <c r="D9" i="6" s="1"/>
  <c r="AJ26" i="4" l="1"/>
  <c r="Z34" i="4" s="1"/>
  <c r="G26" i="6" s="1"/>
  <c r="M7" i="4"/>
  <c r="AF26" i="4"/>
  <c r="X41" i="4" s="1"/>
  <c r="E27" i="6" s="1"/>
  <c r="K38" i="4"/>
  <c r="K16" i="6" s="1"/>
  <c r="F32" i="4"/>
  <c r="F10" i="6" s="1"/>
  <c r="F38" i="4"/>
  <c r="F16" i="6" s="1"/>
  <c r="U9" i="4"/>
  <c r="O32" i="4"/>
  <c r="O10" i="6" s="1"/>
  <c r="AC26" i="4"/>
  <c r="X37" i="4" s="1"/>
  <c r="E24" i="6" s="1"/>
  <c r="O34" i="4"/>
  <c r="O12" i="6" s="1"/>
  <c r="O38" i="4"/>
  <c r="O16" i="6" s="1"/>
  <c r="N6" i="4"/>
  <c r="F40" i="4"/>
  <c r="F18" i="6" s="1"/>
  <c r="U6" i="4"/>
  <c r="O40" i="4"/>
  <c r="O18" i="6" s="1"/>
  <c r="R6" i="4"/>
  <c r="K40" i="4"/>
  <c r="AK26" i="4"/>
  <c r="Z35" i="4" s="1"/>
  <c r="AE35" i="4" s="1"/>
  <c r="V13" i="6" s="1"/>
  <c r="K9" i="8" s="1"/>
  <c r="G9" i="6"/>
  <c r="AG26" i="4"/>
  <c r="Z31" i="4" s="1"/>
  <c r="G23" i="6" s="1"/>
  <c r="AD26" i="4"/>
  <c r="X38" i="4" s="1"/>
  <c r="E25" i="6" s="1"/>
  <c r="X26" i="4"/>
  <c r="X32" i="4" s="1"/>
  <c r="AC32" i="4" s="1"/>
  <c r="T10" i="6" s="1"/>
  <c r="H6" i="8" s="1"/>
  <c r="AL26" i="4"/>
  <c r="Z36" i="4" s="1"/>
  <c r="AE36" i="4" s="1"/>
  <c r="V14" i="6" s="1"/>
  <c r="K10" i="8" s="1"/>
  <c r="W26" i="4"/>
  <c r="X31" i="4" s="1"/>
  <c r="AC31" i="4" s="1"/>
  <c r="M6" i="4"/>
  <c r="AM26" i="4"/>
  <c r="Z37" i="4" s="1"/>
  <c r="AE37" i="4" s="1"/>
  <c r="V15" i="6" s="1"/>
  <c r="K11" i="8" s="1"/>
  <c r="Z26" i="4"/>
  <c r="X34" i="4" s="1"/>
  <c r="C26" i="6" s="1"/>
  <c r="AH26" i="4"/>
  <c r="Z32" i="4" s="1"/>
  <c r="AE32" i="4" s="1"/>
  <c r="V10" i="6" s="1"/>
  <c r="K6" i="8" s="1"/>
  <c r="AE26" i="4"/>
  <c r="X39" i="4" s="1"/>
  <c r="AC39" i="4" s="1"/>
  <c r="T17" i="6" s="1"/>
  <c r="H13" i="8" s="1"/>
  <c r="AA26" i="4"/>
  <c r="X35" i="4" s="1"/>
  <c r="AC35" i="4" s="1"/>
  <c r="T13" i="6" s="1"/>
  <c r="H9" i="8" s="1"/>
  <c r="Y26" i="4"/>
  <c r="X33" i="4" s="1"/>
  <c r="AC33" i="4" s="1"/>
  <c r="T11" i="6" s="1"/>
  <c r="H7" i="8" s="1"/>
  <c r="AI26" i="4"/>
  <c r="Z33" i="4" s="1"/>
  <c r="AE33" i="4" s="1"/>
  <c r="V11" i="6" s="1"/>
  <c r="K7" i="8" s="1"/>
  <c r="AB26" i="4"/>
  <c r="X36" i="4" s="1"/>
  <c r="E23" i="6" s="1"/>
  <c r="G35" i="4"/>
  <c r="G13" i="6" s="1"/>
  <c r="G33" i="4"/>
  <c r="G11" i="6" s="1"/>
  <c r="F37" i="4"/>
  <c r="F15" i="6" s="1"/>
  <c r="K37" i="4"/>
  <c r="K15" i="6" s="1"/>
  <c r="G37" i="4"/>
  <c r="G15" i="6" s="1"/>
  <c r="T26" i="4"/>
  <c r="U5" i="4"/>
  <c r="O36" i="4"/>
  <c r="O14" i="6" s="1"/>
  <c r="G32" i="4"/>
  <c r="G10" i="6" s="1"/>
  <c r="K11" i="6"/>
  <c r="M33" i="4"/>
  <c r="M11" i="6" s="1"/>
  <c r="K13" i="6"/>
  <c r="M35" i="4"/>
  <c r="K10" i="6"/>
  <c r="M32" i="4"/>
  <c r="Q11" i="6"/>
  <c r="P11" i="6"/>
  <c r="D41" i="4"/>
  <c r="D19" i="6" s="1"/>
  <c r="C19" i="6"/>
  <c r="L11" i="6"/>
  <c r="R9" i="4"/>
  <c r="L32" i="4" s="1"/>
  <c r="K31" i="4"/>
  <c r="O9" i="6"/>
  <c r="R5" i="4"/>
  <c r="L37" i="4" s="1"/>
  <c r="K36" i="4"/>
  <c r="Q26" i="4"/>
  <c r="R26" i="4" s="1"/>
  <c r="F36" i="4"/>
  <c r="F14" i="6" s="1"/>
  <c r="N5" i="4"/>
  <c r="F31" i="4"/>
  <c r="N9" i="4"/>
  <c r="H32" i="4" s="1"/>
  <c r="H10" i="6" s="1"/>
  <c r="O7" i="4"/>
  <c r="H37" i="4"/>
  <c r="H15" i="6" s="1"/>
  <c r="O15" i="4"/>
  <c r="I35" i="4" s="1"/>
  <c r="I13" i="6" s="1"/>
  <c r="H35" i="4"/>
  <c r="H13" i="6" s="1"/>
  <c r="R8" i="4"/>
  <c r="K34" i="4"/>
  <c r="L26" i="4"/>
  <c r="M5" i="4"/>
  <c r="G36" i="4" s="1"/>
  <c r="Q35" i="4"/>
  <c r="L35" i="4"/>
  <c r="O18" i="4"/>
  <c r="F34" i="4"/>
  <c r="F12" i="6" s="1"/>
  <c r="N8" i="4"/>
  <c r="M38" i="4" l="1"/>
  <c r="M16" i="6" s="1"/>
  <c r="AE34" i="4"/>
  <c r="V12" i="6" s="1"/>
  <c r="K8" i="8" s="1"/>
  <c r="AC41" i="4"/>
  <c r="T18" i="6" s="1"/>
  <c r="H14" i="8" s="1"/>
  <c r="AC38" i="4"/>
  <c r="T16" i="6" s="1"/>
  <c r="H12" i="8" s="1"/>
  <c r="P31" i="4"/>
  <c r="P32" i="4"/>
  <c r="Q32" i="4" s="1"/>
  <c r="Q10" i="6" s="1"/>
  <c r="AC37" i="4"/>
  <c r="T15" i="6" s="1"/>
  <c r="H11" i="8" s="1"/>
  <c r="H38" i="4"/>
  <c r="H16" i="6" s="1"/>
  <c r="G40" i="4"/>
  <c r="G18" i="6" s="1"/>
  <c r="G38" i="4"/>
  <c r="G16" i="6" s="1"/>
  <c r="P40" i="4"/>
  <c r="Q40" i="4" s="1"/>
  <c r="Q18" i="6" s="1"/>
  <c r="P38" i="4"/>
  <c r="L40" i="4"/>
  <c r="L18" i="6" s="1"/>
  <c r="L38" i="4"/>
  <c r="L16" i="6" s="1"/>
  <c r="AE31" i="4"/>
  <c r="V9" i="6" s="1"/>
  <c r="K5" i="8" s="1"/>
  <c r="P34" i="4"/>
  <c r="Q34" i="4" s="1"/>
  <c r="G34" i="4"/>
  <c r="G12" i="6" s="1"/>
  <c r="M40" i="4"/>
  <c r="M18" i="6" s="1"/>
  <c r="K18" i="6"/>
  <c r="G27" i="6"/>
  <c r="O6" i="4"/>
  <c r="H40" i="4"/>
  <c r="H18" i="6" s="1"/>
  <c r="O41" i="4"/>
  <c r="O19" i="6" s="1"/>
  <c r="F9" i="6"/>
  <c r="F41" i="4"/>
  <c r="F19" i="6" s="1"/>
  <c r="K41" i="4"/>
  <c r="K19" i="6" s="1"/>
  <c r="E26" i="6"/>
  <c r="C24" i="6"/>
  <c r="AC34" i="4"/>
  <c r="T12" i="6" s="1"/>
  <c r="H8" i="8" s="1"/>
  <c r="C23" i="6"/>
  <c r="I23" i="6"/>
  <c r="I24" i="6"/>
  <c r="G24" i="6"/>
  <c r="G25" i="6"/>
  <c r="C25" i="6"/>
  <c r="C27" i="6"/>
  <c r="AO27" i="4"/>
  <c r="Z43" i="4"/>
  <c r="AC36" i="4"/>
  <c r="T14" i="6" s="1"/>
  <c r="H10" i="8" s="1"/>
  <c r="T9" i="6"/>
  <c r="H5" i="8" s="1"/>
  <c r="M37" i="4"/>
  <c r="M15" i="6" s="1"/>
  <c r="P36" i="4"/>
  <c r="P37" i="4"/>
  <c r="Q37" i="4" s="1"/>
  <c r="Q15" i="6" s="1"/>
  <c r="I37" i="4"/>
  <c r="I15" i="6" s="1"/>
  <c r="M26" i="4"/>
  <c r="K14" i="6"/>
  <c r="M36" i="4"/>
  <c r="K9" i="6"/>
  <c r="M31" i="4"/>
  <c r="K12" i="6"/>
  <c r="M34" i="4"/>
  <c r="M10" i="6"/>
  <c r="L10" i="6"/>
  <c r="M13" i="6"/>
  <c r="L13" i="6"/>
  <c r="Q13" i="6"/>
  <c r="P13" i="6"/>
  <c r="L15" i="6"/>
  <c r="G14" i="6"/>
  <c r="L36" i="4"/>
  <c r="L34" i="4"/>
  <c r="O9" i="4"/>
  <c r="I31" i="4" s="1"/>
  <c r="H31" i="4"/>
  <c r="O8" i="4"/>
  <c r="I34" i="4" s="1"/>
  <c r="I12" i="6" s="1"/>
  <c r="H34" i="4"/>
  <c r="H12" i="6" s="1"/>
  <c r="O5" i="4"/>
  <c r="H36" i="4"/>
  <c r="H14" i="6" s="1"/>
  <c r="N26" i="4"/>
  <c r="L31" i="4"/>
  <c r="P10" i="6" l="1"/>
  <c r="P18" i="6"/>
  <c r="G41" i="4"/>
  <c r="G19" i="6" s="1"/>
  <c r="I32" i="4"/>
  <c r="I10" i="6" s="1"/>
  <c r="P16" i="6"/>
  <c r="Q38" i="4"/>
  <c r="Q16" i="6" s="1"/>
  <c r="I40" i="4"/>
  <c r="I18" i="6" s="1"/>
  <c r="I38" i="4"/>
  <c r="I16" i="6" s="1"/>
  <c r="I9" i="6"/>
  <c r="L9" i="6"/>
  <c r="L41" i="4"/>
  <c r="H9" i="6"/>
  <c r="H41" i="4"/>
  <c r="H19" i="6" s="1"/>
  <c r="Q36" i="4"/>
  <c r="Q14" i="6" s="1"/>
  <c r="P41" i="4"/>
  <c r="M41" i="4"/>
  <c r="AE43" i="4"/>
  <c r="P15" i="6"/>
  <c r="P9" i="6"/>
  <c r="Q31" i="4"/>
  <c r="M14" i="6"/>
  <c r="L14" i="6"/>
  <c r="P14" i="6"/>
  <c r="Q12" i="6"/>
  <c r="P12" i="6"/>
  <c r="M12" i="6"/>
  <c r="L12" i="6"/>
  <c r="M9" i="6"/>
  <c r="I36" i="4"/>
  <c r="O26" i="4"/>
  <c r="I41" i="4" l="1"/>
  <c r="I19" i="6" s="1"/>
  <c r="Q41" i="4"/>
  <c r="Q19" i="6" s="1"/>
  <c r="Q9" i="6"/>
  <c r="I14" i="6"/>
  <c r="P19" i="6"/>
  <c r="M19" i="6"/>
  <c r="L19" i="6"/>
</calcChain>
</file>

<file path=xl/sharedStrings.xml><?xml version="1.0" encoding="utf-8"?>
<sst xmlns="http://schemas.openxmlformats.org/spreadsheetml/2006/main" count="262" uniqueCount="89">
  <si>
    <t>Frame</t>
  </si>
  <si>
    <t>TPI</t>
  </si>
  <si>
    <t>RPM</t>
  </si>
  <si>
    <t>Production</t>
  </si>
  <si>
    <t>White</t>
  </si>
  <si>
    <t>CRT</t>
  </si>
  <si>
    <t>3rd Drawing</t>
  </si>
  <si>
    <t>Carriage</t>
  </si>
  <si>
    <t>Finisher Card</t>
  </si>
  <si>
    <t>F/C Machine</t>
  </si>
  <si>
    <t>Minute</t>
  </si>
  <si>
    <t>Hessian</t>
  </si>
  <si>
    <t>CRX</t>
  </si>
  <si>
    <t>IG</t>
  </si>
  <si>
    <t>Quality</t>
  </si>
  <si>
    <t>Delivery</t>
  </si>
  <si>
    <t>Batch</t>
  </si>
  <si>
    <t>Breaker Card</t>
  </si>
  <si>
    <t>Machine</t>
  </si>
  <si>
    <t>D1H</t>
  </si>
  <si>
    <t>D1J</t>
  </si>
  <si>
    <t>D2HT</t>
  </si>
  <si>
    <t>D2JT</t>
  </si>
  <si>
    <t>D3HT</t>
  </si>
  <si>
    <t>D3JT</t>
  </si>
  <si>
    <t>D2H</t>
  </si>
  <si>
    <t>D3H</t>
  </si>
  <si>
    <t>D3J</t>
  </si>
  <si>
    <t>E1H</t>
  </si>
  <si>
    <t>E2H</t>
  </si>
  <si>
    <t>BKD</t>
  </si>
  <si>
    <t>BMC</t>
  </si>
  <si>
    <t>D3JV</t>
  </si>
  <si>
    <t>D3HT(Red)</t>
  </si>
  <si>
    <t>D2HT (Red)</t>
  </si>
  <si>
    <t>Actual Count</t>
  </si>
  <si>
    <t>Vot</t>
  </si>
  <si>
    <t>OW</t>
  </si>
  <si>
    <t>HG</t>
  </si>
  <si>
    <t xml:space="preserve"> 3rd Drawing Machine</t>
  </si>
  <si>
    <t>M/C No</t>
  </si>
  <si>
    <t>m/min</t>
  </si>
  <si>
    <t>Dia (inch)</t>
  </si>
  <si>
    <t xml:space="preserve">Sliver Weight(kg/m) </t>
  </si>
  <si>
    <t>Total Length (m)/Head/Shift</t>
  </si>
  <si>
    <t>Kg/Head/Shift</t>
  </si>
  <si>
    <t>Inter Drawing</t>
  </si>
  <si>
    <t>2nd Drawing</t>
  </si>
  <si>
    <t>1st Drawing</t>
  </si>
  <si>
    <t>Kg/Machine</t>
  </si>
  <si>
    <t>Input</t>
  </si>
  <si>
    <t>1st - inter Drawing</t>
  </si>
  <si>
    <t>Quality-Wise Production</t>
  </si>
  <si>
    <t>Date</t>
  </si>
  <si>
    <t>B/C Machine</t>
  </si>
  <si>
    <t>1st - Inter  Drawing</t>
  </si>
  <si>
    <t>1st - Inter Drawing</t>
  </si>
  <si>
    <t>Total Length (m)/Shift</t>
  </si>
  <si>
    <t>IG (Raddish)</t>
  </si>
  <si>
    <t>H (2ply)</t>
  </si>
  <si>
    <t>SMR</t>
  </si>
  <si>
    <t>Grade</t>
  </si>
  <si>
    <t>Kg</t>
  </si>
  <si>
    <t>Required (kg)</t>
  </si>
  <si>
    <t>Jute Grade</t>
  </si>
  <si>
    <t>D2H(N)</t>
  </si>
  <si>
    <t>D3H (N)</t>
  </si>
  <si>
    <t>D3J (N)</t>
  </si>
  <si>
    <t>D3J (V)</t>
  </si>
  <si>
    <t>D2HT (R)</t>
  </si>
  <si>
    <t>D3HT R</t>
  </si>
  <si>
    <t>Required(kg)</t>
  </si>
  <si>
    <t>Shift-Wise Requisition</t>
  </si>
  <si>
    <t>Requisition Per Day</t>
  </si>
  <si>
    <t>Shift</t>
  </si>
  <si>
    <t>R/A</t>
  </si>
  <si>
    <t>ig</t>
  </si>
  <si>
    <t>crt</t>
  </si>
  <si>
    <t>v</t>
  </si>
  <si>
    <t>H</t>
  </si>
  <si>
    <t>Hess</t>
  </si>
  <si>
    <t>Floor Balanced</t>
  </si>
  <si>
    <t>calculated</t>
  </si>
  <si>
    <t>carriage</t>
  </si>
  <si>
    <t>Total</t>
  </si>
  <si>
    <t>Req.</t>
  </si>
  <si>
    <t>Jute Requisition Cross Check</t>
  </si>
  <si>
    <t>D3HT(R)</t>
  </si>
  <si>
    <t>11/12/24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</si>
</sst>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5D7E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4" xfId="0" applyBorder="1"/>
    <xf numFmtId="0" fontId="1" fillId="0" borderId="1" xfId="0" applyFont="1" applyBorder="1"/>
    <xf numFmtId="0" fontId="0" fillId="3" borderId="1" xfId="0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0" xfId="0" applyFill="1"/>
    <xf numFmtId="0" fontId="1" fillId="5" borderId="1" xfId="0" applyFont="1" applyFill="1" applyBorder="1"/>
    <xf numFmtId="9" fontId="1" fillId="5" borderId="1" xfId="0" applyNumberFormat="1" applyFont="1" applyFill="1" applyBorder="1"/>
    <xf numFmtId="0" fontId="1" fillId="6" borderId="1" xfId="0" applyFont="1" applyFill="1" applyBorder="1"/>
    <xf numFmtId="9" fontId="1" fillId="6" borderId="1" xfId="0" applyNumberFormat="1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1" fillId="0" borderId="0" xfId="0" applyNumberFormat="1" applyFont="1"/>
    <xf numFmtId="0" fontId="0" fillId="0" borderId="3" xfId="0" applyBorder="1" applyAlignment="1">
      <alignment horizontal="center"/>
    </xf>
    <xf numFmtId="0" fontId="0" fillId="0" borderId="3" xfId="0" applyBorder="1"/>
    <xf numFmtId="49" fontId="1" fillId="0" borderId="0" xfId="0" applyNumberFormat="1" applyFont="1"/>
    <xf numFmtId="0" fontId="1" fillId="9" borderId="0" xfId="0" applyFont="1" applyFill="1"/>
    <xf numFmtId="49" fontId="1" fillId="9" borderId="0" xfId="0" applyNumberFormat="1" applyFont="1" applyFill="1"/>
    <xf numFmtId="0" fontId="3" fillId="8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C00000"/>
      </font>
    </dxf>
    <dxf>
      <font>
        <color rgb="FF00B050"/>
      </font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5D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129539</xdr:colOff>
      <xdr:row>0</xdr:row>
      <xdr:rowOff>76200</xdr:rowOff>
    </xdr:from>
    <xdr:to>
      <xdr:col>9</xdr:col>
      <xdr:colOff>129539</xdr:colOff>
      <xdr:row>5</xdr:row>
      <xdr:rowOff>76200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590D458D-3442-BE26-008B-59B8D540EC04}"/>
            </a:ext>
          </a:extLst>
        </xdr:cNvPr>
        <xdr:cNvGrpSpPr/>
      </xdr:nvGrpSpPr>
      <xdr:grpSpPr>
        <a:xfrm>
          <a:off x="3352799" y="76200"/>
          <a:ext cx="1828800" cy="914400"/>
          <a:chOff x="2674619" y="76200"/>
          <a:chExt cx="1821180" cy="853440"/>
        </a:xfrm>
        <a:solidFill>
          <a:schemeClr val="accent1">
            <a:lumMod val="40000"/>
            <a:lumOff val="60000"/>
          </a:schemeClr>
        </a:solidFill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B67E89AD-54A3-DB8C-0D20-886602ECB5DB}"/>
              </a:ext>
            </a:extLst>
          </xdr:cNvPr>
          <xdr:cNvGrpSpPr/>
        </xdr:nvGrpSpPr>
        <xdr:grpSpPr>
          <a:xfrm>
            <a:off x="2674619" y="76200"/>
            <a:ext cx="1821180" cy="853440"/>
            <a:chOff x="1513797" y="220980"/>
            <a:chExt cx="1333500" cy="853440"/>
          </a:xfrm>
          <a:grpFill/>
        </xdr:grpSpPr>
        <xdr:sp macro="" textlink="">
          <xdr:nvSpPr>
            <xdr:cNvPr id="4" name="Rectangle: Rounded Corners 3">
              <a:extLst>
                <a:ext uri="{FF2B5EF4-FFF2-40B4-BE49-F238E27FC236}">
                  <a16:creationId xmlns:a16="http://schemas.microsoft.com/office/drawing/2014/main" id="{B45F823A-FB33-D35E-7B9A-BCE5D2530F0D}"/>
                </a:ext>
              </a:extLst>
            </xdr:cNvPr>
            <xdr:cNvSpPr/>
          </xdr:nvSpPr>
          <xdr:spPr>
            <a:xfrm>
              <a:off x="1513797" y="220980"/>
              <a:ext cx="1333500" cy="853440"/>
            </a:xfrm>
            <a:prstGeom prst="roundRect">
              <a:avLst/>
            </a:prstGeom>
            <a:grpFill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 kern="1200">
                  <a:noFill/>
                </a:rPr>
                <a:t>OUNT</a:t>
              </a:r>
            </a:p>
          </xdr:txBody>
        </xdr:sp>
        <xdr:sp macro="" textlink="'INPUT SHEET'!B27">
          <xdr:nvSpPr>
            <xdr:cNvPr id="5" name="TextBox 4">
              <a:extLst>
                <a:ext uri="{FF2B5EF4-FFF2-40B4-BE49-F238E27FC236}">
                  <a16:creationId xmlns:a16="http://schemas.microsoft.com/office/drawing/2014/main" id="{C2669A83-89D9-854E-71C0-3EED8C6A56BC}"/>
                </a:ext>
              </a:extLst>
            </xdr:cNvPr>
            <xdr:cNvSpPr txBox="1"/>
          </xdr:nvSpPr>
          <xdr:spPr>
            <a:xfrm>
              <a:off x="1911498" y="560324"/>
              <a:ext cx="606284" cy="33528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A791CD73-DC85-4619-B813-5BC7F966DF5D}" type="TxLink">
                <a:rPr lang="en-US" sz="1600" b="1" i="0" u="none" strike="noStrike" kern="120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9.78</a:t>
              </a:fld>
              <a:endParaRPr lang="en-US" sz="1600" b="1" kern="1200">
                <a:noFill/>
              </a:endParaRPr>
            </a:p>
          </xdr:txBody>
        </xdr:sp>
      </xdr:grp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E62EB6F2-961C-E15B-6B45-C2F51608E0DF}"/>
              </a:ext>
            </a:extLst>
          </xdr:cNvPr>
          <xdr:cNvSpPr txBox="1"/>
        </xdr:nvSpPr>
        <xdr:spPr>
          <a:xfrm>
            <a:off x="2970562" y="83312"/>
            <a:ext cx="1358297" cy="32004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kern="1200"/>
              <a:t>Average Count</a:t>
            </a:r>
          </a:p>
        </xdr:txBody>
      </xdr:sp>
    </xdr:grpSp>
    <xdr:clientData/>
  </xdr:twoCellAnchor>
  <xdr:twoCellAnchor editAs="absolute">
    <xdr:from>
      <xdr:col>10</xdr:col>
      <xdr:colOff>144780</xdr:colOff>
      <xdr:row>0</xdr:row>
      <xdr:rowOff>83820</xdr:rowOff>
    </xdr:from>
    <xdr:to>
      <xdr:col>13</xdr:col>
      <xdr:colOff>144780</xdr:colOff>
      <xdr:row>5</xdr:row>
      <xdr:rowOff>99060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8B134F68-9D01-5809-4D66-BFB9468C91A5}"/>
            </a:ext>
          </a:extLst>
        </xdr:cNvPr>
        <xdr:cNvGrpSpPr/>
      </xdr:nvGrpSpPr>
      <xdr:grpSpPr>
        <a:xfrm>
          <a:off x="5501640" y="83820"/>
          <a:ext cx="1828800" cy="929640"/>
          <a:chOff x="1836420" y="190500"/>
          <a:chExt cx="1333500" cy="853440"/>
        </a:xfrm>
        <a:solidFill>
          <a:schemeClr val="accent1">
            <a:lumMod val="40000"/>
            <a:lumOff val="60000"/>
          </a:schemeClr>
        </a:solidFill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85D3680E-F910-4A7B-B675-31868B29737F}"/>
              </a:ext>
            </a:extLst>
          </xdr:cNvPr>
          <xdr:cNvGrpSpPr/>
        </xdr:nvGrpSpPr>
        <xdr:grpSpPr>
          <a:xfrm>
            <a:off x="1836420" y="190500"/>
            <a:ext cx="1333500" cy="853440"/>
            <a:chOff x="1485900" y="220980"/>
            <a:chExt cx="1333500" cy="853440"/>
          </a:xfrm>
          <a:grpFill/>
        </xdr:grpSpPr>
        <xdr:sp macro="" textlink="">
          <xdr:nvSpPr>
            <xdr:cNvPr id="9" name="Rectangle: Rounded Corners 8">
              <a:extLst>
                <a:ext uri="{FF2B5EF4-FFF2-40B4-BE49-F238E27FC236}">
                  <a16:creationId xmlns:a16="http://schemas.microsoft.com/office/drawing/2014/main" id="{6E4E3BAE-D8ED-48C1-F27E-9C822C972DD2}"/>
                </a:ext>
              </a:extLst>
            </xdr:cNvPr>
            <xdr:cNvSpPr/>
          </xdr:nvSpPr>
          <xdr:spPr>
            <a:xfrm>
              <a:off x="1485900" y="220980"/>
              <a:ext cx="1333500" cy="853440"/>
            </a:xfrm>
            <a:prstGeom prst="roundRect">
              <a:avLst/>
            </a:prstGeom>
            <a:grpFill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 kern="1200">
                  <a:noFill/>
                </a:rPr>
                <a:t>OUNT</a:t>
              </a:r>
            </a:p>
          </xdr:txBody>
        </xdr:sp>
        <xdr:sp macro="" textlink="'INPUT SHEET'!C27">
          <xdr:nvSpPr>
            <xdr:cNvPr id="10" name="TextBox 9">
              <a:extLst>
                <a:ext uri="{FF2B5EF4-FFF2-40B4-BE49-F238E27FC236}">
                  <a16:creationId xmlns:a16="http://schemas.microsoft.com/office/drawing/2014/main" id="{26345DF6-20FD-2257-5DB1-8AD95FDE2C48}"/>
                </a:ext>
              </a:extLst>
            </xdr:cNvPr>
            <xdr:cNvSpPr txBox="1"/>
          </xdr:nvSpPr>
          <xdr:spPr>
            <a:xfrm>
              <a:off x="1742346" y="579661"/>
              <a:ext cx="792480" cy="31242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5FA36E22-D38C-4489-B73E-A9DFAB3C6679}" type="TxLink">
                <a:rPr lang="en-US" sz="1600" b="1" i="0" u="none" strike="noStrike" kern="120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16130.816</a:t>
              </a:fld>
              <a:endParaRPr lang="en-US" sz="1600" b="1" kern="1200">
                <a:noFill/>
              </a:endParaRP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E9A65E5C-06E8-58B3-19CD-D1CB021037EA}"/>
              </a:ext>
            </a:extLst>
          </xdr:cNvPr>
          <xdr:cNvSpPr txBox="1"/>
        </xdr:nvSpPr>
        <xdr:spPr>
          <a:xfrm>
            <a:off x="1936433" y="227228"/>
            <a:ext cx="1116806" cy="313044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kern="1200"/>
              <a:t>Target Production</a:t>
            </a:r>
          </a:p>
        </xdr:txBody>
      </xdr:sp>
    </xdr:grpSp>
    <xdr:clientData/>
  </xdr:twoCellAnchor>
  <xdr:twoCellAnchor editAs="absolute">
    <xdr:from>
      <xdr:col>14</xdr:col>
      <xdr:colOff>213360</xdr:colOff>
      <xdr:row>0</xdr:row>
      <xdr:rowOff>83820</xdr:rowOff>
    </xdr:from>
    <xdr:to>
      <xdr:col>17</xdr:col>
      <xdr:colOff>213360</xdr:colOff>
      <xdr:row>5</xdr:row>
      <xdr:rowOff>83820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76792B2E-45C7-9B58-9559-D8F4B4FFEAC0}"/>
            </a:ext>
          </a:extLst>
        </xdr:cNvPr>
        <xdr:cNvGrpSpPr/>
      </xdr:nvGrpSpPr>
      <xdr:grpSpPr>
        <a:xfrm>
          <a:off x="7734300" y="83820"/>
          <a:ext cx="1828800" cy="914400"/>
          <a:chOff x="3162300" y="99060"/>
          <a:chExt cx="1333500" cy="853440"/>
        </a:xfrm>
        <a:solidFill>
          <a:schemeClr val="accent1">
            <a:lumMod val="40000"/>
            <a:lumOff val="60000"/>
          </a:schemeClr>
        </a:solidFill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F01432DF-0C0E-4693-8FAF-D15BFAA0BB7B}"/>
              </a:ext>
            </a:extLst>
          </xdr:cNvPr>
          <xdr:cNvSpPr/>
        </xdr:nvSpPr>
        <xdr:spPr>
          <a:xfrm>
            <a:off x="3162300" y="99060"/>
            <a:ext cx="1333500" cy="853440"/>
          </a:xfrm>
          <a:prstGeom prst="roundRect">
            <a:avLst/>
          </a:prstGeom>
          <a:grpFill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>
                <a:noFill/>
              </a:rPr>
              <a:t>OUNT</a:t>
            </a:r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215A3906-CC2C-4D5E-9992-A72D60281058}"/>
              </a:ext>
            </a:extLst>
          </xdr:cNvPr>
          <xdr:cNvSpPr txBox="1"/>
        </xdr:nvSpPr>
        <xdr:spPr>
          <a:xfrm>
            <a:off x="3251201" y="113285"/>
            <a:ext cx="1116805" cy="561848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kern="1200"/>
              <a:t>Total Running Frame</a:t>
            </a:r>
          </a:p>
        </xdr:txBody>
      </xdr:sp>
      <xdr:sp macro="" textlink="'INPUT SHEET'!D26">
        <xdr:nvSpPr>
          <xdr:cNvPr id="13" name="TextBox 12">
            <a:extLst>
              <a:ext uri="{FF2B5EF4-FFF2-40B4-BE49-F238E27FC236}">
                <a16:creationId xmlns:a16="http://schemas.microsoft.com/office/drawing/2014/main" id="{5096BBBE-5D1B-4C4D-BF24-B9993784FDF1}"/>
              </a:ext>
            </a:extLst>
          </xdr:cNvPr>
          <xdr:cNvSpPr txBox="1"/>
        </xdr:nvSpPr>
        <xdr:spPr>
          <a:xfrm>
            <a:off x="3668862" y="566420"/>
            <a:ext cx="446588" cy="28194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5CFD35D-63FF-4289-8B43-3338C5FD36DE}" type="TxLink">
              <a:rPr lang="en-US" sz="1600" b="1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44</a:t>
            </a:fld>
            <a:endParaRPr lang="en-US" sz="1600" b="1" kern="1200">
              <a:noFill/>
            </a:endParaRPr>
          </a:p>
        </xdr:txBody>
      </xdr:sp>
    </xdr:grpSp>
    <xdr:clientData/>
  </xdr:twoCellAnchor>
  <xdr:twoCellAnchor editAs="absolute">
    <xdr:from>
      <xdr:col>0</xdr:col>
      <xdr:colOff>236220</xdr:colOff>
      <xdr:row>0</xdr:row>
      <xdr:rowOff>45720</xdr:rowOff>
    </xdr:from>
    <xdr:to>
      <xdr:col>5</xdr:col>
      <xdr:colOff>502920</xdr:colOff>
      <xdr:row>5</xdr:row>
      <xdr:rowOff>60960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E28AA88C-BC2D-DFA4-D9E7-0267259C20A7}"/>
            </a:ext>
          </a:extLst>
        </xdr:cNvPr>
        <xdr:cNvSpPr/>
      </xdr:nvSpPr>
      <xdr:spPr>
        <a:xfrm>
          <a:off x="236220" y="45720"/>
          <a:ext cx="2880360" cy="92964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342900</xdr:colOff>
      <xdr:row>3</xdr:row>
      <xdr:rowOff>99060</xdr:rowOff>
    </xdr:from>
    <xdr:to>
      <xdr:col>3</xdr:col>
      <xdr:colOff>464820</xdr:colOff>
      <xdr:row>4</xdr:row>
      <xdr:rowOff>175260</xdr:rowOff>
    </xdr:to>
    <xdr:sp macro="" textlink="'INPUT SHEET'!C1">
      <xdr:nvSpPr>
        <xdr:cNvPr id="25" name="TextBox 24">
          <a:extLst>
            <a:ext uri="{FF2B5EF4-FFF2-40B4-BE49-F238E27FC236}">
              <a16:creationId xmlns:a16="http://schemas.microsoft.com/office/drawing/2014/main" id="{417FE954-9DE1-E502-FD18-60EDE0175BFF}"/>
            </a:ext>
          </a:extLst>
        </xdr:cNvPr>
        <xdr:cNvSpPr txBox="1"/>
      </xdr:nvSpPr>
      <xdr:spPr>
        <a:xfrm>
          <a:off x="1203960" y="1013460"/>
          <a:ext cx="800100" cy="25908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5514B13-CDDC-4EC1-9DD5-617406C9FDFF}" type="TxLink">
            <a:rPr lang="en-US" sz="11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11/12/24</a:t>
          </a:fld>
          <a:endParaRPr lang="en-US" sz="1100" kern="1200"/>
        </a:p>
      </xdr:txBody>
    </xdr:sp>
    <xdr:clientData/>
  </xdr:twoCellAnchor>
  <xdr:twoCellAnchor>
    <xdr:from>
      <xdr:col>1</xdr:col>
      <xdr:colOff>99060</xdr:colOff>
      <xdr:row>0</xdr:row>
      <xdr:rowOff>91440</xdr:rowOff>
    </xdr:from>
    <xdr:to>
      <xdr:col>5</xdr:col>
      <xdr:colOff>426720</xdr:colOff>
      <xdr:row>3</xdr:row>
      <xdr:rowOff>91440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D049939-7B07-4CAF-D92A-1040912EA63D}"/>
            </a:ext>
          </a:extLst>
        </xdr:cNvPr>
        <xdr:cNvSpPr txBox="1"/>
      </xdr:nvSpPr>
      <xdr:spPr>
        <a:xfrm>
          <a:off x="350520" y="91440"/>
          <a:ext cx="2689860" cy="9144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kern="1200">
              <a:solidFill>
                <a:schemeClr val="tx2">
                  <a:lumMod val="50000"/>
                </a:schemeClr>
              </a:solidFill>
            </a:rPr>
            <a:t>PROCESS LINE BALANCING</a:t>
          </a:r>
          <a:r>
            <a:rPr lang="en-US" sz="1400" b="1" kern="1200" baseline="0">
              <a:solidFill>
                <a:schemeClr val="tx2">
                  <a:lumMod val="50000"/>
                </a:schemeClr>
              </a:solidFill>
            </a:rPr>
            <a:t> DASHBOARD</a:t>
          </a:r>
          <a:endParaRPr lang="en-US" sz="1400" b="1" kern="12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220980</xdr:colOff>
      <xdr:row>0</xdr:row>
      <xdr:rowOff>76200</xdr:rowOff>
    </xdr:from>
    <xdr:to>
      <xdr:col>21</xdr:col>
      <xdr:colOff>220980</xdr:colOff>
      <xdr:row>5</xdr:row>
      <xdr:rowOff>76200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A30FE855-888E-7845-57F8-FC0A15854EAF}"/>
            </a:ext>
          </a:extLst>
        </xdr:cNvPr>
        <xdr:cNvGrpSpPr/>
      </xdr:nvGrpSpPr>
      <xdr:grpSpPr>
        <a:xfrm>
          <a:off x="9921240" y="76200"/>
          <a:ext cx="1828800" cy="914400"/>
          <a:chOff x="10149840" y="76200"/>
          <a:chExt cx="1828800" cy="914400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C3CABE0A-57DA-49D8-8F32-BAC89590E4E8}"/>
              </a:ext>
            </a:extLst>
          </xdr:cNvPr>
          <xdr:cNvGrpSpPr/>
        </xdr:nvGrpSpPr>
        <xdr:grpSpPr>
          <a:xfrm>
            <a:off x="10149840" y="76200"/>
            <a:ext cx="1828800" cy="914400"/>
            <a:chOff x="3162300" y="99060"/>
            <a:chExt cx="1333500" cy="853440"/>
          </a:xfrm>
          <a:solidFill>
            <a:schemeClr val="accent1">
              <a:lumMod val="40000"/>
              <a:lumOff val="60000"/>
            </a:schemeClr>
          </a:solidFill>
        </xdr:grpSpPr>
        <xdr:sp macro="" textlink="">
          <xdr:nvSpPr>
            <xdr:cNvPr id="20" name="Rectangle: Rounded Corners 19">
              <a:extLst>
                <a:ext uri="{FF2B5EF4-FFF2-40B4-BE49-F238E27FC236}">
                  <a16:creationId xmlns:a16="http://schemas.microsoft.com/office/drawing/2014/main" id="{C9A0AB21-EE30-FEDA-C22D-A22E10FF609E}"/>
                </a:ext>
              </a:extLst>
            </xdr:cNvPr>
            <xdr:cNvSpPr/>
          </xdr:nvSpPr>
          <xdr:spPr>
            <a:xfrm>
              <a:off x="3162300" y="99060"/>
              <a:ext cx="1333500" cy="853440"/>
            </a:xfrm>
            <a:prstGeom prst="roundRect">
              <a:avLst/>
            </a:prstGeom>
            <a:grpFill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 kern="1200">
                  <a:noFill/>
                </a:rPr>
                <a:t>OUNT</a:t>
              </a:r>
            </a:p>
          </xdr:txBody>
        </xdr:sp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F0F6CCA-8450-C9D4-1AB6-C555F279F542}"/>
                </a:ext>
              </a:extLst>
            </xdr:cNvPr>
            <xdr:cNvSpPr txBox="1"/>
          </xdr:nvSpPr>
          <xdr:spPr>
            <a:xfrm>
              <a:off x="3255976" y="137160"/>
              <a:ext cx="1195741" cy="5334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400" b="1" kern="1200"/>
                <a:t>Jute</a:t>
              </a:r>
              <a:r>
                <a:rPr lang="en-US" sz="1400" b="1" kern="1200" baseline="0"/>
                <a:t> Requisition </a:t>
              </a:r>
            </a:p>
            <a:p>
              <a:pPr algn="ctr"/>
              <a:r>
                <a:rPr lang="en-US" sz="1000" b="1" kern="1200" baseline="0"/>
                <a:t>at this Day</a:t>
              </a:r>
              <a:endParaRPr lang="en-US" sz="1000" b="1" kern="1200"/>
            </a:p>
          </xdr:txBody>
        </xdr:sp>
        <xdr:sp macro="" textlink="'INPUT SHEET'!AE43">
          <xdr:nvSpPr>
            <xdr:cNvPr id="23" name="TextBox 22">
              <a:extLst>
                <a:ext uri="{FF2B5EF4-FFF2-40B4-BE49-F238E27FC236}">
                  <a16:creationId xmlns:a16="http://schemas.microsoft.com/office/drawing/2014/main" id="{D1F3D77E-4AF8-5460-58B0-53B6A8058E55}"/>
                </a:ext>
              </a:extLst>
            </xdr:cNvPr>
            <xdr:cNvSpPr txBox="1"/>
          </xdr:nvSpPr>
          <xdr:spPr>
            <a:xfrm>
              <a:off x="3476136" y="581152"/>
              <a:ext cx="545775" cy="28194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6AAD774-005C-4E7C-B192-0609B3CF1661}" type="TxLink">
                <a:rPr lang="en-US" sz="1600" b="1" i="0" u="none" strike="noStrike" kern="120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44506</a:t>
              </a:fld>
              <a:endParaRPr lang="en-US" sz="2400" b="1" kern="1200">
                <a:noFill/>
              </a:endParaRPr>
            </a:p>
          </xdr:txBody>
        </xdr:sp>
      </xdr:grp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A0319EC5-F9C3-A677-1358-759A52327846}"/>
              </a:ext>
            </a:extLst>
          </xdr:cNvPr>
          <xdr:cNvSpPr txBox="1"/>
        </xdr:nvSpPr>
        <xdr:spPr>
          <a:xfrm>
            <a:off x="11148060" y="586740"/>
            <a:ext cx="51816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 kern="1200"/>
              <a:t>Kg</a:t>
            </a:r>
          </a:p>
        </xdr:txBody>
      </xdr:sp>
    </xdr:grpSp>
    <xdr:clientData/>
  </xdr:twoCellAnchor>
  <xdr:twoCellAnchor>
    <xdr:from>
      <xdr:col>4</xdr:col>
      <xdr:colOff>22860</xdr:colOff>
      <xdr:row>3</xdr:row>
      <xdr:rowOff>114300</xdr:rowOff>
    </xdr:from>
    <xdr:to>
      <xdr:col>5</xdr:col>
      <xdr:colOff>30480</xdr:colOff>
      <xdr:row>5</xdr:row>
      <xdr:rowOff>7620</xdr:rowOff>
    </xdr:to>
    <xdr:sp macro="" textlink="'INPUT SHEET'!F1">
      <xdr:nvSpPr>
        <xdr:cNvPr id="33" name="TextBox 32">
          <a:extLst>
            <a:ext uri="{FF2B5EF4-FFF2-40B4-BE49-F238E27FC236}">
              <a16:creationId xmlns:a16="http://schemas.microsoft.com/office/drawing/2014/main" id="{BC6D9159-DE4F-EE06-6DC3-3610CADF4E11}"/>
            </a:ext>
          </a:extLst>
        </xdr:cNvPr>
        <xdr:cNvSpPr txBox="1"/>
      </xdr:nvSpPr>
      <xdr:spPr>
        <a:xfrm>
          <a:off x="2171700" y="662940"/>
          <a:ext cx="472440" cy="25908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146FF1E-18FF-406D-992A-A810C714C81C}" type="TxLink">
            <a:rPr lang="en-US" sz="1100" b="1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R/A</a:t>
          </a:fld>
          <a:endParaRPr lang="en-US" sz="1100" b="1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0D9E-9533-46A3-AF42-0D8E9E0DCF4A}">
  <sheetPr codeName="Sheet2">
    <tabColor theme="3" tint="-0.249977111117893"/>
  </sheetPr>
  <dimension ref="A1:DJ43"/>
  <sheetViews>
    <sheetView tabSelected="1" zoomScale="98" zoomScaleNormal="98" workbookViewId="0">
      <selection activeCell="AA26" sqref="AA26"/>
    </sheetView>
  </sheetViews>
  <sheetFormatPr defaultRowHeight="14.4" x14ac:dyDescent="0.3"/>
  <cols>
    <col min="2" max="2" width="11.44140625" bestFit="1" customWidth="1"/>
    <col min="5" max="6" width="8.88671875" customWidth="1"/>
    <col min="7" max="7" width="7.77734375" customWidth="1"/>
    <col min="8" max="8" width="9.88671875" bestFit="1" customWidth="1"/>
    <col min="9" max="10" width="8.88671875" customWidth="1"/>
    <col min="11" max="11" width="10.44140625" customWidth="1"/>
    <col min="12" max="12" width="9.88671875" customWidth="1"/>
    <col min="13" max="15" width="8.88671875" customWidth="1"/>
    <col min="16" max="16" width="7" customWidth="1"/>
    <col min="17" max="17" width="11.21875" customWidth="1"/>
    <col min="18" max="18" width="8.88671875" customWidth="1"/>
    <col min="19" max="19" width="5.21875" customWidth="1"/>
    <col min="20" max="21" width="8.88671875" customWidth="1"/>
    <col min="22" max="22" width="2.77734375" customWidth="1"/>
    <col min="24" max="24" width="11.88671875" customWidth="1"/>
    <col min="38" max="38" width="10.5546875" bestFit="1" customWidth="1"/>
    <col min="39" max="39" width="10.109375" bestFit="1" customWidth="1"/>
  </cols>
  <sheetData>
    <row r="1" spans="1:114" x14ac:dyDescent="0.3">
      <c r="B1" s="36" t="s">
        <v>53</v>
      </c>
      <c r="C1" s="37" t="s">
        <v>88</v>
      </c>
      <c r="D1" s="36"/>
      <c r="E1" s="36" t="s">
        <v>74</v>
      </c>
      <c r="F1" s="36" t="s">
        <v>75</v>
      </c>
    </row>
    <row r="2" spans="1:114" x14ac:dyDescent="0.3">
      <c r="B2" s="2"/>
      <c r="C2" s="35"/>
    </row>
    <row r="3" spans="1:114" x14ac:dyDescent="0.3">
      <c r="B3" s="41" t="s">
        <v>50</v>
      </c>
      <c r="C3" s="46"/>
      <c r="D3" s="46"/>
      <c r="E3" s="46"/>
      <c r="F3" s="47"/>
      <c r="G3" s="30"/>
      <c r="H3" s="40" t="s">
        <v>3</v>
      </c>
      <c r="I3" s="40"/>
      <c r="J3" s="40"/>
      <c r="K3" s="30"/>
      <c r="L3" s="40" t="s">
        <v>6</v>
      </c>
      <c r="M3" s="40"/>
      <c r="N3" s="41" t="s">
        <v>55</v>
      </c>
      <c r="O3" s="47"/>
      <c r="P3" s="2"/>
      <c r="Q3" s="40" t="s">
        <v>8</v>
      </c>
      <c r="R3" s="40"/>
      <c r="S3" s="1"/>
      <c r="T3" s="40" t="s">
        <v>17</v>
      </c>
      <c r="U3" s="41"/>
      <c r="V3" s="31"/>
      <c r="W3" s="38" t="s">
        <v>64</v>
      </c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spans="1:114" s="22" customFormat="1" x14ac:dyDescent="0.3">
      <c r="A4"/>
      <c r="B4" s="28" t="s">
        <v>35</v>
      </c>
      <c r="C4" s="28" t="s">
        <v>14</v>
      </c>
      <c r="D4" s="28" t="s">
        <v>0</v>
      </c>
      <c r="E4" s="28" t="s">
        <v>2</v>
      </c>
      <c r="F4" s="28" t="s">
        <v>1</v>
      </c>
      <c r="G4" s="2"/>
      <c r="H4" s="28" t="s">
        <v>3</v>
      </c>
      <c r="I4" s="29">
        <v>0.8</v>
      </c>
      <c r="J4" s="29">
        <v>0.75</v>
      </c>
      <c r="K4" s="32"/>
      <c r="L4" s="28" t="s">
        <v>15</v>
      </c>
      <c r="M4" s="28" t="s">
        <v>7</v>
      </c>
      <c r="N4" s="28" t="s">
        <v>15</v>
      </c>
      <c r="O4" s="28" t="s">
        <v>7</v>
      </c>
      <c r="P4" s="2"/>
      <c r="Q4" s="28" t="s">
        <v>9</v>
      </c>
      <c r="R4" s="28" t="s">
        <v>10</v>
      </c>
      <c r="S4" s="1"/>
      <c r="T4" s="28" t="s">
        <v>54</v>
      </c>
      <c r="U4" s="28" t="s">
        <v>10</v>
      </c>
      <c r="V4" s="2"/>
      <c r="W4" s="28" t="s">
        <v>19</v>
      </c>
      <c r="X4" s="28" t="s">
        <v>20</v>
      </c>
      <c r="Y4" s="28" t="s">
        <v>21</v>
      </c>
      <c r="Z4" s="28" t="s">
        <v>22</v>
      </c>
      <c r="AA4" s="28" t="s">
        <v>23</v>
      </c>
      <c r="AB4" s="28" t="s">
        <v>24</v>
      </c>
      <c r="AC4" s="28" t="s">
        <v>25</v>
      </c>
      <c r="AD4" s="28" t="s">
        <v>26</v>
      </c>
      <c r="AE4" s="28" t="s">
        <v>27</v>
      </c>
      <c r="AF4" s="28" t="s">
        <v>28</v>
      </c>
      <c r="AG4" s="28" t="s">
        <v>29</v>
      </c>
      <c r="AH4" s="28" t="s">
        <v>60</v>
      </c>
      <c r="AI4" s="28" t="s">
        <v>30</v>
      </c>
      <c r="AJ4" s="28" t="s">
        <v>31</v>
      </c>
      <c r="AK4" s="28" t="s">
        <v>32</v>
      </c>
      <c r="AL4" s="28" t="s">
        <v>34</v>
      </c>
      <c r="AM4" s="28" t="s">
        <v>33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</row>
    <row r="5" spans="1:114" s="16" customFormat="1" x14ac:dyDescent="0.3">
      <c r="A5"/>
      <c r="B5" s="12">
        <v>5.95</v>
      </c>
      <c r="C5" s="12" t="s">
        <v>12</v>
      </c>
      <c r="D5" s="12">
        <v>1</v>
      </c>
      <c r="E5" s="12">
        <v>3700</v>
      </c>
      <c r="F5" s="13">
        <f>ROUND(SQRT(48/B5)*1.92,2)</f>
        <v>5.45</v>
      </c>
      <c r="G5" s="3"/>
      <c r="H5" s="13">
        <f t="shared" ref="H5:H23" si="0">ROUND((E5*VALUE(LEFT(B5,3)*120*60*8)/(F5*14400*2.2046*36))*D5,2)</f>
        <v>201.88</v>
      </c>
      <c r="I5" s="12">
        <f>H5*0.8</f>
        <v>161.50400000000002</v>
      </c>
      <c r="J5" s="12">
        <f>H5*0.75</f>
        <v>151.41</v>
      </c>
      <c r="K5"/>
      <c r="L5" s="12">
        <f t="shared" ref="L5:L25" si="1">ROUND(J5/71.82*2,0)/2</f>
        <v>2</v>
      </c>
      <c r="M5" s="12">
        <f>L5/4</f>
        <v>0.5</v>
      </c>
      <c r="N5" s="12">
        <f>ROUND(L5/3.1428*2,0)/2</f>
        <v>0.5</v>
      </c>
      <c r="O5" s="12">
        <f>N5/2</f>
        <v>0.25</v>
      </c>
      <c r="P5"/>
      <c r="Q5" s="12">
        <f>ROUND(J5/1440,2)</f>
        <v>0.11</v>
      </c>
      <c r="R5" s="12">
        <f>Q5*480</f>
        <v>52.8</v>
      </c>
      <c r="S5" s="1"/>
      <c r="T5" s="12">
        <f>ROUND(J5/2260,2)</f>
        <v>7.0000000000000007E-2</v>
      </c>
      <c r="U5" s="12">
        <f>T5*480</f>
        <v>33.6</v>
      </c>
      <c r="V5"/>
      <c r="W5" s="12">
        <f>IFERROR((IF(ISNUMBER($D5), ROUNDUP(($J5/70)*VLOOKUP($C5, Batch!$B$27:$S$36, 2, FALSE),0),"")/6), "")</f>
        <v>0.5</v>
      </c>
      <c r="X5" s="12">
        <f>IFERROR((IF(ISNUMBER($D5), ROUNDUP(($J5/70)*VLOOKUP($C5, Batch!$B$27:$S$36, 3, FALSE),0),"")/6), "")</f>
        <v>0.5</v>
      </c>
      <c r="Y5" s="12">
        <f>IFERROR((IF(ISNUMBER($D5), ROUNDUP(($J5/70)*VLOOKUP($C5, Batch!$B$27:$S$36, 4, FALSE),0),"")/6), "")</f>
        <v>0.83333333333333337</v>
      </c>
      <c r="Z5" s="12">
        <f>IFERROR((IF(ISNUMBER($D5), ROUNDUP(($J5/70)*VLOOKUP($C5, Batch!$B$27:$S$36, 5, FALSE),0),"")/6),"")</f>
        <v>0.83333333333333337</v>
      </c>
      <c r="AA5" s="12">
        <f>IFERROR((IF(ISNUMBER($D5), ROUNDUP(($J5/70)*VLOOKUP($C5, Batch!$B$27:$S$36, 6, FALSE),0),"")/6), "")</f>
        <v>0</v>
      </c>
      <c r="AB5" s="12">
        <f>IFERROR((IF(ISNUMBER($D5), ROUNDUP(($J5/70)*VLOOKUP($C5, Batch!$B$27:$S$36, 7, FALSE),0),"")/6), "")</f>
        <v>0</v>
      </c>
      <c r="AC5" s="12">
        <f>IFERROR((IF(ISNUMBER($D5), ROUNDUP(($J5/70)*VLOOKUP($C5, Batch!$B$27:$S$36, 8, FALSE),0),"")/6), "")</f>
        <v>0</v>
      </c>
      <c r="AD5" s="12">
        <f>IFERROR((IF(ISNUMBER($D5), ROUNDUP(($J5/70)*VLOOKUP($C5, Batch!$B$27:$S$36, 9, FALSE),0),"")/6), "")</f>
        <v>0</v>
      </c>
      <c r="AE5" s="12">
        <f>IFERROR((IF(ISNUMBER($D5), ROUNDUP(($J5/70)*VLOOKUP($C5, Batch!$B$27:$S$36, 10, FALSE),0),"")/6), "")</f>
        <v>0</v>
      </c>
      <c r="AF5" s="12">
        <f>IFERROR((IF(ISNUMBER($D5), ROUNDUP(($J5/70)*VLOOKUP($C5, Batch!$B$27:$S$36, 11, FALSE),0),"")/6), "")</f>
        <v>0</v>
      </c>
      <c r="AG5" s="12">
        <f>IFERROR((IF(ISNUMBER($D5), ROUNDUP(($J5/70)*VLOOKUP($C5, Batch!$B$27:$S$36, 12, FALSE),0),"")/6), "")</f>
        <v>0</v>
      </c>
      <c r="AH5" s="12">
        <f>IFERROR((IF(ISNUMBER($D5), ROUNDUP(($J5/70)*VLOOKUP($C5, Batch!$B$27:$S$36, 13, FALSE),0),"")/6), "")</f>
        <v>0</v>
      </c>
      <c r="AI5" s="12">
        <f>IFERROR((IF(ISNUMBER($D5), ROUNDUP(($J5/70)*VLOOKUP($C5, Batch!$B$27:$S$36, 14, FALSE),0),"")/6),"")</f>
        <v>0</v>
      </c>
      <c r="AJ5" s="12">
        <f>IFERROR((IF(ISNUMBER($D5), ROUNDUP(($J5/70)*VLOOKUP($C5, Batch!$B$27:$S$36, 15, FALSE),0),"")/6),"")</f>
        <v>0</v>
      </c>
      <c r="AK5" s="12">
        <f>IFERROR((IF(ISNUMBER($D5), ROUNDUP(($J5/70)*VLOOKUP($C5, Batch!$B$27:$S$36, 16, FALSE),0),"")/6), "")</f>
        <v>0</v>
      </c>
      <c r="AL5" s="12">
        <f>IFERROR((IF(ISNUMBER($D5), ROUNDUP(($J5/70)*VLOOKUP($C5, Batch!$B$27:$S$36, 17, FALSE),0),"")/6), "")</f>
        <v>0</v>
      </c>
      <c r="AM5" s="12">
        <f>IFERROR((IF(ISNUMBER($D5), ROUNDUP(($J5/70)*VLOOKUP($C5, Batch!$B$27:$S$36, 18, FALSE),0),"")/6),"")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</row>
    <row r="6" spans="1:114" s="19" customFormat="1" x14ac:dyDescent="0.3">
      <c r="A6"/>
      <c r="B6" s="17">
        <v>6</v>
      </c>
      <c r="C6" s="17" t="s">
        <v>12</v>
      </c>
      <c r="D6" s="17">
        <v>1</v>
      </c>
      <c r="E6" s="17">
        <v>3700</v>
      </c>
      <c r="F6" s="18">
        <f t="shared" ref="F6:F23" si="2">ROUND(SQRT(48/B6)*1.92,2)</f>
        <v>5.43</v>
      </c>
      <c r="G6" s="3"/>
      <c r="H6" s="18">
        <f t="shared" si="0"/>
        <v>206.05</v>
      </c>
      <c r="I6" s="17">
        <f t="shared" ref="I6:I25" si="3">H6*0.8</f>
        <v>164.84000000000003</v>
      </c>
      <c r="J6" s="12">
        <f t="shared" ref="J6:J25" si="4">H6*0.75</f>
        <v>154.53750000000002</v>
      </c>
      <c r="K6"/>
      <c r="L6" s="17">
        <f t="shared" si="1"/>
        <v>2</v>
      </c>
      <c r="M6" s="17">
        <f t="shared" ref="M6:M25" si="5">L6/4</f>
        <v>0.5</v>
      </c>
      <c r="N6" s="17">
        <f t="shared" ref="N6:N25" si="6">ROUND(L6/3.1428*2,0)/2</f>
        <v>0.5</v>
      </c>
      <c r="O6" s="17">
        <f t="shared" ref="O6:O25" si="7">N6/2</f>
        <v>0.25</v>
      </c>
      <c r="P6"/>
      <c r="Q6" s="12">
        <f t="shared" ref="Q6:Q25" si="8">ROUND(J6/1440,2)</f>
        <v>0.11</v>
      </c>
      <c r="R6" s="17">
        <f>Q6*480</f>
        <v>52.8</v>
      </c>
      <c r="S6" s="1"/>
      <c r="T6" s="12">
        <f t="shared" ref="T6:T25" si="9">ROUND(J6/2260,2)</f>
        <v>7.0000000000000007E-2</v>
      </c>
      <c r="U6" s="17">
        <f>T6*480</f>
        <v>33.6</v>
      </c>
      <c r="V6"/>
      <c r="W6" s="17">
        <f>IFERROR((IF(ISNUMBER($D6), ROUNDUP(($J6/70)*VLOOKUP($C6, Batch!$B$27:$S$36, 2, FALSE),0),"")/6), "")</f>
        <v>0.5</v>
      </c>
      <c r="X6" s="17">
        <f>IFERROR((IF(ISNUMBER($D6), ROUNDUP(($J6/70)*VLOOKUP($C6, Batch!$B$27:$S$36, 3, FALSE),0),"")/6), "")</f>
        <v>0.5</v>
      </c>
      <c r="Y6" s="17">
        <f>IFERROR((IF(ISNUMBER($D6), ROUNDUP(($J6/70)*VLOOKUP($C6, Batch!$B$27:$S$36, 4, FALSE),0),"")/6), "")</f>
        <v>0.83333333333333337</v>
      </c>
      <c r="Z6" s="17">
        <f>IFERROR((IF(ISNUMBER($D6), ROUNDUP(($J6/70)*VLOOKUP($C6, Batch!$B$27:$S$36, 5, FALSE),0),"")/6),"")</f>
        <v>0.83333333333333337</v>
      </c>
      <c r="AA6" s="17">
        <f>IFERROR((IF(ISNUMBER($D6), ROUNDUP(($J6/70)*VLOOKUP($C6, Batch!$B$27:$S$36, 6, FALSE),0),"")/6), "")</f>
        <v>0</v>
      </c>
      <c r="AB6" s="17">
        <f>IFERROR((IF(ISNUMBER($D6), ROUNDUP(($J6/70)*VLOOKUP($C6, Batch!$B$27:$S$36, 7, FALSE),0),"")/6), "")</f>
        <v>0</v>
      </c>
      <c r="AC6" s="17">
        <f>IFERROR((IF(ISNUMBER($D6), ROUNDUP(($J6/70)*VLOOKUP($C6, Batch!$B$27:$S$36, 8, FALSE),0),"")/6), "")</f>
        <v>0</v>
      </c>
      <c r="AD6" s="17">
        <f>IFERROR((IF(ISNUMBER($D6), ROUNDUP(($J6/70)*VLOOKUP($C6, Batch!$B$27:$S$36, 9, FALSE),0),"")/6), "")</f>
        <v>0</v>
      </c>
      <c r="AE6" s="17">
        <f>IFERROR((IF(ISNUMBER($D6), ROUNDUP(($J6/70)*VLOOKUP($C6, Batch!$B$27:$S$36, 10, FALSE),0),"")/6), "")</f>
        <v>0</v>
      </c>
      <c r="AF6" s="17">
        <f>IFERROR((IF(ISNUMBER($D6), ROUNDUP(($J6/70)*VLOOKUP($C6, Batch!$B$27:$S$36, 11, FALSE),0),"")/6), "")</f>
        <v>0</v>
      </c>
      <c r="AG6" s="17">
        <f>IFERROR((IF(ISNUMBER($D6), ROUNDUP(($J6/70)*VLOOKUP($C6, Batch!$B$27:$S$36, 12, FALSE),0),"")/6), "")</f>
        <v>0</v>
      </c>
      <c r="AH6" s="17">
        <f>IFERROR((IF(ISNUMBER($D6), ROUNDUP(($J6/70)*VLOOKUP($C6, Batch!$B$27:$S$36, 13, FALSE),0),"")/6), "")</f>
        <v>0</v>
      </c>
      <c r="AI6" s="17">
        <f>IFERROR((IF(ISNUMBER($D6), ROUNDUP(($J6/70)*VLOOKUP($C6, Batch!$B$27:$S$36, 14, FALSE),0),"")/6),"")</f>
        <v>0</v>
      </c>
      <c r="AJ6" s="17">
        <f>IFERROR((IF(ISNUMBER($D6), ROUNDUP(($J6/70)*VLOOKUP($C6, Batch!$B$27:$S$36, 15, FALSE),0),"")/6),"")</f>
        <v>0</v>
      </c>
      <c r="AK6" s="17">
        <f>IFERROR((IF(ISNUMBER($D6), ROUNDUP(($J6/70)*VLOOKUP($C6, Batch!$B$27:$S$36, 16, FALSE),0),"")/6), "")</f>
        <v>0</v>
      </c>
      <c r="AL6" s="17">
        <f>IFERROR((IF(ISNUMBER($D6), ROUNDUP(($J6/70)*VLOOKUP($C6, Batch!$B$27:$S$36, 17, FALSE),0),"")/6), "")</f>
        <v>0</v>
      </c>
      <c r="AM6" s="17">
        <f>IFERROR((IF(ISNUMBER($D6), ROUNDUP(($J6/70)*VLOOKUP($C6, Batch!$B$27:$S$36, 18, FALSE),0),"")/6),"")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</row>
    <row r="7" spans="1:114" s="25" customFormat="1" x14ac:dyDescent="0.3">
      <c r="A7"/>
      <c r="B7" s="23">
        <v>6.5</v>
      </c>
      <c r="C7" s="23" t="s">
        <v>12</v>
      </c>
      <c r="D7" s="23"/>
      <c r="E7" s="23">
        <v>3700</v>
      </c>
      <c r="F7" s="24">
        <f t="shared" si="2"/>
        <v>5.22</v>
      </c>
      <c r="G7" s="3"/>
      <c r="H7" s="24">
        <f t="shared" si="0"/>
        <v>0</v>
      </c>
      <c r="I7" s="23">
        <f t="shared" si="3"/>
        <v>0</v>
      </c>
      <c r="J7" s="12">
        <f t="shared" si="4"/>
        <v>0</v>
      </c>
      <c r="K7"/>
      <c r="L7" s="23">
        <f t="shared" si="1"/>
        <v>0</v>
      </c>
      <c r="M7" s="23">
        <f t="shared" si="5"/>
        <v>0</v>
      </c>
      <c r="N7" s="23">
        <f t="shared" si="6"/>
        <v>0</v>
      </c>
      <c r="O7" s="23">
        <f t="shared" si="7"/>
        <v>0</v>
      </c>
      <c r="P7"/>
      <c r="Q7" s="12">
        <f t="shared" si="8"/>
        <v>0</v>
      </c>
      <c r="R7" s="23">
        <f t="shared" ref="R7:R26" si="10">Q7*480</f>
        <v>0</v>
      </c>
      <c r="S7" s="1"/>
      <c r="T7" s="12">
        <f t="shared" si="9"/>
        <v>0</v>
      </c>
      <c r="U7" s="23">
        <f t="shared" ref="U7:U9" si="11">T7*480</f>
        <v>0</v>
      </c>
      <c r="V7"/>
      <c r="W7" s="23" t="str">
        <f>IFERROR((IF(ISNUMBER($D7), ROUNDUP(($J7/70)*VLOOKUP($C7, Batch!$B$27:$S$36, 2, FALSE),0),"")/6), "")</f>
        <v/>
      </c>
      <c r="X7" s="23" t="str">
        <f>IFERROR((IF(ISNUMBER($D7), ROUNDUP(($J7/70)*VLOOKUP($C7, Batch!$B$27:$S$36, 3, FALSE),0),"")/6), "")</f>
        <v/>
      </c>
      <c r="Y7" s="23" t="str">
        <f>IFERROR((IF(ISNUMBER($D7), ROUNDUP(($J7/70)*VLOOKUP($C7, Batch!$B$27:$S$36, 4, FALSE),0),"")/6), "")</f>
        <v/>
      </c>
      <c r="Z7" s="23" t="str">
        <f>IFERROR((IF(ISNUMBER($D7), ROUNDUP(($J7/70)*VLOOKUP($C7, Batch!$B$27:$S$36, 5, FALSE),0),"")/6),"")</f>
        <v/>
      </c>
      <c r="AA7" s="23" t="str">
        <f>IFERROR((IF(ISNUMBER($D7), ROUNDUP(($J7/70)*VLOOKUP($C7, Batch!$B$27:$S$36, 6, FALSE),0),"")/6), "")</f>
        <v/>
      </c>
      <c r="AB7" s="23" t="str">
        <f>IFERROR((IF(ISNUMBER($D7), ROUNDUP(($J7/70)*VLOOKUP($C7, Batch!$B$27:$S$36, 7, FALSE),0),"")/6), "")</f>
        <v/>
      </c>
      <c r="AC7" s="23" t="str">
        <f>IFERROR((IF(ISNUMBER($D7), ROUNDUP(($J7/70)*VLOOKUP($C7, Batch!$B$27:$S$36, 8, FALSE),0),"")/6), "")</f>
        <v/>
      </c>
      <c r="AD7" s="23" t="str">
        <f>IFERROR((IF(ISNUMBER($D7), ROUNDUP(($J7/70)*VLOOKUP($C7, Batch!$B$27:$S$36, 9, FALSE),0),"")/6), "")</f>
        <v/>
      </c>
      <c r="AE7" s="23" t="str">
        <f>IFERROR((IF(ISNUMBER($D7), ROUNDUP(($J7/70)*VLOOKUP($C7, Batch!$B$27:$S$36, 10, FALSE),0),"")/6), "")</f>
        <v/>
      </c>
      <c r="AF7" s="23" t="str">
        <f>IFERROR((IF(ISNUMBER($D7), ROUNDUP(($J7/70)*VLOOKUP($C7, Batch!$B$27:$S$36, 11, FALSE),0),"")/6), "")</f>
        <v/>
      </c>
      <c r="AG7" s="23" t="str">
        <f>IFERROR((IF(ISNUMBER($D7), ROUNDUP(($J7/70)*VLOOKUP($C7, Batch!$B$27:$S$36, 12, FALSE),0),"")/6), "")</f>
        <v/>
      </c>
      <c r="AH7" s="23" t="str">
        <f>IFERROR((IF(ISNUMBER($D7), ROUNDUP(($J7/70)*VLOOKUP($C7, Batch!$B$27:$S$36, 13, FALSE),0),"")/6), "")</f>
        <v/>
      </c>
      <c r="AI7" s="23" t="str">
        <f>IFERROR((IF(ISNUMBER($D7), ROUNDUP(($J7/70)*VLOOKUP($C7, Batch!$B$27:$S$36, 14, FALSE),0),"")/6),"")</f>
        <v/>
      </c>
      <c r="AJ7" s="23" t="str">
        <f>IFERROR((IF(ISNUMBER($D7), ROUNDUP(($J7/70)*VLOOKUP($C7, Batch!$B$27:$S$36, 15, FALSE),0),"")/6),"")</f>
        <v/>
      </c>
      <c r="AK7" s="23" t="str">
        <f>IFERROR((IF(ISNUMBER($D7), ROUNDUP(($J7/70)*VLOOKUP($C7, Batch!$B$27:$S$36, 16, FALSE),0),"")/6), "")</f>
        <v/>
      </c>
      <c r="AL7" s="23" t="str">
        <f>IFERROR((IF(ISNUMBER($D7), ROUNDUP(($J7/70)*VLOOKUP($C7, Batch!$B$27:$S$36, 17, FALSE),0),"")/6), "")</f>
        <v/>
      </c>
      <c r="AM7" s="23" t="str">
        <f>IFERROR((IF(ISNUMBER($D7), ROUNDUP(($J7/70)*VLOOKUP($C7, Batch!$B$27:$S$36, 18, FALSE),0),"")/6),"")</f>
        <v/>
      </c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</row>
    <row r="8" spans="1:114" s="22" customFormat="1" x14ac:dyDescent="0.3">
      <c r="A8"/>
      <c r="B8" s="20">
        <v>7</v>
      </c>
      <c r="C8" s="20" t="s">
        <v>12</v>
      </c>
      <c r="D8" s="20"/>
      <c r="E8" s="20">
        <v>3600</v>
      </c>
      <c r="F8" s="21">
        <f t="shared" si="2"/>
        <v>5.03</v>
      </c>
      <c r="G8" s="3"/>
      <c r="H8" s="21">
        <f t="shared" si="0"/>
        <v>0</v>
      </c>
      <c r="I8" s="20">
        <f t="shared" si="3"/>
        <v>0</v>
      </c>
      <c r="J8" s="12">
        <f t="shared" si="4"/>
        <v>0</v>
      </c>
      <c r="K8"/>
      <c r="L8" s="20">
        <f t="shared" si="1"/>
        <v>0</v>
      </c>
      <c r="M8" s="20">
        <f t="shared" si="5"/>
        <v>0</v>
      </c>
      <c r="N8" s="20">
        <f t="shared" si="6"/>
        <v>0</v>
      </c>
      <c r="O8" s="20">
        <f t="shared" si="7"/>
        <v>0</v>
      </c>
      <c r="P8"/>
      <c r="Q8" s="12">
        <f t="shared" si="8"/>
        <v>0</v>
      </c>
      <c r="R8" s="20">
        <f t="shared" si="10"/>
        <v>0</v>
      </c>
      <c r="S8" s="1"/>
      <c r="T8" s="12">
        <f t="shared" si="9"/>
        <v>0</v>
      </c>
      <c r="U8" s="20">
        <f t="shared" si="11"/>
        <v>0</v>
      </c>
      <c r="V8"/>
      <c r="W8" s="20" t="str">
        <f>IFERROR((IF(ISNUMBER($D8), ROUNDUP(($J8/70)*VLOOKUP($C8, Batch!$B$27:$S$36, 2, FALSE),0),"")/6), "")</f>
        <v/>
      </c>
      <c r="X8" s="20" t="str">
        <f>IFERROR((IF(ISNUMBER($D8), ROUNDUP(($J8/70)*VLOOKUP($C8, Batch!$B$27:$S$36, 3, FALSE),0),"")/6), "")</f>
        <v/>
      </c>
      <c r="Y8" s="20" t="str">
        <f>IFERROR((IF(ISNUMBER($D8), ROUNDUP(($J8/70)*VLOOKUP($C8, Batch!$B$27:$S$36, 4, FALSE),0),"")/6), "")</f>
        <v/>
      </c>
      <c r="Z8" s="20" t="str">
        <f>IFERROR((IF(ISNUMBER($D8), ROUNDUP(($J8/70)*VLOOKUP($C8, Batch!$B$27:$S$36, 5, FALSE),0),"")/6),"")</f>
        <v/>
      </c>
      <c r="AA8" s="20" t="str">
        <f>IFERROR((IF(ISNUMBER($D8), ROUNDUP(($J8/70)*VLOOKUP($C8, Batch!$B$27:$S$36, 6, FALSE),0),"")/6), "")</f>
        <v/>
      </c>
      <c r="AB8" s="20" t="str">
        <f>IFERROR((IF(ISNUMBER($D8), ROUNDUP(($J8/70)*VLOOKUP($C8, Batch!$B$27:$S$36, 7, FALSE),0),"")/6), "")</f>
        <v/>
      </c>
      <c r="AC8" s="20" t="str">
        <f>IFERROR((IF(ISNUMBER($D8), ROUNDUP(($J8/70)*VLOOKUP($C8, Batch!$B$27:$S$36, 8, FALSE),0),"")/6), "")</f>
        <v/>
      </c>
      <c r="AD8" s="20" t="str">
        <f>IFERROR((IF(ISNUMBER($D8), ROUNDUP(($J8/70)*VLOOKUP($C8, Batch!$B$27:$S$36, 9, FALSE),0),"")/6), "")</f>
        <v/>
      </c>
      <c r="AE8" s="20" t="str">
        <f>IFERROR((IF(ISNUMBER($D8), ROUNDUP(($J8/70)*VLOOKUP($C8, Batch!$B$27:$S$36, 10, FALSE),0),"")/6), "")</f>
        <v/>
      </c>
      <c r="AF8" s="20" t="str">
        <f>IFERROR((IF(ISNUMBER($D8), ROUNDUP(($J8/70)*VLOOKUP($C8, Batch!$B$27:$S$36, 11, FALSE),0),"")/6), "")</f>
        <v/>
      </c>
      <c r="AG8" s="20" t="str">
        <f>IFERROR((IF(ISNUMBER($D8), ROUNDUP(($J8/70)*VLOOKUP($C8, Batch!$B$27:$S$36, 12, FALSE),0),"")/6), "")</f>
        <v/>
      </c>
      <c r="AH8" s="20" t="str">
        <f>IFERROR((IF(ISNUMBER($D8), ROUNDUP(($J8/70)*VLOOKUP($C8, Batch!$B$27:$S$36, 13, FALSE),0),"")/6), "")</f>
        <v/>
      </c>
      <c r="AI8" s="20" t="str">
        <f>IFERROR((IF(ISNUMBER($D8), ROUNDUP(($J8/70)*VLOOKUP($C8, Batch!$B$27:$S$36, 14, FALSE),0),"")/6),"")</f>
        <v/>
      </c>
      <c r="AJ8" s="20" t="str">
        <f>IFERROR((IF(ISNUMBER($D8), ROUNDUP(($J8/70)*VLOOKUP($C8, Batch!$B$27:$S$36, 15, FALSE),0),"")/6),"")</f>
        <v/>
      </c>
      <c r="AK8" s="20" t="str">
        <f>IFERROR((IF(ISNUMBER($D8), ROUNDUP(($J8/70)*VLOOKUP($C8, Batch!$B$27:$S$36, 16, FALSE),0),"")/6), "")</f>
        <v/>
      </c>
      <c r="AL8" s="20" t="str">
        <f>IFERROR((IF(ISNUMBER($D8), ROUNDUP(($J8/70)*VLOOKUP($C8, Batch!$B$27:$S$36, 17, FALSE),0),"")/6), "")</f>
        <v/>
      </c>
      <c r="AM8" s="20" t="str">
        <f>IFERROR((IF(ISNUMBER($D8), ROUNDUP(($J8/70)*VLOOKUP($C8, Batch!$B$27:$S$36, 18, FALSE),0),"")/6),"")</f>
        <v/>
      </c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</row>
    <row r="9" spans="1:114" s="16" customFormat="1" x14ac:dyDescent="0.3">
      <c r="A9"/>
      <c r="B9" s="12">
        <v>7.25</v>
      </c>
      <c r="C9" s="12" t="s">
        <v>58</v>
      </c>
      <c r="D9" s="12">
        <v>1</v>
      </c>
      <c r="E9" s="12">
        <v>3200</v>
      </c>
      <c r="F9" s="13">
        <f t="shared" si="2"/>
        <v>4.9400000000000004</v>
      </c>
      <c r="G9" s="3"/>
      <c r="H9" s="13">
        <f t="shared" si="0"/>
        <v>235.06</v>
      </c>
      <c r="I9" s="12">
        <f t="shared" si="3"/>
        <v>188.048</v>
      </c>
      <c r="J9" s="12">
        <f t="shared" si="4"/>
        <v>176.29500000000002</v>
      </c>
      <c r="K9"/>
      <c r="L9" s="12">
        <f t="shared" si="1"/>
        <v>2.5</v>
      </c>
      <c r="M9" s="12">
        <f t="shared" si="5"/>
        <v>0.625</v>
      </c>
      <c r="N9" s="12">
        <f t="shared" si="6"/>
        <v>1</v>
      </c>
      <c r="O9" s="12">
        <f t="shared" si="7"/>
        <v>0.5</v>
      </c>
      <c r="P9"/>
      <c r="Q9" s="12">
        <f t="shared" si="8"/>
        <v>0.12</v>
      </c>
      <c r="R9" s="12">
        <f t="shared" si="10"/>
        <v>57.599999999999994</v>
      </c>
      <c r="S9" s="1"/>
      <c r="T9" s="12">
        <f t="shared" si="9"/>
        <v>0.08</v>
      </c>
      <c r="U9" s="12">
        <f t="shared" si="11"/>
        <v>38.4</v>
      </c>
      <c r="V9"/>
      <c r="W9" s="12">
        <f>IFERROR((IF(ISNUMBER($D9), ROUNDUP(($J9/70)*VLOOKUP($C9, Batch!$B$27:$S$36, 2, FALSE),0),"")/6), "")</f>
        <v>0</v>
      </c>
      <c r="X9" s="12">
        <f>IFERROR((IF(ISNUMBER($D9), ROUNDUP(($J9/70)*VLOOKUP($C9, Batch!$B$27:$S$36, 3, FALSE),0),"")/6), "")</f>
        <v>0</v>
      </c>
      <c r="Y9" s="12">
        <f>IFERROR((IF(ISNUMBER($D9), ROUNDUP(($J9/70)*VLOOKUP($C9, Batch!$B$27:$S$36, 4, FALSE),0),"")/6), "")</f>
        <v>0</v>
      </c>
      <c r="Z9" s="12">
        <f>IFERROR((IF(ISNUMBER($D9), ROUNDUP(($J9/70)*VLOOKUP($C9, Batch!$B$27:$S$36, 5, FALSE),0),"")/6),"")</f>
        <v>0</v>
      </c>
      <c r="AA9" s="12">
        <f>IFERROR((IF(ISNUMBER($D9), ROUNDUP(($J9/70)*VLOOKUP($C9, Batch!$B$27:$S$36, 6, FALSE),0),"")/6), "")</f>
        <v>0</v>
      </c>
      <c r="AB9" s="12">
        <f>IFERROR((IF(ISNUMBER($D9), ROUNDUP(($J9/70)*VLOOKUP($C9, Batch!$B$27:$S$36, 7, FALSE),0),"")/6), "")</f>
        <v>0</v>
      </c>
      <c r="AC9" s="12">
        <f>IFERROR((IF(ISNUMBER($D9), ROUNDUP(($J9/70)*VLOOKUP($C9, Batch!$B$27:$S$36, 8, FALSE),0),"")/6), "")</f>
        <v>1</v>
      </c>
      <c r="AD9" s="12">
        <f>IFERROR((IF(ISNUMBER($D9), ROUNDUP(($J9/70)*VLOOKUP($C9, Batch!$B$27:$S$36, 9, FALSE),0),"")/6), "")</f>
        <v>1.8333333333333333</v>
      </c>
      <c r="AE9" s="12">
        <f>IFERROR((IF(ISNUMBER($D9), ROUNDUP(($J9/70)*VLOOKUP($C9, Batch!$B$27:$S$36, 10, FALSE),0),"")/6), "")</f>
        <v>0</v>
      </c>
      <c r="AF9" s="12">
        <f>IFERROR((IF(ISNUMBER($D9), ROUNDUP(($J9/70)*VLOOKUP($C9, Batch!$B$27:$S$36, 11, FALSE),0),"")/6), "")</f>
        <v>0</v>
      </c>
      <c r="AG9" s="12">
        <f>IFERROR((IF(ISNUMBER($D9), ROUNDUP(($J9/70)*VLOOKUP($C9, Batch!$B$27:$S$36, 12, FALSE),0),"")/6), "")</f>
        <v>0</v>
      </c>
      <c r="AH9" s="12">
        <f>IFERROR((IF(ISNUMBER($D9), ROUNDUP(($J9/70)*VLOOKUP($C9, Batch!$B$27:$S$36, 13, FALSE),0),"")/6), "")</f>
        <v>0</v>
      </c>
      <c r="AI9" s="12">
        <f>IFERROR((IF(ISNUMBER($D9), ROUNDUP(($J9/70)*VLOOKUP($C9, Batch!$B$27:$S$36, 14, FALSE),0),"")/6),"")</f>
        <v>0</v>
      </c>
      <c r="AJ9" s="12">
        <f>IFERROR((IF(ISNUMBER($D9), ROUNDUP(($J9/70)*VLOOKUP($C9, Batch!$B$27:$S$36, 15, FALSE),0),"")/6),"")</f>
        <v>0</v>
      </c>
      <c r="AK9" s="12">
        <f>IFERROR((IF(ISNUMBER($D9), ROUNDUP(($J9/70)*VLOOKUP($C9, Batch!$B$27:$S$36, 16, FALSE),0),"")/6), "")</f>
        <v>0</v>
      </c>
      <c r="AL9" s="12">
        <f>IFERROR((IF(ISNUMBER($D9), ROUNDUP(($J9/70)*VLOOKUP($C9, Batch!$B$27:$S$36, 17, FALSE),0),"")/6), "")</f>
        <v>0</v>
      </c>
      <c r="AM9" s="12">
        <f>IFERROR((IF(ISNUMBER($D9), ROUNDUP(($J9/70)*VLOOKUP($C9, Batch!$B$27:$S$36, 18, FALSE),0),"")/6),"")</f>
        <v>0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</row>
    <row r="10" spans="1:114" s="19" customFormat="1" x14ac:dyDescent="0.3">
      <c r="A10"/>
      <c r="B10" s="17">
        <v>7.7</v>
      </c>
      <c r="C10" s="17" t="s">
        <v>12</v>
      </c>
      <c r="D10" s="17"/>
      <c r="E10" s="17">
        <v>3600</v>
      </c>
      <c r="F10" s="18">
        <f t="shared" si="2"/>
        <v>4.79</v>
      </c>
      <c r="G10" s="3"/>
      <c r="H10" s="18">
        <f t="shared" ref="H10" si="12">ROUND((E10*VALUE(LEFT(B10,3)*120*60*8)/(F10*14400*2.2046*36))*D10,2)</f>
        <v>0</v>
      </c>
      <c r="I10" s="17">
        <f>H10*0.8</f>
        <v>0</v>
      </c>
      <c r="J10" s="12">
        <f t="shared" si="4"/>
        <v>0</v>
      </c>
      <c r="K10"/>
      <c r="L10" s="17">
        <f t="shared" ref="L10" si="13">ROUND(J10/71.82*2,0)/2</f>
        <v>0</v>
      </c>
      <c r="M10" s="17">
        <f>L10/4</f>
        <v>0</v>
      </c>
      <c r="N10" s="17">
        <f>ROUND(L10/3.1428*2,0)/2</f>
        <v>0</v>
      </c>
      <c r="O10" s="17">
        <f>N10/2</f>
        <v>0</v>
      </c>
      <c r="P10"/>
      <c r="Q10" s="12">
        <f t="shared" si="8"/>
        <v>0</v>
      </c>
      <c r="R10" s="17">
        <f>Q10*480</f>
        <v>0</v>
      </c>
      <c r="S10" s="1"/>
      <c r="T10" s="12">
        <f t="shared" si="9"/>
        <v>0</v>
      </c>
      <c r="U10" s="17">
        <f>T10*480</f>
        <v>0</v>
      </c>
      <c r="V10"/>
      <c r="W10" s="17" t="str">
        <f>IFERROR((IF(ISNUMBER($D10), ROUNDUP(($J10/70)*VLOOKUP($C10, Batch!$B$27:$S$36, 2, FALSE),0),"")/6), "")</f>
        <v/>
      </c>
      <c r="X10" s="17" t="str">
        <f>IFERROR((IF(ISNUMBER($D10), ROUNDUP(($J10/70)*VLOOKUP($C10, Batch!$B$27:$S$36, 3, FALSE),0),"")/6), "")</f>
        <v/>
      </c>
      <c r="Y10" s="17" t="str">
        <f>IFERROR((IF(ISNUMBER($D10), ROUNDUP(($J10/70)*VLOOKUP($C10, Batch!$B$27:$S$36, 4, FALSE),0),"")/6), "")</f>
        <v/>
      </c>
      <c r="Z10" s="17" t="str">
        <f>IFERROR((IF(ISNUMBER($D10), ROUNDUP(($J10/70)*VLOOKUP($C10, Batch!$B$27:$S$36, 5, FALSE),0),"")/6),"")</f>
        <v/>
      </c>
      <c r="AA10" s="17" t="str">
        <f>IFERROR((IF(ISNUMBER($D10), ROUNDUP(($J10/70)*VLOOKUP($C10, Batch!$B$27:$S$36, 6, FALSE),0),"")/6), "")</f>
        <v/>
      </c>
      <c r="AB10" s="17" t="str">
        <f>IFERROR((IF(ISNUMBER($D10), ROUNDUP(($J10/70)*VLOOKUP($C10, Batch!$B$27:$S$36, 7, FALSE),0),"")/6), "")</f>
        <v/>
      </c>
      <c r="AC10" s="17" t="str">
        <f>IFERROR((IF(ISNUMBER($D10), ROUNDUP(($J10/70)*VLOOKUP($C10, Batch!$B$27:$S$36, 8, FALSE),0),"")/6), "")</f>
        <v/>
      </c>
      <c r="AD10" s="17" t="str">
        <f>IFERROR((IF(ISNUMBER($D10), ROUNDUP(($J10/70)*VLOOKUP($C10, Batch!$B$27:$S$36, 9, FALSE),0),"")/6), "")</f>
        <v/>
      </c>
      <c r="AE10" s="17" t="str">
        <f>IFERROR((IF(ISNUMBER($D10), ROUNDUP(($J10/70)*VLOOKUP($C10, Batch!$B$27:$S$36, 10, FALSE),0),"")/6), "")</f>
        <v/>
      </c>
      <c r="AF10" s="17" t="str">
        <f>IFERROR((IF(ISNUMBER($D10), ROUNDUP(($J10/70)*VLOOKUP($C10, Batch!$B$27:$S$36, 11, FALSE),0),"")/6), "")</f>
        <v/>
      </c>
      <c r="AG10" s="17" t="str">
        <f>IFERROR((IF(ISNUMBER($D10), ROUNDUP(($J10/70)*VLOOKUP($C10, Batch!$B$27:$S$36, 12, FALSE),0),"")/6), "")</f>
        <v/>
      </c>
      <c r="AH10" s="17" t="str">
        <f>IFERROR((IF(ISNUMBER($D10), ROUNDUP(($J10/70)*VLOOKUP($C10, Batch!$B$27:$S$36, 13, FALSE),0),"")/6), "")</f>
        <v/>
      </c>
      <c r="AI10" s="17" t="str">
        <f>IFERROR((IF(ISNUMBER($D10), ROUNDUP(($J10/70)*VLOOKUP($C10, Batch!$B$27:$S$36, 14, FALSE),0),"")/6),"")</f>
        <v/>
      </c>
      <c r="AJ10" s="17" t="str">
        <f>IFERROR((IF(ISNUMBER($D10), ROUNDUP(($J10/70)*VLOOKUP($C10, Batch!$B$27:$S$36, 15, FALSE),0),"")/6),"")</f>
        <v/>
      </c>
      <c r="AK10" s="17" t="str">
        <f>IFERROR((IF(ISNUMBER($D10), ROUNDUP(($J10/70)*VLOOKUP($C10, Batch!$B$27:$S$36, 16, FALSE),0),"")/6), "")</f>
        <v/>
      </c>
      <c r="AL10" s="17" t="str">
        <f>IFERROR((IF(ISNUMBER($D10), ROUNDUP(($J10/70)*VLOOKUP($C10, Batch!$B$27:$S$36, 17, FALSE),0),"")/6), "")</f>
        <v/>
      </c>
      <c r="AM10" s="17" t="str">
        <f>IFERROR((IF(ISNUMBER($D10), ROUNDUP(($J10/70)*VLOOKUP($C10, Batch!$B$27:$S$36, 18, FALSE),0),"")/6),"")</f>
        <v/>
      </c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</row>
    <row r="11" spans="1:114" s="25" customFormat="1" x14ac:dyDescent="0.3">
      <c r="A11"/>
      <c r="B11" s="23">
        <v>8</v>
      </c>
      <c r="C11" s="23" t="s">
        <v>13</v>
      </c>
      <c r="D11" s="23">
        <v>18</v>
      </c>
      <c r="E11" s="23">
        <v>4000</v>
      </c>
      <c r="F11" s="24">
        <f t="shared" si="2"/>
        <v>4.7</v>
      </c>
      <c r="G11" s="3"/>
      <c r="H11" s="24">
        <f t="shared" si="0"/>
        <v>6176.64</v>
      </c>
      <c r="I11" s="23">
        <f t="shared" si="3"/>
        <v>4941.3120000000008</v>
      </c>
      <c r="J11" s="12">
        <f t="shared" si="4"/>
        <v>4632.4800000000005</v>
      </c>
      <c r="K11"/>
      <c r="L11" s="23">
        <f t="shared" si="1"/>
        <v>64.5</v>
      </c>
      <c r="M11" s="23">
        <f t="shared" si="5"/>
        <v>16.125</v>
      </c>
      <c r="N11" s="23">
        <f t="shared" si="6"/>
        <v>20.5</v>
      </c>
      <c r="O11" s="23">
        <f t="shared" si="7"/>
        <v>10.25</v>
      </c>
      <c r="P11"/>
      <c r="Q11" s="12">
        <f t="shared" si="8"/>
        <v>3.22</v>
      </c>
      <c r="R11" s="23">
        <f t="shared" si="10"/>
        <v>1545.6000000000001</v>
      </c>
      <c r="S11" s="1"/>
      <c r="T11" s="12">
        <f t="shared" si="9"/>
        <v>2.0499999999999998</v>
      </c>
      <c r="U11" s="23">
        <f t="shared" ref="U11:U25" si="14">T11*480</f>
        <v>983.99999999999989</v>
      </c>
      <c r="V11"/>
      <c r="W11" s="23">
        <f>IFERROR((IF(ISNUMBER($D11), ROUNDUP(($J11/70)*VLOOKUP($C11, Batch!$B$27:$S$36, 2, FALSE),0),"")/6), "")</f>
        <v>0</v>
      </c>
      <c r="X11" s="23">
        <f>IFERROR((IF(ISNUMBER($D11), ROUNDUP(($J11/70)*VLOOKUP($C11, Batch!$B$27:$S$36, 3, FALSE),0),"")/6), "")</f>
        <v>0</v>
      </c>
      <c r="Y11" s="23">
        <f>IFERROR((IF(ISNUMBER($D11), ROUNDUP(($J11/70)*VLOOKUP($C11, Batch!$B$27:$S$36, 4, FALSE),0),"")/6), "")</f>
        <v>0</v>
      </c>
      <c r="Z11" s="23">
        <f>IFERROR((IF(ISNUMBER($D11), ROUNDUP(($J11/70)*VLOOKUP($C11, Batch!$B$27:$S$36, 5, FALSE),0),"")/6),"")</f>
        <v>0</v>
      </c>
      <c r="AA11" s="23">
        <f>IFERROR((IF(ISNUMBER($D11), ROUNDUP(($J11/70)*VLOOKUP($C11, Batch!$B$27:$S$36, 6, FALSE),0),"")/6), "")</f>
        <v>0</v>
      </c>
      <c r="AB11" s="23">
        <f>IFERROR((IF(ISNUMBER($D11), ROUNDUP(($J11/70)*VLOOKUP($C11, Batch!$B$27:$S$36, 7, FALSE),0),"")/6), "")</f>
        <v>0</v>
      </c>
      <c r="AC11" s="23">
        <f>IFERROR((IF(ISNUMBER($D11), ROUNDUP(($J11/70)*VLOOKUP($C11, Batch!$B$27:$S$36, 8, FALSE),0),"")/6), "")</f>
        <v>11.166666666666666</v>
      </c>
      <c r="AD11" s="23">
        <f>IFERROR((IF(ISNUMBER($D11), ROUNDUP(($J11/70)*VLOOKUP($C11, Batch!$B$27:$S$36, 9, FALSE),0),"")/6), "")</f>
        <v>33.166666666666664</v>
      </c>
      <c r="AE11" s="23">
        <f>IFERROR((IF(ISNUMBER($D11), ROUNDUP(($J11/70)*VLOOKUP($C11, Batch!$B$27:$S$36, 10, FALSE),0),"")/6), "")</f>
        <v>22.166666666666668</v>
      </c>
      <c r="AF11" s="23">
        <f>IFERROR((IF(ISNUMBER($D11), ROUNDUP(($J11/70)*VLOOKUP($C11, Batch!$B$27:$S$36, 11, FALSE),0),"")/6), "")</f>
        <v>0</v>
      </c>
      <c r="AG11" s="23">
        <f>IFERROR((IF(ISNUMBER($D11), ROUNDUP(($J11/70)*VLOOKUP($C11, Batch!$B$27:$S$36, 12, FALSE),0),"")/6), "")</f>
        <v>0</v>
      </c>
      <c r="AH11" s="23">
        <f>IFERROR((IF(ISNUMBER($D11), ROUNDUP(($J11/70)*VLOOKUP($C11, Batch!$B$27:$S$36, 13, FALSE),0),"")/6), "")</f>
        <v>0</v>
      </c>
      <c r="AI11" s="23">
        <f>IFERROR((IF(ISNUMBER($D11), ROUNDUP(($J11/70)*VLOOKUP($C11, Batch!$B$27:$S$36, 14, FALSE),0),"")/6),"")</f>
        <v>0</v>
      </c>
      <c r="AJ11" s="23">
        <f>IFERROR((IF(ISNUMBER($D11), ROUNDUP(($J11/70)*VLOOKUP($C11, Batch!$B$27:$S$36, 15, FALSE),0),"")/6),"")</f>
        <v>0</v>
      </c>
      <c r="AK11" s="23">
        <f>IFERROR((IF(ISNUMBER($D11), ROUNDUP(($J11/70)*VLOOKUP($C11, Batch!$B$27:$S$36, 16, FALSE),0),"")/6), "")</f>
        <v>0</v>
      </c>
      <c r="AL11" s="23">
        <f>IFERROR((IF(ISNUMBER($D11), ROUNDUP(($J11/70)*VLOOKUP($C11, Batch!$B$27:$S$36, 17, FALSE),0),"")/6), "")</f>
        <v>0</v>
      </c>
      <c r="AM11" s="23">
        <f>IFERROR((IF(ISNUMBER($D11), ROUNDUP(($J11/70)*VLOOKUP($C11, Batch!$B$27:$S$36, 18, FALSE),0),"")/6),"")</f>
        <v>0</v>
      </c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</row>
    <row r="12" spans="1:114" s="22" customFormat="1" x14ac:dyDescent="0.3">
      <c r="A12"/>
      <c r="B12" s="20">
        <v>8</v>
      </c>
      <c r="C12" s="20" t="s">
        <v>12</v>
      </c>
      <c r="D12" s="20"/>
      <c r="E12" s="20">
        <v>3800</v>
      </c>
      <c r="F12" s="21">
        <f t="shared" si="2"/>
        <v>4.7</v>
      </c>
      <c r="G12" s="3"/>
      <c r="H12" s="21">
        <f t="shared" si="0"/>
        <v>0</v>
      </c>
      <c r="I12" s="20">
        <f t="shared" si="3"/>
        <v>0</v>
      </c>
      <c r="J12" s="12">
        <f t="shared" si="4"/>
        <v>0</v>
      </c>
      <c r="K12"/>
      <c r="L12" s="20">
        <f t="shared" si="1"/>
        <v>0</v>
      </c>
      <c r="M12" s="20">
        <f t="shared" si="5"/>
        <v>0</v>
      </c>
      <c r="N12" s="20">
        <f t="shared" si="6"/>
        <v>0</v>
      </c>
      <c r="O12" s="20">
        <f t="shared" si="7"/>
        <v>0</v>
      </c>
      <c r="P12"/>
      <c r="Q12" s="12">
        <f t="shared" si="8"/>
        <v>0</v>
      </c>
      <c r="R12" s="20">
        <f t="shared" si="10"/>
        <v>0</v>
      </c>
      <c r="S12" s="1"/>
      <c r="T12" s="12">
        <f t="shared" si="9"/>
        <v>0</v>
      </c>
      <c r="U12" s="20">
        <f t="shared" si="14"/>
        <v>0</v>
      </c>
      <c r="V12"/>
      <c r="W12" s="20" t="str">
        <f>IFERROR((IF(ISNUMBER($D12), ROUNDUP(($J12/70)*VLOOKUP($C12, Batch!$B$27:$S$36, 2, FALSE),0),"")/6), "")</f>
        <v/>
      </c>
      <c r="X12" s="20" t="str">
        <f>IFERROR((IF(ISNUMBER($D12), ROUNDUP(($J12/70)*VLOOKUP($C12, Batch!$B$27:$S$36, 3, FALSE),0),"")/6), "")</f>
        <v/>
      </c>
      <c r="Y12" s="20" t="str">
        <f>IFERROR((IF(ISNUMBER($D12), ROUNDUP(($J12/70)*VLOOKUP($C12, Batch!$B$27:$S$36, 4, FALSE),0),"")/6), "")</f>
        <v/>
      </c>
      <c r="Z12" s="20" t="str">
        <f>IFERROR((IF(ISNUMBER($D12), ROUNDUP(($J12/70)*VLOOKUP($C12, Batch!$B$27:$S$36, 5, FALSE),0),"")/6),"")</f>
        <v/>
      </c>
      <c r="AA12" s="20" t="str">
        <f>IFERROR((IF(ISNUMBER($D12), ROUNDUP(($J12/70)*VLOOKUP($C12, Batch!$B$27:$S$36, 6, FALSE),0),"")/6), "")</f>
        <v/>
      </c>
      <c r="AB12" s="20" t="str">
        <f>IFERROR((IF(ISNUMBER($D12), ROUNDUP(($J12/70)*VLOOKUP($C12, Batch!$B$27:$S$36, 7, FALSE),0),"")/6), "")</f>
        <v/>
      </c>
      <c r="AC12" s="20" t="str">
        <f>IFERROR((IF(ISNUMBER($D12), ROUNDUP(($J12/70)*VLOOKUP($C12, Batch!$B$27:$S$36, 8, FALSE),0),"")/6), "")</f>
        <v/>
      </c>
      <c r="AD12" s="20" t="str">
        <f>IFERROR((IF(ISNUMBER($D12), ROUNDUP(($J12/70)*VLOOKUP($C12, Batch!$B$27:$S$36, 9, FALSE),0),"")/6), "")</f>
        <v/>
      </c>
      <c r="AE12" s="20" t="str">
        <f>IFERROR((IF(ISNUMBER($D12), ROUNDUP(($J12/70)*VLOOKUP($C12, Batch!$B$27:$S$36, 10, FALSE),0),"")/6), "")</f>
        <v/>
      </c>
      <c r="AF12" s="20" t="str">
        <f>IFERROR((IF(ISNUMBER($D12), ROUNDUP(($J12/70)*VLOOKUP($C12, Batch!$B$27:$S$36, 11, FALSE),0),"")/6), "")</f>
        <v/>
      </c>
      <c r="AG12" s="20" t="str">
        <f>IFERROR((IF(ISNUMBER($D12), ROUNDUP(($J12/70)*VLOOKUP($C12, Batch!$B$27:$S$36, 12, FALSE),0),"")/6), "")</f>
        <v/>
      </c>
      <c r="AH12" s="20" t="str">
        <f>IFERROR((IF(ISNUMBER($D12), ROUNDUP(($J12/70)*VLOOKUP($C12, Batch!$B$27:$S$36, 13, FALSE),0),"")/6), "")</f>
        <v/>
      </c>
      <c r="AI12" s="20" t="str">
        <f>IFERROR((IF(ISNUMBER($D12), ROUNDUP(($J12/70)*VLOOKUP($C12, Batch!$B$27:$S$36, 14, FALSE),0),"")/6),"")</f>
        <v/>
      </c>
      <c r="AJ12" s="20" t="str">
        <f>IFERROR((IF(ISNUMBER($D12), ROUNDUP(($J12/70)*VLOOKUP($C12, Batch!$B$27:$S$36, 15, FALSE),0),"")/6),"")</f>
        <v/>
      </c>
      <c r="AK12" s="20" t="str">
        <f>IFERROR((IF(ISNUMBER($D12), ROUNDUP(($J12/70)*VLOOKUP($C12, Batch!$B$27:$S$36, 16, FALSE),0),"")/6), "")</f>
        <v/>
      </c>
      <c r="AL12" s="20" t="str">
        <f>IFERROR((IF(ISNUMBER($D12), ROUNDUP(($J12/70)*VLOOKUP($C12, Batch!$B$27:$S$36, 17, FALSE),0),"")/6), "")</f>
        <v/>
      </c>
      <c r="AM12" s="20" t="str">
        <f>IFERROR((IF(ISNUMBER($D12), ROUNDUP(($J12/70)*VLOOKUP($C12, Batch!$B$27:$S$36, 18, FALSE),0),"")/6),"")</f>
        <v/>
      </c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</row>
    <row r="13" spans="1:114" s="16" customFormat="1" x14ac:dyDescent="0.3">
      <c r="A13"/>
      <c r="B13" s="12">
        <v>8.25</v>
      </c>
      <c r="C13" s="12" t="s">
        <v>11</v>
      </c>
      <c r="D13" s="12">
        <v>5</v>
      </c>
      <c r="E13" s="12">
        <v>3800</v>
      </c>
      <c r="F13" s="13">
        <f t="shared" si="2"/>
        <v>4.63</v>
      </c>
      <c r="G13" s="3"/>
      <c r="H13" s="13">
        <f t="shared" si="0"/>
        <v>1695.95</v>
      </c>
      <c r="I13" s="12">
        <f t="shared" si="3"/>
        <v>1356.7600000000002</v>
      </c>
      <c r="J13" s="12">
        <f t="shared" si="4"/>
        <v>1271.9625000000001</v>
      </c>
      <c r="K13"/>
      <c r="L13" s="12">
        <f t="shared" si="1"/>
        <v>17.5</v>
      </c>
      <c r="M13" s="12">
        <f t="shared" si="5"/>
        <v>4.375</v>
      </c>
      <c r="N13" s="12">
        <f t="shared" si="6"/>
        <v>5.5</v>
      </c>
      <c r="O13" s="12">
        <f t="shared" si="7"/>
        <v>2.75</v>
      </c>
      <c r="P13"/>
      <c r="Q13" s="12">
        <f t="shared" si="8"/>
        <v>0.88</v>
      </c>
      <c r="R13" s="12">
        <f t="shared" si="10"/>
        <v>422.4</v>
      </c>
      <c r="S13" s="1"/>
      <c r="T13" s="12">
        <f t="shared" si="9"/>
        <v>0.56000000000000005</v>
      </c>
      <c r="U13" s="12">
        <f t="shared" si="14"/>
        <v>268.8</v>
      </c>
      <c r="V13"/>
      <c r="W13" s="12">
        <f>IFERROR((IF(ISNUMBER($D13), ROUNDUP(($J13/70)*VLOOKUP($C13, Batch!$B$27:$S$36, 2, FALSE),0),"")/6), "")</f>
        <v>0</v>
      </c>
      <c r="X13" s="12">
        <f>IFERROR((IF(ISNUMBER($D13), ROUNDUP(($J13/70)*VLOOKUP($C13, Batch!$B$27:$S$36, 3, FALSE),0),"")/6), "")</f>
        <v>0</v>
      </c>
      <c r="Y13" s="12">
        <f>IFERROR((IF(ISNUMBER($D13), ROUNDUP(($J13/70)*VLOOKUP($C13, Batch!$B$27:$S$36, 4, FALSE),0),"")/6), "")</f>
        <v>0</v>
      </c>
      <c r="Z13" s="12">
        <f>IFERROR((IF(ISNUMBER($D13), ROUNDUP(($J13/70)*VLOOKUP($C13, Batch!$B$27:$S$36, 5, FALSE),0),"")/6),"")</f>
        <v>0</v>
      </c>
      <c r="AA13" s="12">
        <f>IFERROR((IF(ISNUMBER($D13), ROUNDUP(($J13/70)*VLOOKUP($C13, Batch!$B$27:$S$36, 6, FALSE),0),"")/6), "")</f>
        <v>0</v>
      </c>
      <c r="AB13" s="12">
        <f>IFERROR((IF(ISNUMBER($D13), ROUNDUP(($J13/70)*VLOOKUP($C13, Batch!$B$27:$S$36, 7, FALSE),0),"")/6), "")</f>
        <v>0</v>
      </c>
      <c r="AC13" s="12">
        <f>IFERROR((IF(ISNUMBER($D13), ROUNDUP(($J13/70)*VLOOKUP($C13, Batch!$B$27:$S$36, 8, FALSE),0),"")/6), "")</f>
        <v>0</v>
      </c>
      <c r="AD13" s="12">
        <f>IFERROR((IF(ISNUMBER($D13), ROUNDUP(($J13/70)*VLOOKUP($C13, Batch!$B$27:$S$36, 9, FALSE),0),"")/6), "")</f>
        <v>0</v>
      </c>
      <c r="AE13" s="12">
        <f>IFERROR((IF(ISNUMBER($D13), ROUNDUP(($J13/70)*VLOOKUP($C13, Batch!$B$27:$S$36, 10, FALSE),0),"")/6), "")</f>
        <v>0</v>
      </c>
      <c r="AF13" s="12">
        <f>IFERROR((IF(ISNUMBER($D13), ROUNDUP(($J13/70)*VLOOKUP($C13, Batch!$B$27:$S$36, 11, FALSE),0),"")/6), "")</f>
        <v>0</v>
      </c>
      <c r="AG13" s="12">
        <f>IFERROR((IF(ISNUMBER($D13), ROUNDUP(($J13/70)*VLOOKUP($C13, Batch!$B$27:$S$36, 12, FALSE),0),"")/6), "")</f>
        <v>18.333333333333332</v>
      </c>
      <c r="AH13" s="12">
        <f>IFERROR((IF(ISNUMBER($D13), ROUNDUP(($J13/70)*VLOOKUP($C13, Batch!$B$27:$S$36, 13, FALSE),0),"")/6), "")</f>
        <v>0</v>
      </c>
      <c r="AI13" s="12">
        <f>IFERROR((IF(ISNUMBER($D13), ROUNDUP(($J13/70)*VLOOKUP($C13, Batch!$B$27:$S$36, 14, FALSE),0),"")/6),"")</f>
        <v>0</v>
      </c>
      <c r="AJ13" s="12">
        <f>IFERROR((IF(ISNUMBER($D13), ROUNDUP(($J13/70)*VLOOKUP($C13, Batch!$B$27:$S$36, 15, FALSE),0),"")/6),"")</f>
        <v>0</v>
      </c>
      <c r="AK13" s="12">
        <f>IFERROR((IF(ISNUMBER($D13), ROUNDUP(($J13/70)*VLOOKUP($C13, Batch!$B$27:$S$36, 16, FALSE),0),"")/6), "")</f>
        <v>0</v>
      </c>
      <c r="AL13" s="12">
        <f>IFERROR((IF(ISNUMBER($D13), ROUNDUP(($J13/70)*VLOOKUP($C13, Batch!$B$27:$S$36, 17, FALSE),0),"")/6), "")</f>
        <v>0</v>
      </c>
      <c r="AM13" s="12">
        <f>IFERROR((IF(ISNUMBER($D13), ROUNDUP(($J13/70)*VLOOKUP($C13, Batch!$B$27:$S$36, 18, FALSE),0),"")/6),"")</f>
        <v>0</v>
      </c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</row>
    <row r="14" spans="1:114" s="19" customFormat="1" x14ac:dyDescent="0.3">
      <c r="A14"/>
      <c r="B14" s="17">
        <v>8</v>
      </c>
      <c r="C14" s="17" t="s">
        <v>11</v>
      </c>
      <c r="D14" s="17">
        <v>3</v>
      </c>
      <c r="E14" s="17">
        <v>3800</v>
      </c>
      <c r="F14" s="18">
        <f t="shared" si="2"/>
        <v>4.7</v>
      </c>
      <c r="G14" s="3"/>
      <c r="H14" s="18">
        <f t="shared" si="0"/>
        <v>977.97</v>
      </c>
      <c r="I14" s="17">
        <f t="shared" si="3"/>
        <v>782.37600000000009</v>
      </c>
      <c r="J14" s="12">
        <f t="shared" si="4"/>
        <v>733.47749999999996</v>
      </c>
      <c r="K14"/>
      <c r="L14" s="17">
        <f t="shared" si="1"/>
        <v>10</v>
      </c>
      <c r="M14" s="17">
        <f t="shared" si="5"/>
        <v>2.5</v>
      </c>
      <c r="N14" s="17">
        <f t="shared" si="6"/>
        <v>3</v>
      </c>
      <c r="O14" s="17">
        <f t="shared" si="7"/>
        <v>1.5</v>
      </c>
      <c r="P14"/>
      <c r="Q14" s="12">
        <f t="shared" si="8"/>
        <v>0.51</v>
      </c>
      <c r="R14" s="17">
        <f t="shared" si="10"/>
        <v>244.8</v>
      </c>
      <c r="S14" s="1"/>
      <c r="T14" s="12">
        <f t="shared" si="9"/>
        <v>0.32</v>
      </c>
      <c r="U14" s="17">
        <f t="shared" si="14"/>
        <v>153.6</v>
      </c>
      <c r="V14"/>
      <c r="W14" s="17">
        <f>IFERROR((IF(ISNUMBER($D14), ROUNDUP(($J14/70)*VLOOKUP($C14, Batch!$B$27:$S$36, 2, FALSE),0),"")/6), "")</f>
        <v>0</v>
      </c>
      <c r="X14" s="17">
        <f>IFERROR((IF(ISNUMBER($D14), ROUNDUP(($J14/70)*VLOOKUP($C14, Batch!$B$27:$S$36, 3, FALSE),0),"")/6), "")</f>
        <v>0</v>
      </c>
      <c r="Y14" s="17">
        <f>IFERROR((IF(ISNUMBER($D14), ROUNDUP(($J14/70)*VLOOKUP($C14, Batch!$B$27:$S$36, 4, FALSE),0),"")/6), "")</f>
        <v>0</v>
      </c>
      <c r="Z14" s="17">
        <f>IFERROR((IF(ISNUMBER($D14), ROUNDUP(($J14/70)*VLOOKUP($C14, Batch!$B$27:$S$36, 5, FALSE),0),"")/6),"")</f>
        <v>0</v>
      </c>
      <c r="AA14" s="17">
        <f>IFERROR((IF(ISNUMBER($D14), ROUNDUP(($J14/70)*VLOOKUP($C14, Batch!$B$27:$S$36, 6, FALSE),0),"")/6), "")</f>
        <v>0</v>
      </c>
      <c r="AB14" s="17">
        <f>IFERROR((IF(ISNUMBER($D14), ROUNDUP(($J14/70)*VLOOKUP($C14, Batch!$B$27:$S$36, 7, FALSE),0),"")/6), "")</f>
        <v>0</v>
      </c>
      <c r="AC14" s="17">
        <f>IFERROR((IF(ISNUMBER($D14), ROUNDUP(($J14/70)*VLOOKUP($C14, Batch!$B$27:$S$36, 8, FALSE),0),"")/6), "")</f>
        <v>0</v>
      </c>
      <c r="AD14" s="17">
        <f>IFERROR((IF(ISNUMBER($D14), ROUNDUP(($J14/70)*VLOOKUP($C14, Batch!$B$27:$S$36, 9, FALSE),0),"")/6), "")</f>
        <v>0</v>
      </c>
      <c r="AE14" s="17">
        <f>IFERROR((IF(ISNUMBER($D14), ROUNDUP(($J14/70)*VLOOKUP($C14, Batch!$B$27:$S$36, 10, FALSE),0),"")/6), "")</f>
        <v>0</v>
      </c>
      <c r="AF14" s="17">
        <f>IFERROR((IF(ISNUMBER($D14), ROUNDUP(($J14/70)*VLOOKUP($C14, Batch!$B$27:$S$36, 11, FALSE),0),"")/6), "")</f>
        <v>0</v>
      </c>
      <c r="AG14" s="17">
        <f>IFERROR((IF(ISNUMBER($D14), ROUNDUP(($J14/70)*VLOOKUP($C14, Batch!$B$27:$S$36, 12, FALSE),0),"")/6), "")</f>
        <v>10.5</v>
      </c>
      <c r="AH14" s="17">
        <f>IFERROR((IF(ISNUMBER($D14), ROUNDUP(($J14/70)*VLOOKUP($C14, Batch!$B$27:$S$36, 13, FALSE),0),"")/6), "")</f>
        <v>0</v>
      </c>
      <c r="AI14" s="17">
        <f>IFERROR((IF(ISNUMBER($D14), ROUNDUP(($J14/70)*VLOOKUP($C14, Batch!$B$27:$S$36, 14, FALSE),0),"")/6),"")</f>
        <v>0</v>
      </c>
      <c r="AJ14" s="17">
        <f>IFERROR((IF(ISNUMBER($D14), ROUNDUP(($J14/70)*VLOOKUP($C14, Batch!$B$27:$S$36, 15, FALSE),0),"")/6),"")</f>
        <v>0</v>
      </c>
      <c r="AK14" s="17">
        <f>IFERROR((IF(ISNUMBER($D14), ROUNDUP(($J14/70)*VLOOKUP($C14, Batch!$B$27:$S$36, 16, FALSE),0),"")/6), "")</f>
        <v>0</v>
      </c>
      <c r="AL14" s="17">
        <f>IFERROR((IF(ISNUMBER($D14), ROUNDUP(($J14/70)*VLOOKUP($C14, Batch!$B$27:$S$36, 17, FALSE),0),"")/6), "")</f>
        <v>0</v>
      </c>
      <c r="AM14" s="17">
        <f>IFERROR((IF(ISNUMBER($D14), ROUNDUP(($J14/70)*VLOOKUP($C14, Batch!$B$27:$S$36, 18, FALSE),0),"")/6),"")</f>
        <v>0</v>
      </c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</row>
    <row r="15" spans="1:114" s="25" customFormat="1" x14ac:dyDescent="0.3">
      <c r="A15"/>
      <c r="B15" s="23">
        <v>8.25</v>
      </c>
      <c r="C15" s="23" t="s">
        <v>36</v>
      </c>
      <c r="D15" s="23"/>
      <c r="E15" s="23">
        <v>3100</v>
      </c>
      <c r="F15" s="24">
        <f t="shared" si="2"/>
        <v>4.63</v>
      </c>
      <c r="G15" s="3"/>
      <c r="H15" s="24">
        <f t="shared" si="0"/>
        <v>0</v>
      </c>
      <c r="I15" s="23">
        <f t="shared" si="3"/>
        <v>0</v>
      </c>
      <c r="J15" s="12">
        <f t="shared" si="4"/>
        <v>0</v>
      </c>
      <c r="K15"/>
      <c r="L15" s="23">
        <f t="shared" si="1"/>
        <v>0</v>
      </c>
      <c r="M15" s="23">
        <f t="shared" si="5"/>
        <v>0</v>
      </c>
      <c r="N15" s="23">
        <f t="shared" si="6"/>
        <v>0</v>
      </c>
      <c r="O15" s="23">
        <f t="shared" si="7"/>
        <v>0</v>
      </c>
      <c r="P15"/>
      <c r="Q15" s="12">
        <f t="shared" si="8"/>
        <v>0</v>
      </c>
      <c r="R15" s="23">
        <f t="shared" si="10"/>
        <v>0</v>
      </c>
      <c r="S15" s="1"/>
      <c r="T15" s="12">
        <f t="shared" si="9"/>
        <v>0</v>
      </c>
      <c r="U15" s="23">
        <f t="shared" si="14"/>
        <v>0</v>
      </c>
      <c r="V15"/>
      <c r="W15" s="23" t="str">
        <f>IFERROR((IF(ISNUMBER($D15), ROUNDUP(($J15/70)*VLOOKUP($C15, Batch!$B$27:$S$36, 2, FALSE),0),"")/6), "")</f>
        <v/>
      </c>
      <c r="X15" s="23" t="str">
        <f>IFERROR((IF(ISNUMBER($D15), ROUNDUP(($J15/70)*VLOOKUP($C15, Batch!$B$27:$S$36, 3, FALSE),0),"")/6), "")</f>
        <v/>
      </c>
      <c r="Y15" s="23" t="str">
        <f>IFERROR((IF(ISNUMBER($D15), ROUNDUP(($J15/70)*VLOOKUP($C15, Batch!$B$27:$S$36, 4, FALSE),0),"")/6), "")</f>
        <v/>
      </c>
      <c r="Z15" s="23" t="str">
        <f>IFERROR((IF(ISNUMBER($D15), ROUNDUP(($J15/70)*VLOOKUP($C15, Batch!$B$27:$S$36, 5, FALSE),0),"")/6),"")</f>
        <v/>
      </c>
      <c r="AA15" s="23" t="str">
        <f>IFERROR((IF(ISNUMBER($D15), ROUNDUP(($J15/70)*VLOOKUP($C15, Batch!$B$27:$S$36, 6, FALSE),0),"")/6), "")</f>
        <v/>
      </c>
      <c r="AB15" s="23" t="str">
        <f>IFERROR((IF(ISNUMBER($D15), ROUNDUP(($J15/70)*VLOOKUP($C15, Batch!$B$27:$S$36, 7, FALSE),0),"")/6), "")</f>
        <v/>
      </c>
      <c r="AC15" s="23" t="str">
        <f>IFERROR((IF(ISNUMBER($D15), ROUNDUP(($J15/70)*VLOOKUP($C15, Batch!$B$27:$S$36, 8, FALSE),0),"")/6), "")</f>
        <v/>
      </c>
      <c r="AD15" s="23" t="str">
        <f>IFERROR((IF(ISNUMBER($D15), ROUNDUP(($J15/70)*VLOOKUP($C15, Batch!$B$27:$S$36, 9, FALSE),0),"")/6), "")</f>
        <v/>
      </c>
      <c r="AE15" s="23" t="str">
        <f>IFERROR((IF(ISNUMBER($D15), ROUNDUP(($J15/70)*VLOOKUP($C15, Batch!$B$27:$S$36, 10, FALSE),0),"")/6), "")</f>
        <v/>
      </c>
      <c r="AF15" s="23" t="str">
        <f>IFERROR((IF(ISNUMBER($D15), ROUNDUP(($J15/70)*VLOOKUP($C15, Batch!$B$27:$S$36, 11, FALSE),0),"")/6), "")</f>
        <v/>
      </c>
      <c r="AG15" s="23" t="str">
        <f>IFERROR((IF(ISNUMBER($D15), ROUNDUP(($J15/70)*VLOOKUP($C15, Batch!$B$27:$S$36, 12, FALSE),0),"")/6), "")</f>
        <v/>
      </c>
      <c r="AH15" s="23" t="str">
        <f>IFERROR((IF(ISNUMBER($D15), ROUNDUP(($J15/70)*VLOOKUP($C15, Batch!$B$27:$S$36, 13, FALSE),0),"")/6), "")</f>
        <v/>
      </c>
      <c r="AI15" s="23" t="str">
        <f>IFERROR((IF(ISNUMBER($D15), ROUNDUP(($J15/70)*VLOOKUP($C15, Batch!$B$27:$S$36, 14, FALSE),0),"")/6),"")</f>
        <v/>
      </c>
      <c r="AJ15" s="23" t="str">
        <f>IFERROR((IF(ISNUMBER($D15), ROUNDUP(($J15/70)*VLOOKUP($C15, Batch!$B$27:$S$36, 15, FALSE),0),"")/6),"")</f>
        <v/>
      </c>
      <c r="AK15" s="23" t="str">
        <f>IFERROR((IF(ISNUMBER($D15), ROUNDUP(($J15/70)*VLOOKUP($C15, Batch!$B$27:$S$36, 16, FALSE),0),"")/6), "")</f>
        <v/>
      </c>
      <c r="AL15" s="23" t="str">
        <f>IFERROR((IF(ISNUMBER($D15), ROUNDUP(($J15/70)*VLOOKUP($C15, Batch!$B$27:$S$36, 17, FALSE),0),"")/6), "")</f>
        <v/>
      </c>
      <c r="AM15" s="23" t="str">
        <f>IFERROR((IF(ISNUMBER($D15), ROUNDUP(($J15/70)*VLOOKUP($C15, Batch!$B$27:$S$36, 18, FALSE),0),"")/6),"")</f>
        <v/>
      </c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</row>
    <row r="16" spans="1:114" s="22" customFormat="1" x14ac:dyDescent="0.3">
      <c r="A16"/>
      <c r="B16" s="20">
        <v>8.25</v>
      </c>
      <c r="C16" s="20" t="s">
        <v>12</v>
      </c>
      <c r="D16" s="20"/>
      <c r="E16" s="20">
        <v>3800</v>
      </c>
      <c r="F16" s="21">
        <f t="shared" si="2"/>
        <v>4.63</v>
      </c>
      <c r="G16" s="3"/>
      <c r="H16" s="21">
        <f t="shared" si="0"/>
        <v>0</v>
      </c>
      <c r="I16" s="20">
        <f t="shared" si="3"/>
        <v>0</v>
      </c>
      <c r="J16" s="12">
        <f t="shared" si="4"/>
        <v>0</v>
      </c>
      <c r="K16"/>
      <c r="L16" s="20">
        <f t="shared" si="1"/>
        <v>0</v>
      </c>
      <c r="M16" s="20">
        <f t="shared" si="5"/>
        <v>0</v>
      </c>
      <c r="N16" s="20">
        <f t="shared" si="6"/>
        <v>0</v>
      </c>
      <c r="O16" s="20">
        <f t="shared" si="7"/>
        <v>0</v>
      </c>
      <c r="P16"/>
      <c r="Q16" s="12">
        <f t="shared" si="8"/>
        <v>0</v>
      </c>
      <c r="R16" s="20">
        <f t="shared" si="10"/>
        <v>0</v>
      </c>
      <c r="S16" s="1"/>
      <c r="T16" s="12">
        <f t="shared" si="9"/>
        <v>0</v>
      </c>
      <c r="U16" s="20">
        <f t="shared" si="14"/>
        <v>0</v>
      </c>
      <c r="V16"/>
      <c r="W16" s="20" t="str">
        <f>IFERROR((IF(ISNUMBER($D16), ROUNDUP(($J16/70)*VLOOKUP($C16, Batch!$B$27:$S$36, 2, FALSE),0),"")/6), "")</f>
        <v/>
      </c>
      <c r="X16" s="20" t="str">
        <f>IFERROR((IF(ISNUMBER($D16), ROUNDUP(($J16/70)*VLOOKUP($C16, Batch!$B$27:$S$36, 3, FALSE),0),"")/6), "")</f>
        <v/>
      </c>
      <c r="Y16" s="20" t="str">
        <f>IFERROR((IF(ISNUMBER($D16), ROUNDUP(($J16/70)*VLOOKUP($C16, Batch!$B$27:$S$36, 4, FALSE),0),"")/6), "")</f>
        <v/>
      </c>
      <c r="Z16" s="20" t="str">
        <f>IFERROR((IF(ISNUMBER($D16), ROUNDUP(($J16/70)*VLOOKUP($C16, Batch!$B$27:$S$36, 5, FALSE),0),"")/6),"")</f>
        <v/>
      </c>
      <c r="AA16" s="20" t="str">
        <f>IFERROR((IF(ISNUMBER($D16), ROUNDUP(($J16/70)*VLOOKUP($C16, Batch!$B$27:$S$36, 6, FALSE),0),"")/6), "")</f>
        <v/>
      </c>
      <c r="AB16" s="20" t="str">
        <f>IFERROR((IF(ISNUMBER($D16), ROUNDUP(($J16/70)*VLOOKUP($C16, Batch!$B$27:$S$36, 7, FALSE),0),"")/6), "")</f>
        <v/>
      </c>
      <c r="AC16" s="20" t="str">
        <f>IFERROR((IF(ISNUMBER($D16), ROUNDUP(($J16/70)*VLOOKUP($C16, Batch!$B$27:$S$36, 8, FALSE),0),"")/6), "")</f>
        <v/>
      </c>
      <c r="AD16" s="20" t="str">
        <f>IFERROR((IF(ISNUMBER($D16), ROUNDUP(($J16/70)*VLOOKUP($C16, Batch!$B$27:$S$36, 9, FALSE),0),"")/6), "")</f>
        <v/>
      </c>
      <c r="AE16" s="20" t="str">
        <f>IFERROR((IF(ISNUMBER($D16), ROUNDUP(($J16/70)*VLOOKUP($C16, Batch!$B$27:$S$36, 10, FALSE),0),"")/6), "")</f>
        <v/>
      </c>
      <c r="AF16" s="20" t="str">
        <f>IFERROR((IF(ISNUMBER($D16), ROUNDUP(($J16/70)*VLOOKUP($C16, Batch!$B$27:$S$36, 11, FALSE),0),"")/6), "")</f>
        <v/>
      </c>
      <c r="AG16" s="20" t="str">
        <f>IFERROR((IF(ISNUMBER($D16), ROUNDUP(($J16/70)*VLOOKUP($C16, Batch!$B$27:$S$36, 12, FALSE),0),"")/6), "")</f>
        <v/>
      </c>
      <c r="AH16" s="20" t="str">
        <f>IFERROR((IF(ISNUMBER($D16), ROUNDUP(($J16/70)*VLOOKUP($C16, Batch!$B$27:$S$36, 13, FALSE),0),"")/6), "")</f>
        <v/>
      </c>
      <c r="AI16" s="20" t="str">
        <f>IFERROR((IF(ISNUMBER($D16), ROUNDUP(($J16/70)*VLOOKUP($C16, Batch!$B$27:$S$36, 14, FALSE),0),"")/6),"")</f>
        <v/>
      </c>
      <c r="AJ16" s="20" t="str">
        <f>IFERROR((IF(ISNUMBER($D16), ROUNDUP(($J16/70)*VLOOKUP($C16, Batch!$B$27:$S$36, 15, FALSE),0),"")/6),"")</f>
        <v/>
      </c>
      <c r="AK16" s="20" t="str">
        <f>IFERROR((IF(ISNUMBER($D16), ROUNDUP(($J16/70)*VLOOKUP($C16, Batch!$B$27:$S$36, 16, FALSE),0),"")/6), "")</f>
        <v/>
      </c>
      <c r="AL16" s="20" t="str">
        <f>IFERROR((IF(ISNUMBER($D16), ROUNDUP(($J16/70)*VLOOKUP($C16, Batch!$B$27:$S$36, 17, FALSE),0),"")/6), "")</f>
        <v/>
      </c>
      <c r="AM16" s="20" t="str">
        <f>IFERROR((IF(ISNUMBER($D16), ROUNDUP(($J16/70)*VLOOKUP($C16, Batch!$B$27:$S$36, 18, FALSE),0),"")/6),"")</f>
        <v/>
      </c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</row>
    <row r="17" spans="1:114" s="16" customFormat="1" x14ac:dyDescent="0.3">
      <c r="A17"/>
      <c r="B17" s="12">
        <v>9.5</v>
      </c>
      <c r="C17" s="12" t="s">
        <v>12</v>
      </c>
      <c r="D17" s="12"/>
      <c r="E17" s="12">
        <v>3600</v>
      </c>
      <c r="F17" s="13">
        <f t="shared" si="2"/>
        <v>4.32</v>
      </c>
      <c r="G17" s="3"/>
      <c r="H17" s="13">
        <f t="shared" si="0"/>
        <v>0</v>
      </c>
      <c r="I17" s="12">
        <f t="shared" si="3"/>
        <v>0</v>
      </c>
      <c r="J17" s="12">
        <f t="shared" si="4"/>
        <v>0</v>
      </c>
      <c r="K17"/>
      <c r="L17" s="12">
        <f t="shared" si="1"/>
        <v>0</v>
      </c>
      <c r="M17" s="12">
        <f t="shared" si="5"/>
        <v>0</v>
      </c>
      <c r="N17" s="12">
        <f t="shared" si="6"/>
        <v>0</v>
      </c>
      <c r="O17" s="12">
        <f t="shared" si="7"/>
        <v>0</v>
      </c>
      <c r="P17"/>
      <c r="Q17" s="12">
        <f t="shared" si="8"/>
        <v>0</v>
      </c>
      <c r="R17" s="12">
        <f t="shared" si="10"/>
        <v>0</v>
      </c>
      <c r="S17" s="1"/>
      <c r="T17" s="12">
        <f t="shared" si="9"/>
        <v>0</v>
      </c>
      <c r="U17" s="12">
        <f t="shared" si="14"/>
        <v>0</v>
      </c>
      <c r="V17"/>
      <c r="W17" s="12" t="str">
        <f>IFERROR((IF(ISNUMBER($D17), ROUNDUP(($J17/70)*VLOOKUP($C17, Batch!$B$27:$S$36, 2, FALSE),0),"")/6), "")</f>
        <v/>
      </c>
      <c r="X17" s="12" t="str">
        <f>IFERROR((IF(ISNUMBER($D17), ROUNDUP(($J17/70)*VLOOKUP($C17, Batch!$B$27:$S$36, 3, FALSE),0),"")/6), "")</f>
        <v/>
      </c>
      <c r="Y17" s="12" t="str">
        <f>IFERROR((IF(ISNUMBER($D17), ROUNDUP(($J17/70)*VLOOKUP($C17, Batch!$B$27:$S$36, 4, FALSE),0),"")/6), "")</f>
        <v/>
      </c>
      <c r="Z17" s="12" t="str">
        <f>IFERROR((IF(ISNUMBER($D17), ROUNDUP(($J17/70)*VLOOKUP($C17, Batch!$B$27:$S$36, 5, FALSE),0),"")/6),"")</f>
        <v/>
      </c>
      <c r="AA17" s="12" t="str">
        <f>IFERROR((IF(ISNUMBER($D17), ROUNDUP(($J17/70)*VLOOKUP($C17, Batch!$B$27:$S$36, 6, FALSE),0),"")/6), "")</f>
        <v/>
      </c>
      <c r="AB17" s="12" t="str">
        <f>IFERROR((IF(ISNUMBER($D17), ROUNDUP(($J17/70)*VLOOKUP($C17, Batch!$B$27:$S$36, 7, FALSE),0),"")/6), "")</f>
        <v/>
      </c>
      <c r="AC17" s="12" t="str">
        <f>IFERROR((IF(ISNUMBER($D17), ROUNDUP(($J17/70)*VLOOKUP($C17, Batch!$B$27:$S$36, 8, FALSE),0),"")/6), "")</f>
        <v/>
      </c>
      <c r="AD17" s="12" t="str">
        <f>IFERROR((IF(ISNUMBER($D17), ROUNDUP(($J17/70)*VLOOKUP($C17, Batch!$B$27:$S$36, 9, FALSE),0),"")/6), "")</f>
        <v/>
      </c>
      <c r="AE17" s="12" t="str">
        <f>IFERROR((IF(ISNUMBER($D17), ROUNDUP(($J17/70)*VLOOKUP($C17, Batch!$B$27:$S$36, 10, FALSE),0),"")/6), "")</f>
        <v/>
      </c>
      <c r="AF17" s="12" t="str">
        <f>IFERROR((IF(ISNUMBER($D17), ROUNDUP(($J17/70)*VLOOKUP($C17, Batch!$B$27:$S$36, 11, FALSE),0),"")/6), "")</f>
        <v/>
      </c>
      <c r="AG17" s="12" t="str">
        <f>IFERROR((IF(ISNUMBER($D17), ROUNDUP(($J17/70)*VLOOKUP($C17, Batch!$B$27:$S$36, 12, FALSE),0),"")/6), "")</f>
        <v/>
      </c>
      <c r="AH17" s="12" t="str">
        <f>IFERROR((IF(ISNUMBER($D17), ROUNDUP(($J17/70)*VLOOKUP($C17, Batch!$B$27:$S$36, 13, FALSE),0),"")/6), "")</f>
        <v/>
      </c>
      <c r="AI17" s="12" t="str">
        <f>IFERROR((IF(ISNUMBER($D17), ROUNDUP(($J17/70)*VLOOKUP($C17, Batch!$B$27:$S$36, 14, FALSE),0),"")/6),"")</f>
        <v/>
      </c>
      <c r="AJ17" s="12" t="str">
        <f>IFERROR((IF(ISNUMBER($D17), ROUNDUP(($J17/70)*VLOOKUP($C17, Batch!$B$27:$S$36, 15, FALSE),0),"")/6),"")</f>
        <v/>
      </c>
      <c r="AK17" s="12" t="str">
        <f>IFERROR((IF(ISNUMBER($D17), ROUNDUP(($J17/70)*VLOOKUP($C17, Batch!$B$27:$S$36, 16, FALSE),0),"")/6), "")</f>
        <v/>
      </c>
      <c r="AL17" s="12" t="str">
        <f>IFERROR((IF(ISNUMBER($D17), ROUNDUP(($J17/70)*VLOOKUP($C17, Batch!$B$27:$S$36, 17, FALSE),0),"")/6), "")</f>
        <v/>
      </c>
      <c r="AM17" s="12" t="str">
        <f>IFERROR((IF(ISNUMBER($D17), ROUNDUP(($J17/70)*VLOOKUP($C17, Batch!$B$27:$S$36, 18, FALSE),0),"")/6),"")</f>
        <v/>
      </c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</row>
    <row r="18" spans="1:114" s="19" customFormat="1" x14ac:dyDescent="0.3">
      <c r="A18"/>
      <c r="B18" s="17">
        <v>10</v>
      </c>
      <c r="C18" s="17" t="s">
        <v>12</v>
      </c>
      <c r="D18" s="17"/>
      <c r="E18" s="17">
        <v>3900</v>
      </c>
      <c r="F18" s="18">
        <f t="shared" si="2"/>
        <v>4.21</v>
      </c>
      <c r="G18" s="3"/>
      <c r="H18" s="18">
        <f t="shared" si="0"/>
        <v>0</v>
      </c>
      <c r="I18" s="17">
        <f t="shared" si="3"/>
        <v>0</v>
      </c>
      <c r="J18" s="12">
        <f t="shared" si="4"/>
        <v>0</v>
      </c>
      <c r="K18"/>
      <c r="L18" s="17">
        <f t="shared" si="1"/>
        <v>0</v>
      </c>
      <c r="M18" s="17">
        <f t="shared" si="5"/>
        <v>0</v>
      </c>
      <c r="N18" s="17">
        <f t="shared" si="6"/>
        <v>0</v>
      </c>
      <c r="O18" s="17">
        <f t="shared" si="7"/>
        <v>0</v>
      </c>
      <c r="P18"/>
      <c r="Q18" s="12">
        <f t="shared" si="8"/>
        <v>0</v>
      </c>
      <c r="R18" s="17">
        <f t="shared" si="10"/>
        <v>0</v>
      </c>
      <c r="S18" s="1"/>
      <c r="T18" s="12">
        <f t="shared" si="9"/>
        <v>0</v>
      </c>
      <c r="U18" s="17">
        <f t="shared" si="14"/>
        <v>0</v>
      </c>
      <c r="V18"/>
      <c r="W18" s="17" t="str">
        <f>IFERROR((IF(ISNUMBER($D18), ROUNDUP(($J18/70)*VLOOKUP($C18, Batch!$B$27:$S$36, 2, FALSE),0),"")/6), "")</f>
        <v/>
      </c>
      <c r="X18" s="17" t="str">
        <f>IFERROR((IF(ISNUMBER($D18), ROUNDUP(($J18/70)*VLOOKUP($C18, Batch!$B$27:$S$36, 3, FALSE),0),"")/6), "")</f>
        <v/>
      </c>
      <c r="Y18" s="17" t="str">
        <f>IFERROR((IF(ISNUMBER($D18), ROUNDUP(($J18/70)*VLOOKUP($C18, Batch!$B$27:$S$36, 4, FALSE),0),"")/6), "")</f>
        <v/>
      </c>
      <c r="Z18" s="17" t="str">
        <f>IFERROR((IF(ISNUMBER($D18), ROUNDUP(($J18/70)*VLOOKUP($C18, Batch!$B$27:$S$36, 5, FALSE),0),"")/6),"")</f>
        <v/>
      </c>
      <c r="AA18" s="17" t="str">
        <f>IFERROR((IF(ISNUMBER($D18), ROUNDUP(($J18/70)*VLOOKUP($C18, Batch!$B$27:$S$36, 6, FALSE),0),"")/6), "")</f>
        <v/>
      </c>
      <c r="AB18" s="17" t="str">
        <f>IFERROR((IF(ISNUMBER($D18), ROUNDUP(($J18/70)*VLOOKUP($C18, Batch!$B$27:$S$36, 7, FALSE),0),"")/6), "")</f>
        <v/>
      </c>
      <c r="AC18" s="17" t="str">
        <f>IFERROR((IF(ISNUMBER($D18), ROUNDUP(($J18/70)*VLOOKUP($C18, Batch!$B$27:$S$36, 8, FALSE),0),"")/6), "")</f>
        <v/>
      </c>
      <c r="AD18" s="17" t="str">
        <f>IFERROR((IF(ISNUMBER($D18), ROUNDUP(($J18/70)*VLOOKUP($C18, Batch!$B$27:$S$36, 9, FALSE),0),"")/6), "")</f>
        <v/>
      </c>
      <c r="AE18" s="17" t="str">
        <f>IFERROR((IF(ISNUMBER($D18), ROUNDUP(($J18/70)*VLOOKUP($C18, Batch!$B$27:$S$36, 10, FALSE),0),"")/6), "")</f>
        <v/>
      </c>
      <c r="AF18" s="17" t="str">
        <f>IFERROR((IF(ISNUMBER($D18), ROUNDUP(($J18/70)*VLOOKUP($C18, Batch!$B$27:$S$36, 11, FALSE),0),"")/6), "")</f>
        <v/>
      </c>
      <c r="AG18" s="17" t="str">
        <f>IFERROR((IF(ISNUMBER($D18), ROUNDUP(($J18/70)*VLOOKUP($C18, Batch!$B$27:$S$36, 12, FALSE),0),"")/6), "")</f>
        <v/>
      </c>
      <c r="AH18" s="17" t="str">
        <f>IFERROR((IF(ISNUMBER($D18), ROUNDUP(($J18/70)*VLOOKUP($C18, Batch!$B$27:$S$36, 13, FALSE),0),"")/6), "")</f>
        <v/>
      </c>
      <c r="AI18" s="17" t="str">
        <f>IFERROR((IF(ISNUMBER($D18), ROUNDUP(($J18/70)*VLOOKUP($C18, Batch!$B$27:$S$36, 14, FALSE),0),"")/6),"")</f>
        <v/>
      </c>
      <c r="AJ18" s="17" t="str">
        <f>IFERROR((IF(ISNUMBER($D18), ROUNDUP(($J18/70)*VLOOKUP($C18, Batch!$B$27:$S$36, 15, FALSE),0),"")/6),"")</f>
        <v/>
      </c>
      <c r="AK18" s="17" t="str">
        <f>IFERROR((IF(ISNUMBER($D18), ROUNDUP(($J18/70)*VLOOKUP($C18, Batch!$B$27:$S$36, 16, FALSE),0),"")/6), "")</f>
        <v/>
      </c>
      <c r="AL18" s="17" t="str">
        <f>IFERROR((IF(ISNUMBER($D18), ROUNDUP(($J18/70)*VLOOKUP($C18, Batch!$B$27:$S$36, 17, FALSE),0),"")/6), "")</f>
        <v/>
      </c>
      <c r="AM18" s="17" t="str">
        <f>IFERROR((IF(ISNUMBER($D18), ROUNDUP(($J18/70)*VLOOKUP($C18, Batch!$B$27:$S$36, 18, FALSE),0),"")/6),"")</f>
        <v/>
      </c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25" customFormat="1" x14ac:dyDescent="0.3">
      <c r="A19"/>
      <c r="B19" s="23">
        <v>10.5</v>
      </c>
      <c r="C19" s="23" t="s">
        <v>12</v>
      </c>
      <c r="D19" s="23"/>
      <c r="E19" s="23">
        <v>3600</v>
      </c>
      <c r="F19" s="24">
        <f t="shared" si="2"/>
        <v>4.1100000000000003</v>
      </c>
      <c r="G19" s="3"/>
      <c r="H19" s="24">
        <f t="shared" si="0"/>
        <v>0</v>
      </c>
      <c r="I19" s="23">
        <f t="shared" si="3"/>
        <v>0</v>
      </c>
      <c r="J19" s="12">
        <f t="shared" si="4"/>
        <v>0</v>
      </c>
      <c r="K19"/>
      <c r="L19" s="23">
        <f t="shared" si="1"/>
        <v>0</v>
      </c>
      <c r="M19" s="23">
        <f t="shared" si="5"/>
        <v>0</v>
      </c>
      <c r="N19" s="23">
        <f t="shared" si="6"/>
        <v>0</v>
      </c>
      <c r="O19" s="23">
        <f t="shared" si="7"/>
        <v>0</v>
      </c>
      <c r="P19"/>
      <c r="Q19" s="12">
        <f t="shared" si="8"/>
        <v>0</v>
      </c>
      <c r="R19" s="23">
        <f t="shared" si="10"/>
        <v>0</v>
      </c>
      <c r="S19" s="1"/>
      <c r="T19" s="12">
        <f t="shared" si="9"/>
        <v>0</v>
      </c>
      <c r="U19" s="23">
        <f t="shared" si="14"/>
        <v>0</v>
      </c>
      <c r="V19"/>
      <c r="W19" s="23" t="str">
        <f>IFERROR((IF(ISNUMBER($D19), ROUNDUP(($J19/70)*VLOOKUP($C19, Batch!$B$27:$S$36, 2, FALSE),0),"")/6), "")</f>
        <v/>
      </c>
      <c r="X19" s="23" t="str">
        <f>IFERROR((IF(ISNUMBER($D19), ROUNDUP(($J19/70)*VLOOKUP($C19, Batch!$B$27:$S$36, 3, FALSE),0),"")/6), "")</f>
        <v/>
      </c>
      <c r="Y19" s="23" t="str">
        <f>IFERROR((IF(ISNUMBER($D19), ROUNDUP(($J19/70)*VLOOKUP($C19, Batch!$B$27:$S$36, 4, FALSE),0),"")/6), "")</f>
        <v/>
      </c>
      <c r="Z19" s="23" t="str">
        <f>IFERROR((IF(ISNUMBER($D19), ROUNDUP(($J19/70)*VLOOKUP($C19, Batch!$B$27:$S$36, 5, FALSE),0),"")/6),"")</f>
        <v/>
      </c>
      <c r="AA19" s="23" t="str">
        <f>IFERROR((IF(ISNUMBER($D19), ROUNDUP(($J19/70)*VLOOKUP($C19, Batch!$B$27:$S$36, 6, FALSE),0),"")/6), "")</f>
        <v/>
      </c>
      <c r="AB19" s="23" t="str">
        <f>IFERROR((IF(ISNUMBER($D19), ROUNDUP(($J19/70)*VLOOKUP($C19, Batch!$B$27:$S$36, 7, FALSE),0),"")/6), "")</f>
        <v/>
      </c>
      <c r="AC19" s="23" t="str">
        <f>IFERROR((IF(ISNUMBER($D19), ROUNDUP(($J19/70)*VLOOKUP($C19, Batch!$B$27:$S$36, 8, FALSE),0),"")/6), "")</f>
        <v/>
      </c>
      <c r="AD19" s="23" t="str">
        <f>IFERROR((IF(ISNUMBER($D19), ROUNDUP(($J19/70)*VLOOKUP($C19, Batch!$B$27:$S$36, 9, FALSE),0),"")/6), "")</f>
        <v/>
      </c>
      <c r="AE19" s="23" t="str">
        <f>IFERROR((IF(ISNUMBER($D19), ROUNDUP(($J19/70)*VLOOKUP($C19, Batch!$B$27:$S$36, 10, FALSE),0),"")/6), "")</f>
        <v/>
      </c>
      <c r="AF19" s="23" t="str">
        <f>IFERROR((IF(ISNUMBER($D19), ROUNDUP(($J19/70)*VLOOKUP($C19, Batch!$B$27:$S$36, 11, FALSE),0),"")/6), "")</f>
        <v/>
      </c>
      <c r="AG19" s="23" t="str">
        <f>IFERROR((IF(ISNUMBER($D19), ROUNDUP(($J19/70)*VLOOKUP($C19, Batch!$B$27:$S$36, 12, FALSE),0),"")/6), "")</f>
        <v/>
      </c>
      <c r="AH19" s="23" t="str">
        <f>IFERROR((IF(ISNUMBER($D19), ROUNDUP(($J19/70)*VLOOKUP($C19, Batch!$B$27:$S$36, 13, FALSE),0),"")/6), "")</f>
        <v/>
      </c>
      <c r="AI19" s="23" t="str">
        <f>IFERROR((IF(ISNUMBER($D19), ROUNDUP(($J19/70)*VLOOKUP($C19, Batch!$B$27:$S$36, 14, FALSE),0),"")/6),"")</f>
        <v/>
      </c>
      <c r="AJ19" s="23" t="str">
        <f>IFERROR((IF(ISNUMBER($D19), ROUNDUP(($J19/70)*VLOOKUP($C19, Batch!$B$27:$S$36, 15, FALSE),0),"")/6),"")</f>
        <v/>
      </c>
      <c r="AK19" s="23" t="str">
        <f>IFERROR((IF(ISNUMBER($D19), ROUNDUP(($J19/70)*VLOOKUP($C19, Batch!$B$27:$S$36, 16, FALSE),0),"")/6), "")</f>
        <v/>
      </c>
      <c r="AL19" s="23" t="str">
        <f>IFERROR((IF(ISNUMBER($D19), ROUNDUP(($J19/70)*VLOOKUP($C19, Batch!$B$27:$S$36, 17, FALSE),0),"")/6), "")</f>
        <v/>
      </c>
      <c r="AM19" s="23" t="str">
        <f>IFERROR((IF(ISNUMBER($D19), ROUNDUP(($J19/70)*VLOOKUP($C19, Batch!$B$27:$S$36, 18, FALSE),0),"")/6),"")</f>
        <v/>
      </c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s="22" customFormat="1" x14ac:dyDescent="0.3">
      <c r="A20"/>
      <c r="B20" s="20">
        <v>11</v>
      </c>
      <c r="C20" s="20" t="s">
        <v>12</v>
      </c>
      <c r="D20" s="20"/>
      <c r="E20" s="20">
        <v>4000</v>
      </c>
      <c r="F20" s="21">
        <f t="shared" si="2"/>
        <v>4.01</v>
      </c>
      <c r="G20" s="3"/>
      <c r="H20" s="21">
        <f t="shared" si="0"/>
        <v>0</v>
      </c>
      <c r="I20" s="20">
        <f t="shared" si="3"/>
        <v>0</v>
      </c>
      <c r="J20" s="12">
        <f t="shared" si="4"/>
        <v>0</v>
      </c>
      <c r="K20"/>
      <c r="L20" s="20">
        <f t="shared" si="1"/>
        <v>0</v>
      </c>
      <c r="M20" s="20">
        <f t="shared" si="5"/>
        <v>0</v>
      </c>
      <c r="N20" s="20">
        <f t="shared" si="6"/>
        <v>0</v>
      </c>
      <c r="O20" s="20">
        <f t="shared" si="7"/>
        <v>0</v>
      </c>
      <c r="P20"/>
      <c r="Q20" s="12">
        <f t="shared" si="8"/>
        <v>0</v>
      </c>
      <c r="R20" s="20">
        <f t="shared" si="10"/>
        <v>0</v>
      </c>
      <c r="S20" s="1"/>
      <c r="T20" s="12">
        <f t="shared" si="9"/>
        <v>0</v>
      </c>
      <c r="U20" s="20">
        <f t="shared" si="14"/>
        <v>0</v>
      </c>
      <c r="V20"/>
      <c r="W20" s="20" t="str">
        <f>IFERROR((IF(ISNUMBER($D20), ROUNDUP(($J20/70)*VLOOKUP($C20, Batch!$B$27:$S$36, 2, FALSE),0),"")/6), "")</f>
        <v/>
      </c>
      <c r="X20" s="20" t="str">
        <f>IFERROR((IF(ISNUMBER($D20), ROUNDUP(($J20/70)*VLOOKUP($C20, Batch!$B$27:$S$36, 3, FALSE),0),"")/6), "")</f>
        <v/>
      </c>
      <c r="Y20" s="20" t="str">
        <f>IFERROR((IF(ISNUMBER($D20), ROUNDUP(($J20/70)*VLOOKUP($C20, Batch!$B$27:$S$36, 4, FALSE),0),"")/6), "")</f>
        <v/>
      </c>
      <c r="Z20" s="20" t="str">
        <f>IFERROR((IF(ISNUMBER($D20), ROUNDUP(($J20/70)*VLOOKUP($C20, Batch!$B$27:$S$36, 5, FALSE),0),"")/6),"")</f>
        <v/>
      </c>
      <c r="AA20" s="20" t="str">
        <f>IFERROR((IF(ISNUMBER($D20), ROUNDUP(($J20/70)*VLOOKUP($C20, Batch!$B$27:$S$36, 6, FALSE),0),"")/6), "")</f>
        <v/>
      </c>
      <c r="AB20" s="20" t="str">
        <f>IFERROR((IF(ISNUMBER($D20), ROUNDUP(($J20/70)*VLOOKUP($C20, Batch!$B$27:$S$36, 7, FALSE),0),"")/6), "")</f>
        <v/>
      </c>
      <c r="AC20" s="20" t="str">
        <f>IFERROR((IF(ISNUMBER($D20), ROUNDUP(($J20/70)*VLOOKUP($C20, Batch!$B$27:$S$36, 8, FALSE),0),"")/6), "")</f>
        <v/>
      </c>
      <c r="AD20" s="20" t="str">
        <f>IFERROR((IF(ISNUMBER($D20), ROUNDUP(($J20/70)*VLOOKUP($C20, Batch!$B$27:$S$36, 9, FALSE),0),"")/6), "")</f>
        <v/>
      </c>
      <c r="AE20" s="20" t="str">
        <f>IFERROR((IF(ISNUMBER($D20), ROUNDUP(($J20/70)*VLOOKUP($C20, Batch!$B$27:$S$36, 10, FALSE),0),"")/6), "")</f>
        <v/>
      </c>
      <c r="AF20" s="20" t="str">
        <f>IFERROR((IF(ISNUMBER($D20), ROUNDUP(($J20/70)*VLOOKUP($C20, Batch!$B$27:$S$36, 11, FALSE),0),"")/6), "")</f>
        <v/>
      </c>
      <c r="AG20" s="20" t="str">
        <f>IFERROR((IF(ISNUMBER($D20), ROUNDUP(($J20/70)*VLOOKUP($C20, Batch!$B$27:$S$36, 12, FALSE),0),"")/6), "")</f>
        <v/>
      </c>
      <c r="AH20" s="20" t="str">
        <f>IFERROR((IF(ISNUMBER($D20), ROUNDUP(($J20/70)*VLOOKUP($C20, Batch!$B$27:$S$36, 13, FALSE),0),"")/6), "")</f>
        <v/>
      </c>
      <c r="AI20" s="20" t="str">
        <f>IFERROR((IF(ISNUMBER($D20), ROUNDUP(($J20/70)*VLOOKUP($C20, Batch!$B$27:$S$36, 14, FALSE),0),"")/6),"")</f>
        <v/>
      </c>
      <c r="AJ20" s="20" t="str">
        <f>IFERROR((IF(ISNUMBER($D20), ROUNDUP(($J20/70)*VLOOKUP($C20, Batch!$B$27:$S$36, 15, FALSE),0),"")/6),"")</f>
        <v/>
      </c>
      <c r="AK20" s="20" t="str">
        <f>IFERROR((IF(ISNUMBER($D20), ROUNDUP(($J20/70)*VLOOKUP($C20, Batch!$B$27:$S$36, 16, FALSE),0),"")/6), "")</f>
        <v/>
      </c>
      <c r="AL20" s="20" t="str">
        <f>IFERROR((IF(ISNUMBER($D20), ROUNDUP(($J20/70)*VLOOKUP($C20, Batch!$B$27:$S$36, 17, FALSE),0),"")/6), "")</f>
        <v/>
      </c>
      <c r="AM20" s="20" t="str">
        <f>IFERROR((IF(ISNUMBER($D20), ROUNDUP(($J20/70)*VLOOKUP($C20, Batch!$B$27:$S$36, 18, FALSE),0),"")/6),"")</f>
        <v/>
      </c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</row>
    <row r="21" spans="1:114" s="16" customFormat="1" x14ac:dyDescent="0.3">
      <c r="A21"/>
      <c r="B21" s="12">
        <v>12</v>
      </c>
      <c r="C21" s="12" t="s">
        <v>59</v>
      </c>
      <c r="D21" s="12"/>
      <c r="E21" s="12">
        <v>3800</v>
      </c>
      <c r="F21" s="13">
        <f t="shared" si="2"/>
        <v>3.84</v>
      </c>
      <c r="G21" s="3"/>
      <c r="H21" s="13">
        <f t="shared" si="0"/>
        <v>0</v>
      </c>
      <c r="I21" s="12">
        <f t="shared" si="3"/>
        <v>0</v>
      </c>
      <c r="J21" s="12">
        <f t="shared" si="4"/>
        <v>0</v>
      </c>
      <c r="K21"/>
      <c r="L21" s="12">
        <f t="shared" si="1"/>
        <v>0</v>
      </c>
      <c r="M21" s="12">
        <f t="shared" si="5"/>
        <v>0</v>
      </c>
      <c r="N21" s="12">
        <f t="shared" si="6"/>
        <v>0</v>
      </c>
      <c r="O21" s="12">
        <f t="shared" si="7"/>
        <v>0</v>
      </c>
      <c r="P21"/>
      <c r="Q21" s="12">
        <f t="shared" si="8"/>
        <v>0</v>
      </c>
      <c r="R21" s="12">
        <f t="shared" si="10"/>
        <v>0</v>
      </c>
      <c r="S21" s="1"/>
      <c r="T21" s="12">
        <f t="shared" si="9"/>
        <v>0</v>
      </c>
      <c r="U21" s="12">
        <f t="shared" si="14"/>
        <v>0</v>
      </c>
      <c r="V21"/>
      <c r="W21" s="12" t="str">
        <f>IFERROR((IF(ISNUMBER($D21), ROUNDUP(($J21/70)*VLOOKUP($C21, Batch!$B$27:$S$36, 2, FALSE),0),"")/6), "")</f>
        <v/>
      </c>
      <c r="X21" s="12" t="str">
        <f>IFERROR((IF(ISNUMBER($D21), ROUNDUP(($J21/70)*VLOOKUP($C21, Batch!$B$27:$S$36, 3, FALSE),0),"")/6), "")</f>
        <v/>
      </c>
      <c r="Y21" s="12" t="str">
        <f>IFERROR((IF(ISNUMBER($D21), ROUNDUP(($J21/70)*VLOOKUP($C21, Batch!$B$27:$S$36, 4, FALSE),0),"")/6), "")</f>
        <v/>
      </c>
      <c r="Z21" s="12" t="str">
        <f>IFERROR((IF(ISNUMBER($D21), ROUNDUP(($J21/70)*VLOOKUP($C21, Batch!$B$27:$S$36, 5, FALSE),0),"")/6),"")</f>
        <v/>
      </c>
      <c r="AA21" s="12" t="str">
        <f>IFERROR((IF(ISNUMBER($D21), ROUNDUP(($J21/70)*VLOOKUP($C21, Batch!$B$27:$S$36, 6, FALSE),0),"")/6), "")</f>
        <v/>
      </c>
      <c r="AB21" s="12" t="str">
        <f>IFERROR((IF(ISNUMBER($D21), ROUNDUP(($J21/70)*VLOOKUP($C21, Batch!$B$27:$S$36, 7, FALSE),0),"")/6), "")</f>
        <v/>
      </c>
      <c r="AC21" s="12" t="str">
        <f>IFERROR((IF(ISNUMBER($D21), ROUNDUP(($J21/70)*VLOOKUP($C21, Batch!$B$27:$S$36, 8, FALSE),0),"")/6), "")</f>
        <v/>
      </c>
      <c r="AD21" s="12" t="str">
        <f>IFERROR((IF(ISNUMBER($D21), ROUNDUP(($J21/70)*VLOOKUP($C21, Batch!$B$27:$S$36, 9, FALSE),0),"")/6), "")</f>
        <v/>
      </c>
      <c r="AE21" s="12" t="str">
        <f>IFERROR((IF(ISNUMBER($D21), ROUNDUP(($J21/70)*VLOOKUP($C21, Batch!$B$27:$S$36, 10, FALSE),0),"")/6), "")</f>
        <v/>
      </c>
      <c r="AF21" s="12" t="str">
        <f>IFERROR((IF(ISNUMBER($D21), ROUNDUP(($J21/70)*VLOOKUP($C21, Batch!$B$27:$S$36, 11, FALSE),0),"")/6), "")</f>
        <v/>
      </c>
      <c r="AG21" s="12" t="str">
        <f>IFERROR((IF(ISNUMBER($D21), ROUNDUP(($J21/70)*VLOOKUP($C21, Batch!$B$27:$S$36, 12, FALSE),0),"")/6), "")</f>
        <v/>
      </c>
      <c r="AH21" s="12" t="str">
        <f>IFERROR((IF(ISNUMBER($D21), ROUNDUP(($J21/70)*VLOOKUP($C21, Batch!$B$27:$S$36, 13, FALSE),0),"")/6), "")</f>
        <v/>
      </c>
      <c r="AI21" s="12" t="str">
        <f>IFERROR((IF(ISNUMBER($D21), ROUNDUP(($J21/70)*VLOOKUP($C21, Batch!$B$27:$S$36, 14, FALSE),0),"")/6),"")</f>
        <v/>
      </c>
      <c r="AJ21" s="12" t="str">
        <f>IFERROR((IF(ISNUMBER($D21), ROUNDUP(($J21/70)*VLOOKUP($C21, Batch!$B$27:$S$36, 15, FALSE),0),"")/6),"")</f>
        <v/>
      </c>
      <c r="AK21" s="12" t="str">
        <f>IFERROR((IF(ISNUMBER($D21), ROUNDUP(($J21/70)*VLOOKUP($C21, Batch!$B$27:$S$36, 16, FALSE),0),"")/6), "")</f>
        <v/>
      </c>
      <c r="AL21" s="12" t="str">
        <f>IFERROR((IF(ISNUMBER($D21), ROUNDUP(($J21/70)*VLOOKUP($C21, Batch!$B$27:$S$36, 17, FALSE),0),"")/6), "")</f>
        <v/>
      </c>
      <c r="AM21" s="12" t="str">
        <f>IFERROR((IF(ISNUMBER($D21), ROUNDUP(($J21/70)*VLOOKUP($C21, Batch!$B$27:$S$36, 18, FALSE),0),"")/6),"")</f>
        <v/>
      </c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</row>
    <row r="22" spans="1:114" s="19" customFormat="1" x14ac:dyDescent="0.3">
      <c r="A22"/>
      <c r="B22" s="17">
        <v>13</v>
      </c>
      <c r="C22" s="17" t="s">
        <v>5</v>
      </c>
      <c r="D22" s="17">
        <v>8</v>
      </c>
      <c r="E22" s="17">
        <v>3800</v>
      </c>
      <c r="F22" s="18">
        <f t="shared" si="2"/>
        <v>3.69</v>
      </c>
      <c r="G22" s="3"/>
      <c r="H22" s="18">
        <f t="shared" si="0"/>
        <v>5397.82</v>
      </c>
      <c r="I22" s="17">
        <f t="shared" si="3"/>
        <v>4318.2560000000003</v>
      </c>
      <c r="J22" s="12">
        <f t="shared" si="4"/>
        <v>4048.3649999999998</v>
      </c>
      <c r="K22"/>
      <c r="L22" s="17">
        <f t="shared" si="1"/>
        <v>56.5</v>
      </c>
      <c r="M22" s="17">
        <f t="shared" si="5"/>
        <v>14.125</v>
      </c>
      <c r="N22" s="17">
        <f t="shared" si="6"/>
        <v>18</v>
      </c>
      <c r="O22" s="17">
        <f t="shared" si="7"/>
        <v>9</v>
      </c>
      <c r="P22"/>
      <c r="Q22" s="12">
        <f t="shared" si="8"/>
        <v>2.81</v>
      </c>
      <c r="R22" s="17">
        <f t="shared" si="10"/>
        <v>1348.8</v>
      </c>
      <c r="S22" s="1"/>
      <c r="T22" s="12">
        <f t="shared" si="9"/>
        <v>1.79</v>
      </c>
      <c r="U22" s="17">
        <f t="shared" si="14"/>
        <v>859.2</v>
      </c>
      <c r="V22"/>
      <c r="W22" s="17">
        <f>IFERROR((IF(ISNUMBER($D22), ROUNDUP(($J22/70)*VLOOKUP($C22, Batch!$B$27:$S$36, 2, FALSE),0),"")/6), "")</f>
        <v>0</v>
      </c>
      <c r="X22" s="17">
        <f>IFERROR((IF(ISNUMBER($D22), ROUNDUP(($J22/70)*VLOOKUP($C22, Batch!$B$27:$S$36, 3, FALSE),0),"")/6), "")</f>
        <v>0</v>
      </c>
      <c r="Y22" s="17">
        <f>IFERROR((IF(ISNUMBER($D22), ROUNDUP(($J22/70)*VLOOKUP($C22, Batch!$B$27:$S$36, 4, FALSE),0),"")/6), "")</f>
        <v>19.333333333333332</v>
      </c>
      <c r="Z22" s="17">
        <f>IFERROR((IF(ISNUMBER($D22), ROUNDUP(($J22/70)*VLOOKUP($C22, Batch!$B$27:$S$36, 5, FALSE),0),"")/6),"")</f>
        <v>9.6666666666666661</v>
      </c>
      <c r="AA22" s="17">
        <f>IFERROR((IF(ISNUMBER($D22), ROUNDUP(($J22/70)*VLOOKUP($C22, Batch!$B$27:$S$36, 6, FALSE),0),"")/6), "")</f>
        <v>9.6666666666666661</v>
      </c>
      <c r="AB22" s="17">
        <f>IFERROR((IF(ISNUMBER($D22), ROUNDUP(($J22/70)*VLOOKUP($C22, Batch!$B$27:$S$36, 7, FALSE),0),"")/6), "")</f>
        <v>19.333333333333332</v>
      </c>
      <c r="AC22" s="17">
        <f>IFERROR((IF(ISNUMBER($D22), ROUNDUP(($J22/70)*VLOOKUP($C22, Batch!$B$27:$S$36, 8, FALSE),0),"")/6), "")</f>
        <v>0</v>
      </c>
      <c r="AD22" s="17">
        <f>IFERROR((IF(ISNUMBER($D22), ROUNDUP(($J22/70)*VLOOKUP($C22, Batch!$B$27:$S$36, 9, FALSE),0),"")/6), "")</f>
        <v>0</v>
      </c>
      <c r="AE22" s="17">
        <f>IFERROR((IF(ISNUMBER($D22), ROUNDUP(($J22/70)*VLOOKUP($C22, Batch!$B$27:$S$36, 10, FALSE),0),"")/6), "")</f>
        <v>0</v>
      </c>
      <c r="AF22" s="17">
        <f>IFERROR((IF(ISNUMBER($D22), ROUNDUP(($J22/70)*VLOOKUP($C22, Batch!$B$27:$S$36, 11, FALSE),0),"")/6), "")</f>
        <v>0</v>
      </c>
      <c r="AG22" s="17">
        <f>IFERROR((IF(ISNUMBER($D22), ROUNDUP(($J22/70)*VLOOKUP($C22, Batch!$B$27:$S$36, 12, FALSE),0),"")/6), "")</f>
        <v>0</v>
      </c>
      <c r="AH22" s="17">
        <f>IFERROR((IF(ISNUMBER($D22), ROUNDUP(($J22/70)*VLOOKUP($C22, Batch!$B$27:$S$36, 13, FALSE),0),"")/6), "")</f>
        <v>0</v>
      </c>
      <c r="AI22" s="17">
        <f>IFERROR((IF(ISNUMBER($D22), ROUNDUP(($J22/70)*VLOOKUP($C22, Batch!$B$27:$S$36, 14, FALSE),0),"")/6),"")</f>
        <v>0</v>
      </c>
      <c r="AJ22" s="17">
        <f>IFERROR((IF(ISNUMBER($D22), ROUNDUP(($J22/70)*VLOOKUP($C22, Batch!$B$27:$S$36, 15, FALSE),0),"")/6),"")</f>
        <v>0</v>
      </c>
      <c r="AK22" s="17">
        <f>IFERROR((IF(ISNUMBER($D22), ROUNDUP(($J22/70)*VLOOKUP($C22, Batch!$B$27:$S$36, 16, FALSE),0),"")/6), "")</f>
        <v>0</v>
      </c>
      <c r="AL22" s="17">
        <f>IFERROR((IF(ISNUMBER($D22), ROUNDUP(($J22/70)*VLOOKUP($C22, Batch!$B$27:$S$36, 17, FALSE),0),"")/6), "")</f>
        <v>0</v>
      </c>
      <c r="AM22" s="17">
        <f>IFERROR((IF(ISNUMBER($D22), ROUNDUP(($J22/70)*VLOOKUP($C22, Batch!$B$27:$S$36, 18, FALSE),0),"")/6),"")</f>
        <v>0</v>
      </c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</row>
    <row r="23" spans="1:114" s="25" customFormat="1" x14ac:dyDescent="0.3">
      <c r="A23"/>
      <c r="B23" s="23">
        <v>14</v>
      </c>
      <c r="C23" s="23" t="s">
        <v>59</v>
      </c>
      <c r="D23" s="23">
        <v>7</v>
      </c>
      <c r="E23" s="23">
        <v>3800</v>
      </c>
      <c r="F23" s="24">
        <f t="shared" si="2"/>
        <v>3.56</v>
      </c>
      <c r="G23" s="3"/>
      <c r="H23" s="24">
        <f t="shared" si="0"/>
        <v>5272.15</v>
      </c>
      <c r="I23" s="23">
        <f t="shared" si="3"/>
        <v>4217.72</v>
      </c>
      <c r="J23" s="12">
        <f t="shared" si="4"/>
        <v>3954.1124999999997</v>
      </c>
      <c r="K23"/>
      <c r="L23" s="23">
        <f t="shared" si="1"/>
        <v>55</v>
      </c>
      <c r="M23" s="23">
        <f t="shared" si="5"/>
        <v>13.75</v>
      </c>
      <c r="N23" s="23">
        <f t="shared" si="6"/>
        <v>17.5</v>
      </c>
      <c r="O23" s="23">
        <f t="shared" si="7"/>
        <v>8.75</v>
      </c>
      <c r="P23"/>
      <c r="Q23" s="12">
        <f t="shared" si="8"/>
        <v>2.75</v>
      </c>
      <c r="R23" s="23">
        <f t="shared" si="10"/>
        <v>1320</v>
      </c>
      <c r="S23" s="1"/>
      <c r="T23" s="12">
        <f t="shared" si="9"/>
        <v>1.75</v>
      </c>
      <c r="U23" s="23">
        <f t="shared" si="14"/>
        <v>840</v>
      </c>
      <c r="V23"/>
      <c r="W23" s="23">
        <f>IFERROR((IF(ISNUMBER($D23), ROUNDUP(($J23/70)*VLOOKUP($C23, Batch!$B$27:$S$36, 2, FALSE),0),"")/6), "")</f>
        <v>0</v>
      </c>
      <c r="X23" s="23">
        <f>IFERROR((IF(ISNUMBER($D23), ROUNDUP(($J23/70)*VLOOKUP($C23, Batch!$B$27:$S$36, 3, FALSE),0),"")/6), "")</f>
        <v>0</v>
      </c>
      <c r="Y23" s="23">
        <f>IFERROR((IF(ISNUMBER($D23), ROUNDUP(($J23/70)*VLOOKUP($C23, Batch!$B$27:$S$36, 4, FALSE),0),"")/6), "")</f>
        <v>0</v>
      </c>
      <c r="Z23" s="23">
        <f>IFERROR((IF(ISNUMBER($D23), ROUNDUP(($J23/70)*VLOOKUP($C23, Batch!$B$27:$S$36, 5, FALSE),0),"")/6),"")</f>
        <v>0</v>
      </c>
      <c r="AA23" s="23">
        <f>IFERROR((IF(ISNUMBER($D23), ROUNDUP(($J23/70)*VLOOKUP($C23, Batch!$B$27:$S$36, 6, FALSE),0),"")/6), "")</f>
        <v>0</v>
      </c>
      <c r="AB23" s="23">
        <f>IFERROR((IF(ISNUMBER($D23), ROUNDUP(($J23/70)*VLOOKUP($C23, Batch!$B$27:$S$36, 7, FALSE),0),"")/6), "")</f>
        <v>0</v>
      </c>
      <c r="AC23" s="23">
        <f>IFERROR((IF(ISNUMBER($D23), ROUNDUP(($J23/70)*VLOOKUP($C23, Batch!$B$27:$S$36, 8, FALSE),0),"")/6), "")</f>
        <v>0</v>
      </c>
      <c r="AD23" s="23">
        <f>IFERROR((IF(ISNUMBER($D23), ROUNDUP(($J23/70)*VLOOKUP($C23, Batch!$B$27:$S$36, 9, FALSE),0),"")/6), "")</f>
        <v>0</v>
      </c>
      <c r="AE23" s="23">
        <f>IFERROR((IF(ISNUMBER($D23), ROUNDUP(($J23/70)*VLOOKUP($C23, Batch!$B$27:$S$36, 10, FALSE),0),"")/6), "")</f>
        <v>0</v>
      </c>
      <c r="AF23" s="23">
        <f>IFERROR((IF(ISNUMBER($D23), ROUNDUP(($J23/70)*VLOOKUP($C23, Batch!$B$27:$S$36, 11, FALSE),0),"")/6), "")</f>
        <v>0</v>
      </c>
      <c r="AG23" s="23">
        <f>IFERROR((IF(ISNUMBER($D23), ROUNDUP(($J23/70)*VLOOKUP($C23, Batch!$B$27:$S$36, 12, FALSE),0),"")/6), "")</f>
        <v>47.166666666666664</v>
      </c>
      <c r="AH23" s="23">
        <f>IFERROR((IF(ISNUMBER($D23), ROUNDUP(($J23/70)*VLOOKUP($C23, Batch!$B$27:$S$36, 13, FALSE),0),"")/6), "")</f>
        <v>9.5</v>
      </c>
      <c r="AI23" s="23">
        <f>IFERROR((IF(ISNUMBER($D23), ROUNDUP(($J23/70)*VLOOKUP($C23, Batch!$B$27:$S$36, 14, FALSE),0),"")/6),"")</f>
        <v>0</v>
      </c>
      <c r="AJ23" s="23">
        <f>IFERROR((IF(ISNUMBER($D23), ROUNDUP(($J23/70)*VLOOKUP($C23, Batch!$B$27:$S$36, 15, FALSE),0),"")/6),"")</f>
        <v>0</v>
      </c>
      <c r="AK23" s="23">
        <f>IFERROR((IF(ISNUMBER($D23), ROUNDUP(($J23/70)*VLOOKUP($C23, Batch!$B$27:$S$36, 16, FALSE),0),"")/6), "")</f>
        <v>0</v>
      </c>
      <c r="AL23" s="23">
        <f>IFERROR((IF(ISNUMBER($D23), ROUNDUP(($J23/70)*VLOOKUP($C23, Batch!$B$27:$S$36, 17, FALSE),0),"")/6), "")</f>
        <v>0</v>
      </c>
      <c r="AM23" s="23">
        <f>IFERROR((IF(ISNUMBER($D23), ROUNDUP(($J23/70)*VLOOKUP($C23, Batch!$B$27:$S$36, 18, FALSE),0),"")/6),"")</f>
        <v>0</v>
      </c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</row>
    <row r="24" spans="1:114" s="22" customFormat="1" x14ac:dyDescent="0.3">
      <c r="A24"/>
      <c r="B24" s="20">
        <v>0</v>
      </c>
      <c r="C24" s="20" t="s">
        <v>12</v>
      </c>
      <c r="D24" s="20"/>
      <c r="E24" s="20"/>
      <c r="F24" s="21"/>
      <c r="G24" s="3"/>
      <c r="H24" s="21"/>
      <c r="I24" s="20">
        <f t="shared" si="3"/>
        <v>0</v>
      </c>
      <c r="J24" s="12">
        <f t="shared" si="4"/>
        <v>0</v>
      </c>
      <c r="K24"/>
      <c r="L24" s="20">
        <f t="shared" si="1"/>
        <v>0</v>
      </c>
      <c r="M24" s="20">
        <f t="shared" si="5"/>
        <v>0</v>
      </c>
      <c r="N24" s="20">
        <f t="shared" si="6"/>
        <v>0</v>
      </c>
      <c r="O24" s="20">
        <f t="shared" si="7"/>
        <v>0</v>
      </c>
      <c r="P24"/>
      <c r="Q24" s="12">
        <f t="shared" si="8"/>
        <v>0</v>
      </c>
      <c r="R24" s="20">
        <f t="shared" si="10"/>
        <v>0</v>
      </c>
      <c r="S24" s="1"/>
      <c r="T24" s="12">
        <f t="shared" si="9"/>
        <v>0</v>
      </c>
      <c r="U24" s="20">
        <f t="shared" si="14"/>
        <v>0</v>
      </c>
      <c r="V24"/>
      <c r="W24" s="20" t="str">
        <f>IFERROR((IF(ISNUMBER($D24), ROUNDUP(($J24/70)*VLOOKUP($C24, Batch!$B$27:$S$36, 2, FALSE),0),"")/6), "")</f>
        <v/>
      </c>
      <c r="X24" s="20" t="str">
        <f>IFERROR((IF(ISNUMBER($D24), ROUNDUP(($J24/70)*VLOOKUP($C24, Batch!$B$27:$S$36, 3, FALSE),0),"")/6), "")</f>
        <v/>
      </c>
      <c r="Y24" s="20" t="str">
        <f>IFERROR((IF(ISNUMBER($D24), ROUNDUP(($J24/70)*VLOOKUP($C24, Batch!$B$27:$S$36, 4, FALSE),0),"")/6), "")</f>
        <v/>
      </c>
      <c r="Z24" s="20" t="str">
        <f>IFERROR((IF(ISNUMBER($D24), ROUNDUP(($J24/70)*VLOOKUP($C24, Batch!$B$27:$S$36, 5, FALSE),0),"")/6),"")</f>
        <v/>
      </c>
      <c r="AA24" s="20" t="str">
        <f>IFERROR((IF(ISNUMBER($D24), ROUNDUP(($J24/70)*VLOOKUP($C24, Batch!$B$27:$S$36, 6, FALSE),0),"")/6), "")</f>
        <v/>
      </c>
      <c r="AB24" s="20" t="str">
        <f>IFERROR((IF(ISNUMBER($D24), ROUNDUP(($J24/70)*VLOOKUP($C24, Batch!$B$27:$S$36, 7, FALSE),0),"")/6), "")</f>
        <v/>
      </c>
      <c r="AC24" s="20" t="str">
        <f>IFERROR((IF(ISNUMBER($D24), ROUNDUP(($J24/70)*VLOOKUP($C24, Batch!$B$27:$S$36, 8, FALSE),0),"")/6), "")</f>
        <v/>
      </c>
      <c r="AD24" s="20" t="str">
        <f>IFERROR((IF(ISNUMBER($D24), ROUNDUP(($J24/70)*VLOOKUP($C24, Batch!$B$27:$S$36, 9, FALSE),0),"")/6), "")</f>
        <v/>
      </c>
      <c r="AE24" s="20" t="str">
        <f>IFERROR((IF(ISNUMBER($D24), ROUNDUP(($J24/70)*VLOOKUP($C24, Batch!$B$27:$S$36, 10, FALSE),0),"")/6), "")</f>
        <v/>
      </c>
      <c r="AF24" s="20" t="str">
        <f>IFERROR((IF(ISNUMBER($D24), ROUNDUP(($J24/70)*VLOOKUP($C24, Batch!$B$27:$S$36, 11, FALSE),0),"")/6), "")</f>
        <v/>
      </c>
      <c r="AG24" s="20" t="str">
        <f>IFERROR((IF(ISNUMBER($D24), ROUNDUP(($J24/70)*VLOOKUP($C24, Batch!$B$27:$S$36, 12, FALSE),0),"")/6), "")</f>
        <v/>
      </c>
      <c r="AH24" s="20" t="str">
        <f>IFERROR((IF(ISNUMBER($D24), ROUNDUP(($J24/70)*VLOOKUP($C24, Batch!$B$27:$S$36, 13, FALSE),0),"")/6), "")</f>
        <v/>
      </c>
      <c r="AI24" s="20" t="str">
        <f>IFERROR((IF(ISNUMBER($D24), ROUNDUP(($J24/70)*VLOOKUP($C24, Batch!$B$27:$S$36, 14, FALSE),0),"")/6),"")</f>
        <v/>
      </c>
      <c r="AJ24" s="20" t="str">
        <f>IFERROR((IF(ISNUMBER($D24), ROUNDUP(($J24/70)*VLOOKUP($C24, Batch!$B$27:$S$36, 15, FALSE),0),"")/6),"")</f>
        <v/>
      </c>
      <c r="AK24" s="20" t="str">
        <f>IFERROR((IF(ISNUMBER($D24), ROUNDUP(($J24/70)*VLOOKUP($C24, Batch!$B$27:$S$36, 16, FALSE),0),"")/6), "")</f>
        <v/>
      </c>
      <c r="AL24" s="20" t="str">
        <f>IFERROR((IF(ISNUMBER($D24), ROUNDUP(($J24/70)*VLOOKUP($C24, Batch!$B$27:$S$36, 17, FALSE),0),"")/6), "")</f>
        <v/>
      </c>
      <c r="AM24" s="20" t="str">
        <f>IFERROR((IF(ISNUMBER($D24), ROUNDUP(($J24/70)*VLOOKUP($C24, Batch!$B$27:$S$36, 18, FALSE),0),"")/6),"")</f>
        <v/>
      </c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</row>
    <row r="25" spans="1:114" s="16" customFormat="1" x14ac:dyDescent="0.3">
      <c r="A25"/>
      <c r="B25" s="12">
        <v>0</v>
      </c>
      <c r="C25" s="12" t="s">
        <v>12</v>
      </c>
      <c r="D25" s="12"/>
      <c r="E25" s="12"/>
      <c r="F25" s="13"/>
      <c r="G25" s="3"/>
      <c r="H25" s="13"/>
      <c r="I25" s="12">
        <f t="shared" si="3"/>
        <v>0</v>
      </c>
      <c r="J25" s="12">
        <f t="shared" si="4"/>
        <v>0</v>
      </c>
      <c r="K25"/>
      <c r="L25" s="12">
        <f t="shared" si="1"/>
        <v>0</v>
      </c>
      <c r="M25" s="12">
        <f t="shared" si="5"/>
        <v>0</v>
      </c>
      <c r="N25" s="12">
        <f t="shared" si="6"/>
        <v>0</v>
      </c>
      <c r="O25" s="12">
        <f t="shared" si="7"/>
        <v>0</v>
      </c>
      <c r="P25"/>
      <c r="Q25" s="12">
        <f t="shared" si="8"/>
        <v>0</v>
      </c>
      <c r="R25" s="12">
        <f t="shared" si="10"/>
        <v>0</v>
      </c>
      <c r="S25" s="1"/>
      <c r="T25" s="12">
        <f t="shared" si="9"/>
        <v>0</v>
      </c>
      <c r="U25" s="12">
        <f t="shared" si="14"/>
        <v>0</v>
      </c>
      <c r="V25"/>
      <c r="W25" s="12" t="str">
        <f>IFERROR((IF(ISNUMBER($D25), ROUNDUP(($J25/70)*VLOOKUP($C25, Batch!$B$27:$S$36, 2, FALSE),0),"")/6), "")</f>
        <v/>
      </c>
      <c r="X25" s="12" t="str">
        <f>IFERROR((IF(ISNUMBER($D25), ROUNDUP(($J25/70)*VLOOKUP($C25, Batch!$B$27:$S$36, 3, FALSE),0),"")/6), "")</f>
        <v/>
      </c>
      <c r="Y25" s="12" t="str">
        <f>IFERROR((IF(ISNUMBER($D25), ROUNDUP(($J25/70)*VLOOKUP($C25, Batch!$B$27:$S$36, 4, FALSE),0),"")/6), "")</f>
        <v/>
      </c>
      <c r="Z25" s="12" t="str">
        <f>IFERROR((IF(ISNUMBER($D25), ROUNDUP(($J25/70)*VLOOKUP($C25, Batch!$B$27:$S$36, 5, FALSE),0),"")/6),"")</f>
        <v/>
      </c>
      <c r="AA25" s="12" t="str">
        <f>IFERROR((IF(ISNUMBER($D25), ROUNDUP(($J25/70)*VLOOKUP($C25, Batch!$B$27:$S$36, 6, FALSE),0),"")/6), "")</f>
        <v/>
      </c>
      <c r="AB25" s="12" t="str">
        <f>IFERROR((IF(ISNUMBER($D25), ROUNDUP(($J25/70)*VLOOKUP($C25, Batch!$B$27:$S$36, 7, FALSE),0),"")/6), "")</f>
        <v/>
      </c>
      <c r="AC25" s="12" t="str">
        <f>IFERROR((IF(ISNUMBER($D25), ROUNDUP(($J25/70)*VLOOKUP($C25, Batch!$B$27:$S$36, 8, FALSE),0),"")/6), "")</f>
        <v/>
      </c>
      <c r="AD25" s="12" t="str">
        <f>IFERROR((IF(ISNUMBER($D25), ROUNDUP(($J25/70)*VLOOKUP($C25, Batch!$B$27:$S$36, 9, FALSE),0),"")/6), "")</f>
        <v/>
      </c>
      <c r="AE25" s="12" t="str">
        <f>IFERROR((IF(ISNUMBER($D25), ROUNDUP(($J25/70)*VLOOKUP($C25, Batch!$B$27:$S$36, 10, FALSE),0),"")/6), "")</f>
        <v/>
      </c>
      <c r="AF25" s="12" t="str">
        <f>IFERROR((IF(ISNUMBER($D25), ROUNDUP(($J25/70)*VLOOKUP($C25, Batch!$B$27:$S$36, 11, FALSE),0),"")/6), "")</f>
        <v/>
      </c>
      <c r="AG25" s="12" t="str">
        <f>IFERROR((IF(ISNUMBER($D25), ROUNDUP(($J25/70)*VLOOKUP($C25, Batch!$B$27:$S$36, 12, FALSE),0),"")/6), "")</f>
        <v/>
      </c>
      <c r="AH25" s="12" t="str">
        <f>IFERROR((IF(ISNUMBER($D25), ROUNDUP(($J25/70)*VLOOKUP($C25, Batch!$B$27:$S$36, 13, FALSE),0),"")/6), "")</f>
        <v/>
      </c>
      <c r="AI25" s="12" t="str">
        <f>IFERROR((IF(ISNUMBER($D25), ROUNDUP(($J25/70)*VLOOKUP($C25, Batch!$B$27:$S$36, 14, FALSE),0),"")/6),"")</f>
        <v/>
      </c>
      <c r="AJ25" s="12" t="str">
        <f>IFERROR((IF(ISNUMBER($D25), ROUNDUP(($J25/70)*VLOOKUP($C25, Batch!$B$27:$S$36, 15, FALSE),0),"")/6),"")</f>
        <v/>
      </c>
      <c r="AK25" s="12" t="str">
        <f>IFERROR((IF(ISNUMBER($D25), ROUNDUP(($J25/70)*VLOOKUP($C25, Batch!$B$27:$S$36, 16, FALSE),0),"")/6), "")</f>
        <v/>
      </c>
      <c r="AL25" s="12" t="str">
        <f>IFERROR((IF(ISNUMBER($D25), ROUNDUP(($J25/70)*VLOOKUP($C25, Batch!$B$27:$S$36, 17, FALSE),0),"")/6), "")</f>
        <v/>
      </c>
      <c r="AM25" s="12" t="str">
        <f>IFERROR((IF(ISNUMBER($D25), ROUNDUP(($J25/70)*VLOOKUP($C25, Batch!$B$27:$S$36, 18, FALSE),0),"")/6),"")</f>
        <v/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</row>
    <row r="26" spans="1:114" x14ac:dyDescent="0.3">
      <c r="D26">
        <f>SUM(D5:D25)</f>
        <v>44</v>
      </c>
      <c r="L26">
        <f>SUM(L5:L25)</f>
        <v>210</v>
      </c>
      <c r="M26">
        <f>SUM(M5:M25)</f>
        <v>52.5</v>
      </c>
      <c r="N26">
        <f>SUM(N5:N25)</f>
        <v>66.5</v>
      </c>
      <c r="O26">
        <f>SUM(O5:O25)</f>
        <v>33.25</v>
      </c>
      <c r="Q26">
        <f>SUM(Q5:Q25)</f>
        <v>10.51</v>
      </c>
      <c r="R26">
        <f t="shared" si="10"/>
        <v>5044.8</v>
      </c>
      <c r="T26">
        <f>SUM(T5:T25)</f>
        <v>6.6899999999999995</v>
      </c>
      <c r="W26">
        <f>SUM(W5:W25)</f>
        <v>1</v>
      </c>
      <c r="X26">
        <f t="shared" ref="X26:AM26" si="15">SUM(X5:X25)</f>
        <v>1</v>
      </c>
      <c r="Y26">
        <f t="shared" si="15"/>
        <v>21</v>
      </c>
      <c r="Z26">
        <f t="shared" si="15"/>
        <v>11.333333333333332</v>
      </c>
      <c r="AA26">
        <f t="shared" si="15"/>
        <v>9.6666666666666661</v>
      </c>
      <c r="AB26">
        <f t="shared" si="15"/>
        <v>19.333333333333332</v>
      </c>
      <c r="AC26">
        <f t="shared" si="15"/>
        <v>12.166666666666666</v>
      </c>
      <c r="AD26">
        <f t="shared" si="15"/>
        <v>35</v>
      </c>
      <c r="AE26">
        <f t="shared" si="15"/>
        <v>22.166666666666668</v>
      </c>
      <c r="AF26">
        <f t="shared" si="15"/>
        <v>0</v>
      </c>
      <c r="AG26">
        <f t="shared" si="15"/>
        <v>76</v>
      </c>
      <c r="AH26">
        <f t="shared" si="15"/>
        <v>9.5</v>
      </c>
      <c r="AI26">
        <f t="shared" si="15"/>
        <v>0</v>
      </c>
      <c r="AJ26">
        <f t="shared" si="15"/>
        <v>0</v>
      </c>
      <c r="AK26">
        <f t="shared" si="15"/>
        <v>0</v>
      </c>
      <c r="AL26">
        <f t="shared" si="15"/>
        <v>0</v>
      </c>
      <c r="AM26">
        <f t="shared" si="15"/>
        <v>0</v>
      </c>
    </row>
    <row r="27" spans="1:114" x14ac:dyDescent="0.3">
      <c r="B27" s="33">
        <f>ROUND(SUMPRODUCT(B4:B25,D4:D25)/SUM(D4:D25),2)</f>
        <v>9.7799999999999994</v>
      </c>
      <c r="C27" s="34">
        <f>SUM(H5:H25)*0.8</f>
        <v>16130.815999999999</v>
      </c>
      <c r="D27">
        <f>SUM(H5:H25)*0.75</f>
        <v>15122.639999999998</v>
      </c>
      <c r="AO27">
        <f>SUM(W26:AM26)</f>
        <v>218.16666666666666</v>
      </c>
    </row>
    <row r="29" spans="1:114" s="16" customFormat="1" x14ac:dyDescent="0.3">
      <c r="A29"/>
      <c r="B29" s="42" t="s">
        <v>52</v>
      </c>
      <c r="C29" s="45"/>
      <c r="D29" s="43"/>
      <c r="E29" s="2"/>
      <c r="F29" s="42" t="s">
        <v>6</v>
      </c>
      <c r="G29" s="43"/>
      <c r="H29" s="44" t="s">
        <v>51</v>
      </c>
      <c r="I29" s="44"/>
      <c r="J29" s="2"/>
      <c r="K29" s="44" t="s">
        <v>8</v>
      </c>
      <c r="L29" s="44"/>
      <c r="M29" s="44"/>
      <c r="N29" s="2"/>
      <c r="O29" s="44" t="s">
        <v>17</v>
      </c>
      <c r="P29" s="44"/>
      <c r="Q29" s="44"/>
      <c r="R29"/>
      <c r="S29"/>
      <c r="T29"/>
      <c r="U29"/>
      <c r="V29"/>
      <c r="W29" s="39" t="s">
        <v>72</v>
      </c>
      <c r="X29" s="39"/>
      <c r="Y29" s="39"/>
      <c r="Z29" s="39"/>
      <c r="AB29" s="39" t="s">
        <v>73</v>
      </c>
      <c r="AC29" s="39"/>
      <c r="AD29" s="39"/>
      <c r="AE29" s="3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19" customFormat="1" x14ac:dyDescent="0.3">
      <c r="A30"/>
      <c r="B30" s="26" t="s">
        <v>14</v>
      </c>
      <c r="C30" s="26" t="s">
        <v>3</v>
      </c>
      <c r="D30" s="27">
        <v>0.8</v>
      </c>
      <c r="E30" s="2"/>
      <c r="F30" s="26" t="s">
        <v>15</v>
      </c>
      <c r="G30" s="26" t="s">
        <v>7</v>
      </c>
      <c r="H30" s="26" t="s">
        <v>15</v>
      </c>
      <c r="I30" s="26" t="s">
        <v>7</v>
      </c>
      <c r="J30" s="2"/>
      <c r="K30" s="26" t="s">
        <v>18</v>
      </c>
      <c r="L30" s="26" t="s">
        <v>10</v>
      </c>
      <c r="M30" s="26" t="s">
        <v>16</v>
      </c>
      <c r="N30" s="2"/>
      <c r="O30" s="26" t="s">
        <v>18</v>
      </c>
      <c r="P30" s="26" t="s">
        <v>10</v>
      </c>
      <c r="Q30" s="26" t="s">
        <v>16</v>
      </c>
      <c r="R30"/>
      <c r="S30"/>
      <c r="T30"/>
      <c r="U30"/>
      <c r="V30"/>
      <c r="W30" s="17" t="s">
        <v>61</v>
      </c>
      <c r="X30" s="17" t="s">
        <v>63</v>
      </c>
      <c r="Y30" s="17" t="s">
        <v>61</v>
      </c>
      <c r="Z30" s="17" t="s">
        <v>71</v>
      </c>
      <c r="AB30" s="17" t="s">
        <v>61</v>
      </c>
      <c r="AC30" s="17" t="s">
        <v>63</v>
      </c>
      <c r="AD30" s="17" t="s">
        <v>61</v>
      </c>
      <c r="AE30" s="17" t="s">
        <v>71</v>
      </c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s="25" customFormat="1" x14ac:dyDescent="0.3">
      <c r="A31"/>
      <c r="B31" s="23" t="str">
        <f>Batch!B27</f>
        <v>IG</v>
      </c>
      <c r="C31" s="23">
        <f t="shared" ref="C31:C40" si="16">SUMIF($C$5:$C$25, B31, $H$5:$H$25)</f>
        <v>6176.64</v>
      </c>
      <c r="D31" s="23">
        <f>C31*0.8</f>
        <v>4941.3120000000008</v>
      </c>
      <c r="E31"/>
      <c r="F31" s="23">
        <f>SUMIF($C$5:$C$25,B31,$L$5:$L$25)</f>
        <v>64.5</v>
      </c>
      <c r="G31" s="23">
        <f>SUMIF($C$5:$C$25,B31,$M$5:$M$25)</f>
        <v>16.125</v>
      </c>
      <c r="H31" s="23">
        <f>SUMIF($C$5:$C$25,B31,$N$5:$N$25)</f>
        <v>20.5</v>
      </c>
      <c r="I31" s="23">
        <f>SUMIF($C$5:$C$25,$B31,$O$5:$O$25)</f>
        <v>10.25</v>
      </c>
      <c r="J31"/>
      <c r="K31" s="23">
        <f>SUMIF($C$5:$C$25,$B31,$Q$5:$Q$25)</f>
        <v>3.22</v>
      </c>
      <c r="L31" s="23">
        <f>SUMIF($C$5:$C$25,$B31,$R$5:$R$25)</f>
        <v>1545.6000000000001</v>
      </c>
      <c r="M31" s="23">
        <f>6*K31</f>
        <v>19.32</v>
      </c>
      <c r="N31"/>
      <c r="O31" s="23">
        <f t="shared" ref="O31:O40" si="17">SUMIF($C$5:$C$25,$B31,$T$5:$T$25)</f>
        <v>2.0499999999999998</v>
      </c>
      <c r="P31" s="23">
        <f t="shared" ref="P31:P40" si="18">SUMIF($C$5:$C$25,$B31,$U$5:$U$25)</f>
        <v>983.99999999999989</v>
      </c>
      <c r="Q31" s="23">
        <f>P31/70</f>
        <v>14.057142857142855</v>
      </c>
      <c r="R31"/>
      <c r="S31"/>
      <c r="T31"/>
      <c r="U31"/>
      <c r="V31"/>
      <c r="W31" s="23" t="s">
        <v>19</v>
      </c>
      <c r="X31" s="23">
        <f>W26*68</f>
        <v>68</v>
      </c>
      <c r="Y31" s="23" t="s">
        <v>29</v>
      </c>
      <c r="Z31" s="23">
        <f>AG26*68</f>
        <v>5168</v>
      </c>
      <c r="AB31" s="23" t="s">
        <v>19</v>
      </c>
      <c r="AC31" s="23">
        <f>X31*3</f>
        <v>204</v>
      </c>
      <c r="AD31" s="23" t="s">
        <v>29</v>
      </c>
      <c r="AE31" s="23">
        <f>Z31*3</f>
        <v>15504</v>
      </c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</row>
    <row r="32" spans="1:114" s="22" customFormat="1" x14ac:dyDescent="0.3">
      <c r="A32"/>
      <c r="B32" s="20" t="str">
        <f>Batch!B28</f>
        <v>IG (Raddish)</v>
      </c>
      <c r="C32" s="20">
        <f t="shared" si="16"/>
        <v>235.06</v>
      </c>
      <c r="D32" s="20">
        <f t="shared" ref="D32:D39" si="19">C32*0.8</f>
        <v>188.048</v>
      </c>
      <c r="E32"/>
      <c r="F32" s="20">
        <f t="shared" ref="F32:F39" si="20">SUMIF($C$5:$C$25,B32,$L$5:$L$25)</f>
        <v>2.5</v>
      </c>
      <c r="G32" s="20">
        <f t="shared" ref="G32:G39" si="21">SUMIF($C$5:$C$25,B32,$M$5:$M$25)</f>
        <v>0.625</v>
      </c>
      <c r="H32" s="20">
        <f t="shared" ref="H32:H39" si="22">SUMIF($C$5:$C$25,B32,$N$5:$N$25)</f>
        <v>1</v>
      </c>
      <c r="I32" s="20">
        <f t="shared" ref="I32:I39" si="23">SUMIF($C$5:$C$25,$B32,$O$5:$O$25)</f>
        <v>0.5</v>
      </c>
      <c r="J32"/>
      <c r="K32" s="20">
        <f t="shared" ref="K32:K39" si="24">SUMIF($C$5:$C$25,$B32,$Q$5:$Q$25)</f>
        <v>0.12</v>
      </c>
      <c r="L32" s="20">
        <f t="shared" ref="L32:L39" si="25">SUMIF($C$5:$C$25,$B32,$R$5:$R$25)</f>
        <v>57.599999999999994</v>
      </c>
      <c r="M32" s="20">
        <f t="shared" ref="M32:M39" si="26">6*K32</f>
        <v>0.72</v>
      </c>
      <c r="N32"/>
      <c r="O32" s="20">
        <f t="shared" si="17"/>
        <v>0.08</v>
      </c>
      <c r="P32" s="20">
        <f t="shared" si="18"/>
        <v>38.4</v>
      </c>
      <c r="Q32" s="20">
        <f t="shared" ref="Q32:Q39" si="27">P32/70</f>
        <v>0.5485714285714286</v>
      </c>
      <c r="R32"/>
      <c r="S32"/>
      <c r="T32"/>
      <c r="U32"/>
      <c r="V32"/>
      <c r="W32" s="20" t="s">
        <v>20</v>
      </c>
      <c r="X32" s="20">
        <f>X26*68</f>
        <v>68</v>
      </c>
      <c r="Y32" s="20" t="s">
        <v>60</v>
      </c>
      <c r="Z32" s="20">
        <f>AH26*68</f>
        <v>646</v>
      </c>
      <c r="AB32" s="20" t="s">
        <v>20</v>
      </c>
      <c r="AC32" s="20">
        <f>X32*3</f>
        <v>204</v>
      </c>
      <c r="AD32" s="20" t="s">
        <v>60</v>
      </c>
      <c r="AE32" s="20">
        <f t="shared" ref="AE32:AE41" si="28">Z32*3</f>
        <v>1938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</row>
    <row r="33" spans="1:114" s="16" customFormat="1" x14ac:dyDescent="0.3">
      <c r="A33"/>
      <c r="B33" s="12" t="str">
        <f>Batch!B29</f>
        <v>CRT</v>
      </c>
      <c r="C33" s="12">
        <f t="shared" si="16"/>
        <v>5397.82</v>
      </c>
      <c r="D33" s="12">
        <f t="shared" si="19"/>
        <v>4318.2560000000003</v>
      </c>
      <c r="E33"/>
      <c r="F33" s="12">
        <f t="shared" si="20"/>
        <v>56.5</v>
      </c>
      <c r="G33" s="12">
        <f t="shared" si="21"/>
        <v>14.125</v>
      </c>
      <c r="H33" s="12">
        <f t="shared" si="22"/>
        <v>18</v>
      </c>
      <c r="I33" s="12">
        <f t="shared" si="23"/>
        <v>9</v>
      </c>
      <c r="J33"/>
      <c r="K33" s="12">
        <f t="shared" si="24"/>
        <v>2.81</v>
      </c>
      <c r="L33" s="12">
        <f t="shared" si="25"/>
        <v>1348.8</v>
      </c>
      <c r="M33" s="12">
        <f t="shared" si="26"/>
        <v>16.86</v>
      </c>
      <c r="N33"/>
      <c r="O33" s="12">
        <f t="shared" si="17"/>
        <v>1.79</v>
      </c>
      <c r="P33" s="12">
        <f t="shared" si="18"/>
        <v>859.2</v>
      </c>
      <c r="Q33" s="12">
        <f t="shared" si="27"/>
        <v>12.274285714285716</v>
      </c>
      <c r="R33"/>
      <c r="S33"/>
      <c r="T33"/>
      <c r="U33"/>
      <c r="V33"/>
      <c r="W33" s="12" t="s">
        <v>21</v>
      </c>
      <c r="X33" s="12">
        <f>Y26*68</f>
        <v>1428</v>
      </c>
      <c r="Y33" s="12" t="s">
        <v>30</v>
      </c>
      <c r="Z33" s="12">
        <f>AI26*68</f>
        <v>0</v>
      </c>
      <c r="AB33" s="12" t="s">
        <v>21</v>
      </c>
      <c r="AC33" s="12">
        <f>X33*3</f>
        <v>4284</v>
      </c>
      <c r="AD33" s="12" t="s">
        <v>30</v>
      </c>
      <c r="AE33" s="12">
        <f t="shared" si="28"/>
        <v>0</v>
      </c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</row>
    <row r="34" spans="1:114" s="19" customFormat="1" x14ac:dyDescent="0.3">
      <c r="A34"/>
      <c r="B34" s="17" t="str">
        <f>Batch!B30</f>
        <v>H (2ply)</v>
      </c>
      <c r="C34" s="17">
        <f t="shared" si="16"/>
        <v>5272.15</v>
      </c>
      <c r="D34" s="17">
        <f t="shared" si="19"/>
        <v>4217.72</v>
      </c>
      <c r="E34"/>
      <c r="F34" s="17">
        <f t="shared" si="20"/>
        <v>55</v>
      </c>
      <c r="G34" s="17">
        <f t="shared" si="21"/>
        <v>13.75</v>
      </c>
      <c r="H34" s="17">
        <f t="shared" si="22"/>
        <v>17.5</v>
      </c>
      <c r="I34" s="17">
        <f t="shared" si="23"/>
        <v>8.75</v>
      </c>
      <c r="J34"/>
      <c r="K34" s="17">
        <f t="shared" si="24"/>
        <v>2.75</v>
      </c>
      <c r="L34" s="17">
        <f t="shared" si="25"/>
        <v>1320</v>
      </c>
      <c r="M34" s="17">
        <f t="shared" si="26"/>
        <v>16.5</v>
      </c>
      <c r="N34"/>
      <c r="O34" s="17">
        <f t="shared" si="17"/>
        <v>1.75</v>
      </c>
      <c r="P34" s="17">
        <f t="shared" si="18"/>
        <v>840</v>
      </c>
      <c r="Q34" s="17">
        <f t="shared" si="27"/>
        <v>12</v>
      </c>
      <c r="R34"/>
      <c r="S34"/>
      <c r="T34"/>
      <c r="U34"/>
      <c r="V34"/>
      <c r="W34" s="17" t="s">
        <v>22</v>
      </c>
      <c r="X34" s="17">
        <f>Z26*68</f>
        <v>770.66666666666663</v>
      </c>
      <c r="Y34" s="17" t="s">
        <v>31</v>
      </c>
      <c r="Z34" s="17">
        <f>AJ26*68</f>
        <v>0</v>
      </c>
      <c r="AB34" s="17" t="s">
        <v>22</v>
      </c>
      <c r="AC34" s="17">
        <f t="shared" ref="AC34:AC41" si="29">X34*3</f>
        <v>2312</v>
      </c>
      <c r="AD34" s="17" t="s">
        <v>31</v>
      </c>
      <c r="AE34" s="17">
        <f t="shared" si="28"/>
        <v>0</v>
      </c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s="25" customFormat="1" x14ac:dyDescent="0.3">
      <c r="A35"/>
      <c r="B35" s="23" t="str">
        <f>Batch!B31</f>
        <v>Hessian</v>
      </c>
      <c r="C35" s="23">
        <f t="shared" si="16"/>
        <v>2673.92</v>
      </c>
      <c r="D35" s="23">
        <f t="shared" si="19"/>
        <v>2139.136</v>
      </c>
      <c r="E35"/>
      <c r="F35" s="23">
        <f t="shared" si="20"/>
        <v>27.5</v>
      </c>
      <c r="G35" s="23">
        <f t="shared" si="21"/>
        <v>6.875</v>
      </c>
      <c r="H35" s="23">
        <f t="shared" si="22"/>
        <v>8.5</v>
      </c>
      <c r="I35" s="23">
        <f t="shared" si="23"/>
        <v>4.25</v>
      </c>
      <c r="J35"/>
      <c r="K35" s="23">
        <f t="shared" si="24"/>
        <v>1.3900000000000001</v>
      </c>
      <c r="L35" s="23">
        <f t="shared" si="25"/>
        <v>667.2</v>
      </c>
      <c r="M35" s="23">
        <f t="shared" si="26"/>
        <v>8.34</v>
      </c>
      <c r="N35"/>
      <c r="O35" s="23">
        <f t="shared" si="17"/>
        <v>0.88000000000000012</v>
      </c>
      <c r="P35" s="23">
        <f t="shared" si="18"/>
        <v>422.4</v>
      </c>
      <c r="Q35" s="23">
        <f t="shared" si="27"/>
        <v>6.0342857142857138</v>
      </c>
      <c r="R35"/>
      <c r="S35"/>
      <c r="T35"/>
      <c r="U35"/>
      <c r="V35"/>
      <c r="W35" s="23" t="s">
        <v>23</v>
      </c>
      <c r="X35" s="23">
        <f>AA26*68</f>
        <v>657.33333333333326</v>
      </c>
      <c r="Y35" s="23" t="s">
        <v>68</v>
      </c>
      <c r="Z35" s="23">
        <f>AK26*68</f>
        <v>0</v>
      </c>
      <c r="AB35" s="23" t="s">
        <v>23</v>
      </c>
      <c r="AC35" s="23">
        <f t="shared" si="29"/>
        <v>1971.9999999999998</v>
      </c>
      <c r="AD35" s="23" t="s">
        <v>68</v>
      </c>
      <c r="AE35" s="23">
        <f t="shared" si="28"/>
        <v>0</v>
      </c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</row>
    <row r="36" spans="1:114" s="22" customFormat="1" x14ac:dyDescent="0.3">
      <c r="A36"/>
      <c r="B36" s="20" t="str">
        <f>Batch!B32</f>
        <v>White</v>
      </c>
      <c r="C36" s="20">
        <f t="shared" si="16"/>
        <v>0</v>
      </c>
      <c r="D36" s="20">
        <f t="shared" si="19"/>
        <v>0</v>
      </c>
      <c r="E36"/>
      <c r="F36" s="20">
        <f t="shared" si="20"/>
        <v>0</v>
      </c>
      <c r="G36" s="20">
        <f t="shared" si="21"/>
        <v>0</v>
      </c>
      <c r="H36" s="20">
        <f t="shared" si="22"/>
        <v>0</v>
      </c>
      <c r="I36" s="20">
        <f t="shared" si="23"/>
        <v>0</v>
      </c>
      <c r="J36"/>
      <c r="K36" s="20">
        <f t="shared" si="24"/>
        <v>0</v>
      </c>
      <c r="L36" s="20">
        <f t="shared" si="25"/>
        <v>0</v>
      </c>
      <c r="M36" s="20">
        <f t="shared" si="26"/>
        <v>0</v>
      </c>
      <c r="N36"/>
      <c r="O36" s="20">
        <f t="shared" si="17"/>
        <v>0</v>
      </c>
      <c r="P36" s="20">
        <f t="shared" si="18"/>
        <v>0</v>
      </c>
      <c r="Q36" s="20">
        <f t="shared" si="27"/>
        <v>0</v>
      </c>
      <c r="R36"/>
      <c r="S36"/>
      <c r="T36"/>
      <c r="U36"/>
      <c r="V36"/>
      <c r="W36" s="20" t="s">
        <v>24</v>
      </c>
      <c r="X36" s="20">
        <f>AB26*68</f>
        <v>1314.6666666666665</v>
      </c>
      <c r="Y36" s="20" t="s">
        <v>69</v>
      </c>
      <c r="Z36" s="20">
        <f>AL26*68</f>
        <v>0</v>
      </c>
      <c r="AB36" s="20" t="s">
        <v>24</v>
      </c>
      <c r="AC36" s="20">
        <f t="shared" si="29"/>
        <v>3943.9999999999995</v>
      </c>
      <c r="AD36" s="20" t="s">
        <v>69</v>
      </c>
      <c r="AE36" s="20">
        <f t="shared" si="28"/>
        <v>0</v>
      </c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</row>
    <row r="37" spans="1:114" s="16" customFormat="1" x14ac:dyDescent="0.3">
      <c r="A37"/>
      <c r="B37" s="12" t="str">
        <f>Batch!B33</f>
        <v>Vot</v>
      </c>
      <c r="C37" s="12">
        <f t="shared" si="16"/>
        <v>0</v>
      </c>
      <c r="D37" s="12">
        <f t="shared" si="19"/>
        <v>0</v>
      </c>
      <c r="E37"/>
      <c r="F37" s="12">
        <f t="shared" si="20"/>
        <v>0</v>
      </c>
      <c r="G37" s="12">
        <f t="shared" si="21"/>
        <v>0</v>
      </c>
      <c r="H37" s="12">
        <f t="shared" si="22"/>
        <v>0</v>
      </c>
      <c r="I37" s="12">
        <f t="shared" si="23"/>
        <v>0</v>
      </c>
      <c r="J37"/>
      <c r="K37" s="12">
        <f t="shared" si="24"/>
        <v>0</v>
      </c>
      <c r="L37" s="12">
        <f t="shared" si="25"/>
        <v>0</v>
      </c>
      <c r="M37" s="12">
        <f t="shared" si="26"/>
        <v>0</v>
      </c>
      <c r="N37"/>
      <c r="O37" s="12">
        <f t="shared" si="17"/>
        <v>0</v>
      </c>
      <c r="P37" s="12">
        <f t="shared" si="18"/>
        <v>0</v>
      </c>
      <c r="Q37" s="12">
        <f t="shared" si="27"/>
        <v>0</v>
      </c>
      <c r="R37"/>
      <c r="S37"/>
      <c r="T37"/>
      <c r="U37"/>
      <c r="V37"/>
      <c r="W37" s="12" t="s">
        <v>65</v>
      </c>
      <c r="X37" s="12">
        <f>AC26*68</f>
        <v>827.33333333333326</v>
      </c>
      <c r="Y37" s="12" t="s">
        <v>70</v>
      </c>
      <c r="Z37" s="12">
        <f>AM26*68</f>
        <v>0</v>
      </c>
      <c r="AB37" s="12" t="s">
        <v>65</v>
      </c>
      <c r="AC37" s="12">
        <f t="shared" si="29"/>
        <v>2482</v>
      </c>
      <c r="AD37" s="12" t="s">
        <v>70</v>
      </c>
      <c r="AE37" s="12">
        <f t="shared" si="28"/>
        <v>0</v>
      </c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</row>
    <row r="38" spans="1:114" s="19" customFormat="1" x14ac:dyDescent="0.3">
      <c r="A38"/>
      <c r="B38" s="17" t="str">
        <f>Batch!B34</f>
        <v>CRX</v>
      </c>
      <c r="C38" s="17">
        <f t="shared" si="16"/>
        <v>407.93</v>
      </c>
      <c r="D38" s="17">
        <f t="shared" si="19"/>
        <v>326.34400000000005</v>
      </c>
      <c r="E38"/>
      <c r="F38" s="17">
        <f t="shared" si="20"/>
        <v>4</v>
      </c>
      <c r="G38" s="17">
        <f t="shared" si="21"/>
        <v>1</v>
      </c>
      <c r="H38" s="17">
        <f t="shared" si="22"/>
        <v>1</v>
      </c>
      <c r="I38" s="17">
        <f t="shared" si="23"/>
        <v>0.5</v>
      </c>
      <c r="J38"/>
      <c r="K38" s="17">
        <f t="shared" si="24"/>
        <v>0.22</v>
      </c>
      <c r="L38" s="17">
        <f t="shared" si="25"/>
        <v>105.6</v>
      </c>
      <c r="M38" s="17">
        <f t="shared" si="26"/>
        <v>1.32</v>
      </c>
      <c r="N38"/>
      <c r="O38" s="17">
        <f t="shared" si="17"/>
        <v>0.14000000000000001</v>
      </c>
      <c r="P38" s="17">
        <f t="shared" si="18"/>
        <v>67.2</v>
      </c>
      <c r="Q38" s="17">
        <f t="shared" si="27"/>
        <v>0.96000000000000008</v>
      </c>
      <c r="R38"/>
      <c r="S38"/>
      <c r="T38"/>
      <c r="U38"/>
      <c r="V38"/>
      <c r="W38" s="17" t="s">
        <v>66</v>
      </c>
      <c r="X38" s="17">
        <f>AD26*68</f>
        <v>2380</v>
      </c>
      <c r="Y38" s="17"/>
      <c r="Z38" s="17"/>
      <c r="AB38" s="17" t="s">
        <v>66</v>
      </c>
      <c r="AC38" s="17">
        <f t="shared" si="29"/>
        <v>7140</v>
      </c>
      <c r="AD38" s="17"/>
      <c r="AE38" s="17">
        <f t="shared" si="28"/>
        <v>0</v>
      </c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</row>
    <row r="39" spans="1:114" s="25" customFormat="1" x14ac:dyDescent="0.3">
      <c r="A39"/>
      <c r="B39" s="23" t="str">
        <f>Batch!B35</f>
        <v>OW</v>
      </c>
      <c r="C39" s="23">
        <f t="shared" si="16"/>
        <v>0</v>
      </c>
      <c r="D39" s="23">
        <f t="shared" si="19"/>
        <v>0</v>
      </c>
      <c r="E39"/>
      <c r="F39" s="23">
        <f t="shared" si="20"/>
        <v>0</v>
      </c>
      <c r="G39" s="23">
        <f t="shared" si="21"/>
        <v>0</v>
      </c>
      <c r="H39" s="23">
        <f t="shared" si="22"/>
        <v>0</v>
      </c>
      <c r="I39" s="23">
        <f t="shared" si="23"/>
        <v>0</v>
      </c>
      <c r="J39"/>
      <c r="K39" s="23">
        <f t="shared" si="24"/>
        <v>0</v>
      </c>
      <c r="L39" s="23">
        <f t="shared" si="25"/>
        <v>0</v>
      </c>
      <c r="M39" s="23">
        <f t="shared" si="26"/>
        <v>0</v>
      </c>
      <c r="N39"/>
      <c r="O39" s="23">
        <f t="shared" si="17"/>
        <v>0</v>
      </c>
      <c r="P39" s="23">
        <f t="shared" si="18"/>
        <v>0</v>
      </c>
      <c r="Q39" s="23">
        <f t="shared" si="27"/>
        <v>0</v>
      </c>
      <c r="R39"/>
      <c r="S39"/>
      <c r="T39"/>
      <c r="U39"/>
      <c r="V39"/>
      <c r="W39" s="23" t="s">
        <v>67</v>
      </c>
      <c r="X39" s="23">
        <f>AE26*68</f>
        <v>1507.3333333333335</v>
      </c>
      <c r="Y39" s="23"/>
      <c r="Z39" s="23"/>
      <c r="AB39" s="23" t="s">
        <v>67</v>
      </c>
      <c r="AC39" s="23">
        <f t="shared" si="29"/>
        <v>4522</v>
      </c>
      <c r="AD39" s="23"/>
      <c r="AE39" s="23">
        <f t="shared" si="28"/>
        <v>0</v>
      </c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s="22" customFormat="1" x14ac:dyDescent="0.3">
      <c r="A40"/>
      <c r="B40" s="20" t="str">
        <f>Batch!B36</f>
        <v>HG</v>
      </c>
      <c r="C40" s="20">
        <f t="shared" si="16"/>
        <v>0</v>
      </c>
      <c r="D40" s="20">
        <f>C40*0.8</f>
        <v>0</v>
      </c>
      <c r="E40"/>
      <c r="F40" s="20">
        <f>SUMIF($C$5:$C$25,B40,$L$5:$L$25)</f>
        <v>0</v>
      </c>
      <c r="G40" s="20">
        <f>SUMIF($C$5:$C$25,B40,$M$5:$M$25)</f>
        <v>0</v>
      </c>
      <c r="H40" s="20">
        <f>SUMIF($C$5:$C$25,B40,$N$5:$N$25)</f>
        <v>0</v>
      </c>
      <c r="I40" s="20">
        <f>SUMIF($C$5:$C$25,$B40,$O$5:$O$25)</f>
        <v>0</v>
      </c>
      <c r="J40"/>
      <c r="K40" s="20">
        <f>SUMIF($C$5:$C$25,$B40,$Q$5:$Q$25)</f>
        <v>0</v>
      </c>
      <c r="L40" s="20">
        <f>SUMIF($C$5:$C$25,$B40,$R$5:$R$25)</f>
        <v>0</v>
      </c>
      <c r="M40" s="20">
        <f>6*K40</f>
        <v>0</v>
      </c>
      <c r="N40"/>
      <c r="O40" s="20">
        <f t="shared" si="17"/>
        <v>0</v>
      </c>
      <c r="P40" s="20">
        <f t="shared" si="18"/>
        <v>0</v>
      </c>
      <c r="Q40" s="20">
        <f>P40/70</f>
        <v>0</v>
      </c>
      <c r="R40"/>
      <c r="S40"/>
      <c r="T40"/>
      <c r="U40"/>
      <c r="V40"/>
      <c r="W40" s="20"/>
      <c r="X40" s="20"/>
      <c r="Y40" s="20"/>
      <c r="Z40" s="20"/>
      <c r="AB40" s="20"/>
      <c r="AC40" s="20"/>
      <c r="AD40" s="20"/>
      <c r="AE40" s="2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</row>
    <row r="41" spans="1:114" s="16" customFormat="1" x14ac:dyDescent="0.3">
      <c r="A41"/>
      <c r="B41" s="12"/>
      <c r="C41" s="12">
        <f>SUM(C31:C40)</f>
        <v>20163.519999999997</v>
      </c>
      <c r="D41" s="12">
        <f>C41*0.8</f>
        <v>16130.815999999999</v>
      </c>
      <c r="E41"/>
      <c r="F41" s="12">
        <f>SUM(F31:F40)</f>
        <v>210</v>
      </c>
      <c r="G41" s="12">
        <f>SUM(G31:G40)</f>
        <v>52.5</v>
      </c>
      <c r="H41" s="12">
        <f>SUM(H31:H40)</f>
        <v>66.5</v>
      </c>
      <c r="I41" s="12">
        <f>SUM(I31:I40)</f>
        <v>33.25</v>
      </c>
      <c r="J41"/>
      <c r="K41" s="12">
        <f>SUM(K31:K40)</f>
        <v>10.510000000000002</v>
      </c>
      <c r="L41" s="12">
        <f>SUM(L31:L40)</f>
        <v>5044.8</v>
      </c>
      <c r="M41" s="12">
        <f>SUM(M31:M40)</f>
        <v>63.059999999999995</v>
      </c>
      <c r="N41"/>
      <c r="O41" s="12">
        <f>SUM(O31:O40)</f>
        <v>6.6899999999999995</v>
      </c>
      <c r="P41" s="12">
        <f>SUM(P31:P40)</f>
        <v>3211.2</v>
      </c>
      <c r="Q41" s="12">
        <f>SUM(Q31:Q40)</f>
        <v>45.874285714285712</v>
      </c>
      <c r="R41"/>
      <c r="S41"/>
      <c r="T41"/>
      <c r="U41"/>
      <c r="V41"/>
      <c r="W41" s="12" t="s">
        <v>28</v>
      </c>
      <c r="X41" s="12">
        <f>AF26*68</f>
        <v>0</v>
      </c>
      <c r="Y41" s="12"/>
      <c r="Z41" s="12"/>
      <c r="AB41" s="12" t="s">
        <v>28</v>
      </c>
      <c r="AC41" s="12">
        <f t="shared" si="29"/>
        <v>0</v>
      </c>
      <c r="AD41" s="12"/>
      <c r="AE41" s="12">
        <f t="shared" si="28"/>
        <v>0</v>
      </c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3" spans="1:114" x14ac:dyDescent="0.3">
      <c r="Z43">
        <f>SUM(X31:X41,Z31:Z41)</f>
        <v>14835.333333333332</v>
      </c>
      <c r="AE43">
        <f>SUM(AC31:AC41,AE31:AE41)</f>
        <v>44506</v>
      </c>
    </row>
  </sheetData>
  <mergeCells count="14">
    <mergeCell ref="B29:D29"/>
    <mergeCell ref="L3:M3"/>
    <mergeCell ref="H3:J3"/>
    <mergeCell ref="B3:F3"/>
    <mergeCell ref="N3:O3"/>
    <mergeCell ref="W3:AM3"/>
    <mergeCell ref="W29:Z29"/>
    <mergeCell ref="AB29:AE29"/>
    <mergeCell ref="T3:U3"/>
    <mergeCell ref="F29:G29"/>
    <mergeCell ref="H29:I29"/>
    <mergeCell ref="K29:M29"/>
    <mergeCell ref="O29:Q29"/>
    <mergeCell ref="Q3:R3"/>
  </mergeCells>
  <conditionalFormatting sqref="C5:C25">
    <cfRule type="expression" dxfId="4" priority="5">
      <formula>NOT(ISBLANK(D5))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512A36F-F8D1-4F26-88B7-E2B5711BDAFE}">
          <x14:formula1>
            <xm:f>Batch!$B$27:$B$37</xm:f>
          </x14:formula1>
          <xm:sqref>C5:C25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D05B-E920-4752-8445-54AA0E1BA934}">
  <sheetPr codeName="Sheet4">
    <tabColor theme="4" tint="-0.249977111117893"/>
  </sheetPr>
  <dimension ref="B7:V27"/>
  <sheetViews>
    <sheetView showGridLines="0" workbookViewId="0">
      <selection activeCell="L25" sqref="L25"/>
    </sheetView>
  </sheetViews>
  <sheetFormatPr defaultRowHeight="14.4" x14ac:dyDescent="0.3"/>
  <cols>
    <col min="1" max="1" width="3.6640625" customWidth="1"/>
    <col min="3" max="3" width="9.88671875" bestFit="1" customWidth="1"/>
    <col min="5" max="5" width="6.77734375" customWidth="1"/>
    <col min="10" max="10" width="4.44140625" customWidth="1"/>
    <col min="14" max="14" width="4.88671875" customWidth="1"/>
    <col min="18" max="18" width="5.109375" customWidth="1"/>
    <col min="22" max="22" width="10.109375" customWidth="1"/>
  </cols>
  <sheetData>
    <row r="7" spans="2:22" x14ac:dyDescent="0.3">
      <c r="B7" s="51" t="str">
        <f>'INPUT SHEET'!B29</f>
        <v>Quality-Wise Production</v>
      </c>
      <c r="C7" s="51"/>
      <c r="D7" s="51"/>
      <c r="F7" s="51" t="str">
        <f>'INPUT SHEET'!F29</f>
        <v>3rd Drawing</v>
      </c>
      <c r="G7" s="51"/>
      <c r="H7" s="51" t="s">
        <v>56</v>
      </c>
      <c r="I7" s="51"/>
      <c r="K7" s="51" t="str">
        <f>'INPUT SHEET'!K29</f>
        <v>Finisher Card</v>
      </c>
      <c r="L7" s="51"/>
      <c r="M7" s="51"/>
      <c r="O7" s="51" t="str">
        <f>'INPUT SHEET'!O29</f>
        <v>Breaker Card</v>
      </c>
      <c r="P7" s="51"/>
      <c r="Q7" s="51"/>
      <c r="S7" s="48" t="str">
        <f>'INPUT SHEET'!AB29</f>
        <v>Requisition Per Day</v>
      </c>
      <c r="T7" s="49"/>
      <c r="U7" s="49"/>
      <c r="V7" s="50"/>
    </row>
    <row r="8" spans="2:22" x14ac:dyDescent="0.3">
      <c r="B8" s="9" t="str">
        <f>'INPUT SHEET'!B30</f>
        <v>Quality</v>
      </c>
      <c r="C8" s="9" t="str">
        <f>'INPUT SHEET'!C30</f>
        <v>Production</v>
      </c>
      <c r="D8" s="14">
        <v>0.8</v>
      </c>
      <c r="E8" s="3"/>
      <c r="F8" s="9" t="str">
        <f>'INPUT SHEET'!F30</f>
        <v>Delivery</v>
      </c>
      <c r="G8" s="9" t="str">
        <f>'INPUT SHEET'!G30</f>
        <v>Carriage</v>
      </c>
      <c r="H8" s="9" t="str">
        <f>'INPUT SHEET'!H30</f>
        <v>Delivery</v>
      </c>
      <c r="I8" s="9" t="str">
        <f>'INPUT SHEET'!I30</f>
        <v>Carriage</v>
      </c>
      <c r="J8" s="3"/>
      <c r="K8" s="9" t="str">
        <f>'INPUT SHEET'!K30</f>
        <v>Machine</v>
      </c>
      <c r="L8" s="9" t="str">
        <f>'INPUT SHEET'!L30</f>
        <v>Minute</v>
      </c>
      <c r="M8" s="9" t="str">
        <f>'INPUT SHEET'!M30</f>
        <v>Batch</v>
      </c>
      <c r="N8" s="3"/>
      <c r="O8" s="9" t="str">
        <f>'INPUT SHEET'!O30</f>
        <v>Machine</v>
      </c>
      <c r="P8" s="9" t="str">
        <f>'INPUT SHEET'!P30</f>
        <v>Minute</v>
      </c>
      <c r="Q8" s="9" t="str">
        <f>'INPUT SHEET'!Q30</f>
        <v>Batch</v>
      </c>
      <c r="R8" s="3"/>
      <c r="S8" s="9" t="str">
        <f>'INPUT SHEET'!AB30</f>
        <v>Grade</v>
      </c>
      <c r="T8" s="9" t="s">
        <v>62</v>
      </c>
      <c r="U8" s="9" t="str">
        <f>'INPUT SHEET'!AD30</f>
        <v>Grade</v>
      </c>
      <c r="V8" s="9" t="s">
        <v>62</v>
      </c>
    </row>
    <row r="9" spans="2:22" x14ac:dyDescent="0.3">
      <c r="B9" s="11" t="str">
        <f>'INPUT SHEET'!B31</f>
        <v>IG</v>
      </c>
      <c r="C9" s="12">
        <f>'INPUT SHEET'!C31</f>
        <v>6176.64</v>
      </c>
      <c r="D9" s="12">
        <f>'INPUT SHEET'!D31</f>
        <v>4941.3120000000008</v>
      </c>
      <c r="F9" s="13">
        <f>'INPUT SHEET'!F31</f>
        <v>64.5</v>
      </c>
      <c r="G9" s="13">
        <f>'INPUT SHEET'!G31</f>
        <v>16.125</v>
      </c>
      <c r="H9" s="13">
        <f>'INPUT SHEET'!H31</f>
        <v>20.5</v>
      </c>
      <c r="I9" s="13">
        <f>'INPUT SHEET'!I31</f>
        <v>10.25</v>
      </c>
      <c r="K9" s="12">
        <f>'INPUT SHEET'!K31</f>
        <v>3.22</v>
      </c>
      <c r="L9" s="12">
        <f>'INPUT SHEET'!L31</f>
        <v>1545.6000000000001</v>
      </c>
      <c r="M9" s="12">
        <f>'INPUT SHEET'!M31</f>
        <v>19.32</v>
      </c>
      <c r="O9" s="12">
        <f>'INPUT SHEET'!O31</f>
        <v>2.0499999999999998</v>
      </c>
      <c r="P9" s="12">
        <f>'INPUT SHEET'!P31</f>
        <v>983.99999999999989</v>
      </c>
      <c r="Q9" s="12">
        <f>'INPUT SHEET'!Q31</f>
        <v>14.057142857142855</v>
      </c>
      <c r="S9" s="8" t="str">
        <f>'INPUT SHEET'!AB31</f>
        <v>D1H</v>
      </c>
      <c r="T9" s="7">
        <f>'INPUT SHEET'!AC31</f>
        <v>204</v>
      </c>
      <c r="U9" s="8" t="str">
        <f>'INPUT SHEET'!AD31</f>
        <v>E2H</v>
      </c>
      <c r="V9" s="7">
        <f>'INPUT SHEET'!AE31</f>
        <v>15504</v>
      </c>
    </row>
    <row r="10" spans="2:22" x14ac:dyDescent="0.3">
      <c r="B10" s="8" t="str">
        <f>'INPUT SHEET'!B32</f>
        <v>IG (Raddish)</v>
      </c>
      <c r="C10" s="7">
        <f>'INPUT SHEET'!C32</f>
        <v>235.06</v>
      </c>
      <c r="D10" s="7">
        <f>'INPUT SHEET'!D32</f>
        <v>188.048</v>
      </c>
      <c r="F10" s="10">
        <f>'INPUT SHEET'!F32</f>
        <v>2.5</v>
      </c>
      <c r="G10" s="10">
        <f>'INPUT SHEET'!G32</f>
        <v>0.625</v>
      </c>
      <c r="H10" s="10">
        <f>'INPUT SHEET'!H32</f>
        <v>1</v>
      </c>
      <c r="I10" s="10">
        <f>'INPUT SHEET'!I32</f>
        <v>0.5</v>
      </c>
      <c r="K10" s="7">
        <f>'INPUT SHEET'!K32</f>
        <v>0.12</v>
      </c>
      <c r="L10" s="7">
        <f>'INPUT SHEET'!L32</f>
        <v>57.599999999999994</v>
      </c>
      <c r="M10" s="7">
        <f>'INPUT SHEET'!M32</f>
        <v>0.72</v>
      </c>
      <c r="O10" s="7">
        <f>'INPUT SHEET'!O32</f>
        <v>0.08</v>
      </c>
      <c r="P10" s="7">
        <f>'INPUT SHEET'!P32</f>
        <v>38.4</v>
      </c>
      <c r="Q10" s="7">
        <f>'INPUT SHEET'!Q32</f>
        <v>0.5485714285714286</v>
      </c>
      <c r="S10" s="8" t="str">
        <f>'INPUT SHEET'!AB32</f>
        <v>D1J</v>
      </c>
      <c r="T10" s="7">
        <f>'INPUT SHEET'!AC32</f>
        <v>204</v>
      </c>
      <c r="U10" s="8" t="str">
        <f>'INPUT SHEET'!AD32</f>
        <v>SMR</v>
      </c>
      <c r="V10" s="7">
        <f>'INPUT SHEET'!AE32</f>
        <v>1938</v>
      </c>
    </row>
    <row r="11" spans="2:22" x14ac:dyDescent="0.3">
      <c r="B11" s="11" t="str">
        <f>'INPUT SHEET'!B33</f>
        <v>CRT</v>
      </c>
      <c r="C11" s="12">
        <f>'INPUT SHEET'!C33</f>
        <v>5397.82</v>
      </c>
      <c r="D11" s="12">
        <f>'INPUT SHEET'!D33</f>
        <v>4318.2560000000003</v>
      </c>
      <c r="F11" s="13">
        <f>'INPUT SHEET'!F33</f>
        <v>56.5</v>
      </c>
      <c r="G11" s="13">
        <f>'INPUT SHEET'!G33</f>
        <v>14.125</v>
      </c>
      <c r="H11" s="13">
        <f>'INPUT SHEET'!H33</f>
        <v>18</v>
      </c>
      <c r="I11" s="13">
        <f>'INPUT SHEET'!I33</f>
        <v>9</v>
      </c>
      <c r="K11" s="12">
        <f>'INPUT SHEET'!K33</f>
        <v>2.81</v>
      </c>
      <c r="L11" s="12">
        <f>'INPUT SHEET'!L33</f>
        <v>1348.8</v>
      </c>
      <c r="M11" s="12">
        <f>'INPUT SHEET'!M33</f>
        <v>16.86</v>
      </c>
      <c r="O11" s="12">
        <f>'INPUT SHEET'!O33</f>
        <v>1.79</v>
      </c>
      <c r="P11" s="12">
        <f>'INPUT SHEET'!P33</f>
        <v>859.2</v>
      </c>
      <c r="Q11" s="12">
        <f>'INPUT SHEET'!Q33</f>
        <v>12.274285714285716</v>
      </c>
      <c r="S11" s="8" t="str">
        <f>'INPUT SHEET'!AB33</f>
        <v>D2HT</v>
      </c>
      <c r="T11" s="7">
        <f>'INPUT SHEET'!AC33</f>
        <v>4284</v>
      </c>
      <c r="U11" s="8" t="str">
        <f>'INPUT SHEET'!AD33</f>
        <v>BKD</v>
      </c>
      <c r="V11" s="7">
        <f>'INPUT SHEET'!AE33</f>
        <v>0</v>
      </c>
    </row>
    <row r="12" spans="2:22" x14ac:dyDescent="0.3">
      <c r="B12" s="8" t="str">
        <f>'INPUT SHEET'!B34</f>
        <v>H (2ply)</v>
      </c>
      <c r="C12" s="7">
        <f>'INPUT SHEET'!C34</f>
        <v>5272.15</v>
      </c>
      <c r="D12" s="7">
        <f>'INPUT SHEET'!D34</f>
        <v>4217.72</v>
      </c>
      <c r="F12" s="10">
        <f>'INPUT SHEET'!F34</f>
        <v>55</v>
      </c>
      <c r="G12" s="10">
        <f>'INPUT SHEET'!G34</f>
        <v>13.75</v>
      </c>
      <c r="H12" s="10">
        <f>'INPUT SHEET'!H34</f>
        <v>17.5</v>
      </c>
      <c r="I12" s="10">
        <f>'INPUT SHEET'!I34</f>
        <v>8.75</v>
      </c>
      <c r="K12" s="7">
        <f>'INPUT SHEET'!K34</f>
        <v>2.75</v>
      </c>
      <c r="L12" s="7">
        <f>'INPUT SHEET'!L34</f>
        <v>1320</v>
      </c>
      <c r="M12" s="7">
        <f>'INPUT SHEET'!M34</f>
        <v>16.5</v>
      </c>
      <c r="O12" s="7">
        <f>'INPUT SHEET'!O34</f>
        <v>1.75</v>
      </c>
      <c r="P12" s="7">
        <f>'INPUT SHEET'!P34</f>
        <v>840</v>
      </c>
      <c r="Q12" s="7">
        <f>'INPUT SHEET'!Q34</f>
        <v>12</v>
      </c>
      <c r="S12" s="8" t="str">
        <f>'INPUT SHEET'!AB34</f>
        <v>D2JT</v>
      </c>
      <c r="T12" s="7">
        <f>'INPUT SHEET'!AC34</f>
        <v>2312</v>
      </c>
      <c r="U12" s="8" t="str">
        <f>'INPUT SHEET'!AD34</f>
        <v>BMC</v>
      </c>
      <c r="V12" s="7">
        <f>'INPUT SHEET'!AE34</f>
        <v>0</v>
      </c>
    </row>
    <row r="13" spans="2:22" x14ac:dyDescent="0.3">
      <c r="B13" s="11" t="str">
        <f>'INPUT SHEET'!B35</f>
        <v>Hessian</v>
      </c>
      <c r="C13" s="12">
        <f>'INPUT SHEET'!C35</f>
        <v>2673.92</v>
      </c>
      <c r="D13" s="12">
        <f>'INPUT SHEET'!D35</f>
        <v>2139.136</v>
      </c>
      <c r="F13" s="13">
        <f>'INPUT SHEET'!F35</f>
        <v>27.5</v>
      </c>
      <c r="G13" s="13">
        <f>'INPUT SHEET'!G35</f>
        <v>6.875</v>
      </c>
      <c r="H13" s="13">
        <f>'INPUT SHEET'!H35</f>
        <v>8.5</v>
      </c>
      <c r="I13" s="13">
        <f>'INPUT SHEET'!I35</f>
        <v>4.25</v>
      </c>
      <c r="K13" s="12">
        <f>'INPUT SHEET'!K35</f>
        <v>1.3900000000000001</v>
      </c>
      <c r="L13" s="12">
        <f>'INPUT SHEET'!L35</f>
        <v>667.2</v>
      </c>
      <c r="M13" s="12">
        <f>'INPUT SHEET'!M35</f>
        <v>8.34</v>
      </c>
      <c r="O13" s="12">
        <f>'INPUT SHEET'!O35</f>
        <v>0.88000000000000012</v>
      </c>
      <c r="P13" s="12">
        <f>'INPUT SHEET'!P35</f>
        <v>422.4</v>
      </c>
      <c r="Q13" s="12">
        <f>'INPUT SHEET'!Q35</f>
        <v>6.0342857142857138</v>
      </c>
      <c r="S13" s="8" t="str">
        <f>'INPUT SHEET'!AB35</f>
        <v>D3HT</v>
      </c>
      <c r="T13" s="7">
        <f>'INPUT SHEET'!AC35</f>
        <v>1971.9999999999998</v>
      </c>
      <c r="U13" s="8" t="str">
        <f>'INPUT SHEET'!AD35</f>
        <v>D3J (V)</v>
      </c>
      <c r="V13" s="7">
        <f>'INPUT SHEET'!AE35</f>
        <v>0</v>
      </c>
    </row>
    <row r="14" spans="2:22" x14ac:dyDescent="0.3">
      <c r="B14" s="8" t="str">
        <f>'INPUT SHEET'!B36</f>
        <v>White</v>
      </c>
      <c r="C14" s="7">
        <f>'INPUT SHEET'!C36</f>
        <v>0</v>
      </c>
      <c r="D14" s="7">
        <f>'INPUT SHEET'!D36</f>
        <v>0</v>
      </c>
      <c r="F14" s="10">
        <f>'INPUT SHEET'!F36</f>
        <v>0</v>
      </c>
      <c r="G14" s="10">
        <f>'INPUT SHEET'!G36</f>
        <v>0</v>
      </c>
      <c r="H14" s="10">
        <f>'INPUT SHEET'!H36</f>
        <v>0</v>
      </c>
      <c r="I14" s="10">
        <f>'INPUT SHEET'!I36</f>
        <v>0</v>
      </c>
      <c r="K14" s="7">
        <f>'INPUT SHEET'!K36</f>
        <v>0</v>
      </c>
      <c r="L14" s="7">
        <f>'INPUT SHEET'!L36</f>
        <v>0</v>
      </c>
      <c r="M14" s="7">
        <f>'INPUT SHEET'!M36</f>
        <v>0</v>
      </c>
      <c r="O14" s="7">
        <f>'INPUT SHEET'!O36</f>
        <v>0</v>
      </c>
      <c r="P14" s="7">
        <f>'INPUT SHEET'!P36</f>
        <v>0</v>
      </c>
      <c r="Q14" s="7">
        <f>'INPUT SHEET'!Q36</f>
        <v>0</v>
      </c>
      <c r="S14" s="8" t="str">
        <f>'INPUT SHEET'!AB36</f>
        <v>D3JT</v>
      </c>
      <c r="T14" s="7">
        <f>'INPUT SHEET'!AC36</f>
        <v>3943.9999999999995</v>
      </c>
      <c r="U14" s="8" t="str">
        <f>'INPUT SHEET'!AD36</f>
        <v>D2HT (R)</v>
      </c>
      <c r="V14" s="7">
        <f>'INPUT SHEET'!AE36</f>
        <v>0</v>
      </c>
    </row>
    <row r="15" spans="2:22" x14ac:dyDescent="0.3">
      <c r="B15" s="11" t="str">
        <f>'INPUT SHEET'!B37</f>
        <v>Vot</v>
      </c>
      <c r="C15" s="12">
        <f>'INPUT SHEET'!C37</f>
        <v>0</v>
      </c>
      <c r="D15" s="12">
        <f>'INPUT SHEET'!D37</f>
        <v>0</v>
      </c>
      <c r="F15" s="13">
        <f>'INPUT SHEET'!F37</f>
        <v>0</v>
      </c>
      <c r="G15" s="13">
        <f>'INPUT SHEET'!G37</f>
        <v>0</v>
      </c>
      <c r="H15" s="13">
        <f>'INPUT SHEET'!H37</f>
        <v>0</v>
      </c>
      <c r="I15" s="13">
        <f>'INPUT SHEET'!I37</f>
        <v>0</v>
      </c>
      <c r="K15" s="12">
        <f>'INPUT SHEET'!K37</f>
        <v>0</v>
      </c>
      <c r="L15" s="12">
        <f>'INPUT SHEET'!L37</f>
        <v>0</v>
      </c>
      <c r="M15" s="12">
        <f>'INPUT SHEET'!M37</f>
        <v>0</v>
      </c>
      <c r="O15" s="12">
        <f>'INPUT SHEET'!O37</f>
        <v>0</v>
      </c>
      <c r="P15" s="12">
        <f>'INPUT SHEET'!P37</f>
        <v>0</v>
      </c>
      <c r="Q15" s="12">
        <f>'INPUT SHEET'!Q37</f>
        <v>0</v>
      </c>
      <c r="S15" s="8" t="str">
        <f>'INPUT SHEET'!AB37</f>
        <v>D2H(N)</v>
      </c>
      <c r="T15" s="7">
        <f>'INPUT SHEET'!AC37</f>
        <v>2482</v>
      </c>
      <c r="U15" s="8" t="str">
        <f>'INPUT SHEET'!AD37</f>
        <v>D3HT R</v>
      </c>
      <c r="V15" s="7">
        <f>'INPUT SHEET'!AE37</f>
        <v>0</v>
      </c>
    </row>
    <row r="16" spans="2:22" x14ac:dyDescent="0.3">
      <c r="B16" s="8" t="str">
        <f>'INPUT SHEET'!B38</f>
        <v>CRX</v>
      </c>
      <c r="C16" s="7">
        <f>'INPUT SHEET'!C38</f>
        <v>407.93</v>
      </c>
      <c r="D16" s="7">
        <f>'INPUT SHEET'!D38</f>
        <v>326.34400000000005</v>
      </c>
      <c r="F16" s="10">
        <f>'INPUT SHEET'!F38</f>
        <v>4</v>
      </c>
      <c r="G16" s="10">
        <f>'INPUT SHEET'!G38</f>
        <v>1</v>
      </c>
      <c r="H16" s="10">
        <f>'INPUT SHEET'!H38</f>
        <v>1</v>
      </c>
      <c r="I16" s="10">
        <f>'INPUT SHEET'!I38</f>
        <v>0.5</v>
      </c>
      <c r="K16" s="7">
        <f>'INPUT SHEET'!K38</f>
        <v>0.22</v>
      </c>
      <c r="L16" s="7">
        <f>'INPUT SHEET'!L38</f>
        <v>105.6</v>
      </c>
      <c r="M16" s="7">
        <f>'INPUT SHEET'!M38</f>
        <v>1.32</v>
      </c>
      <c r="O16" s="7">
        <f>'INPUT SHEET'!O38</f>
        <v>0.14000000000000001</v>
      </c>
      <c r="P16" s="7">
        <f>'INPUT SHEET'!P38</f>
        <v>67.2</v>
      </c>
      <c r="Q16" s="7">
        <f>'INPUT SHEET'!Q38</f>
        <v>0.96000000000000008</v>
      </c>
      <c r="S16" s="8" t="str">
        <f>'INPUT SHEET'!AB38</f>
        <v>D3H (N)</v>
      </c>
      <c r="T16" s="7">
        <f>'INPUT SHEET'!AC38</f>
        <v>7140</v>
      </c>
      <c r="U16" s="8">
        <f>'INPUT SHEET'!AD38</f>
        <v>0</v>
      </c>
      <c r="V16" s="7">
        <f>'INPUT SHEET'!AE38</f>
        <v>0</v>
      </c>
    </row>
    <row r="17" spans="2:22" x14ac:dyDescent="0.3">
      <c r="B17" s="11" t="str">
        <f>'INPUT SHEET'!B39</f>
        <v>OW</v>
      </c>
      <c r="C17" s="12">
        <f>'INPUT SHEET'!C39</f>
        <v>0</v>
      </c>
      <c r="D17" s="12">
        <f>'INPUT SHEET'!D39</f>
        <v>0</v>
      </c>
      <c r="F17" s="13">
        <f>'INPUT SHEET'!F39</f>
        <v>0</v>
      </c>
      <c r="G17" s="13">
        <f>'INPUT SHEET'!G39</f>
        <v>0</v>
      </c>
      <c r="H17" s="13">
        <f>'INPUT SHEET'!H39</f>
        <v>0</v>
      </c>
      <c r="I17" s="13">
        <f>'INPUT SHEET'!I39</f>
        <v>0</v>
      </c>
      <c r="K17" s="12">
        <f>'INPUT SHEET'!K39</f>
        <v>0</v>
      </c>
      <c r="L17" s="12">
        <f>'INPUT SHEET'!L39</f>
        <v>0</v>
      </c>
      <c r="M17" s="12">
        <f>'INPUT SHEET'!M39</f>
        <v>0</v>
      </c>
      <c r="O17" s="12">
        <f>'INPUT SHEET'!O39</f>
        <v>0</v>
      </c>
      <c r="P17" s="12">
        <f>'INPUT SHEET'!P39</f>
        <v>0</v>
      </c>
      <c r="Q17" s="12">
        <f>'INPUT SHEET'!Q39</f>
        <v>0</v>
      </c>
      <c r="S17" s="8" t="str">
        <f>'INPUT SHEET'!AB39</f>
        <v>D3J (N)</v>
      </c>
      <c r="T17" s="7">
        <f>'INPUT SHEET'!AC39</f>
        <v>4522</v>
      </c>
      <c r="U17" s="8">
        <f>'INPUT SHEET'!AD39</f>
        <v>0</v>
      </c>
      <c r="V17" s="7">
        <f>'INPUT SHEET'!AE39</f>
        <v>0</v>
      </c>
    </row>
    <row r="18" spans="2:22" x14ac:dyDescent="0.3">
      <c r="B18" s="8" t="str">
        <f>'INPUT SHEET'!B40</f>
        <v>HG</v>
      </c>
      <c r="C18" s="7">
        <f>'INPUT SHEET'!C40</f>
        <v>0</v>
      </c>
      <c r="D18" s="7">
        <f>'INPUT SHEET'!D40</f>
        <v>0</v>
      </c>
      <c r="F18" s="10">
        <f>'INPUT SHEET'!F40</f>
        <v>0</v>
      </c>
      <c r="G18" s="10">
        <f>'INPUT SHEET'!G40</f>
        <v>0</v>
      </c>
      <c r="H18" s="10">
        <f>'INPUT SHEET'!H40</f>
        <v>0</v>
      </c>
      <c r="I18" s="10">
        <f>'INPUT SHEET'!I40</f>
        <v>0</v>
      </c>
      <c r="K18" s="7">
        <f>'INPUT SHEET'!K40</f>
        <v>0</v>
      </c>
      <c r="L18" s="7">
        <f>'INPUT SHEET'!L40</f>
        <v>0</v>
      </c>
      <c r="M18" s="7">
        <f>'INPUT SHEET'!M40</f>
        <v>0</v>
      </c>
      <c r="O18" s="7">
        <f>'INPUT SHEET'!O40</f>
        <v>0</v>
      </c>
      <c r="P18" s="7">
        <f>'INPUT SHEET'!P40</f>
        <v>0</v>
      </c>
      <c r="Q18" s="7">
        <f>'INPUT SHEET'!Q40</f>
        <v>0</v>
      </c>
      <c r="S18" s="8" t="str">
        <f>'INPUT SHEET'!AB41</f>
        <v>E1H</v>
      </c>
      <c r="T18" s="7">
        <f>'INPUT SHEET'!AC41</f>
        <v>0</v>
      </c>
      <c r="U18" s="8">
        <f>'INPUT SHEET'!AD41</f>
        <v>0</v>
      </c>
      <c r="V18" s="7">
        <f>'INPUT SHEET'!AE41</f>
        <v>0</v>
      </c>
    </row>
    <row r="19" spans="2:22" x14ac:dyDescent="0.3">
      <c r="B19" s="12"/>
      <c r="C19" s="11">
        <f>'INPUT SHEET'!C41</f>
        <v>20163.519999999997</v>
      </c>
      <c r="D19" s="11">
        <f>'INPUT SHEET'!D41</f>
        <v>16130.815999999999</v>
      </c>
      <c r="F19" s="15">
        <f>'INPUT SHEET'!F41</f>
        <v>210</v>
      </c>
      <c r="G19" s="15">
        <f>'INPUT SHEET'!G41</f>
        <v>52.5</v>
      </c>
      <c r="H19" s="15">
        <f>'INPUT SHEET'!H41</f>
        <v>66.5</v>
      </c>
      <c r="I19" s="15">
        <f>'INPUT SHEET'!I41</f>
        <v>33.25</v>
      </c>
      <c r="K19" s="11">
        <f>'INPUT SHEET'!K41</f>
        <v>10.510000000000002</v>
      </c>
      <c r="L19" s="11">
        <f>'INPUT SHEET'!L41</f>
        <v>5044.8</v>
      </c>
      <c r="M19" s="11">
        <f>'INPUT SHEET'!M41</f>
        <v>63.059999999999995</v>
      </c>
      <c r="O19" s="11">
        <f>'INPUT SHEET'!O41</f>
        <v>6.6899999999999995</v>
      </c>
      <c r="P19" s="11">
        <f>'INPUT SHEET'!P41</f>
        <v>3211.2</v>
      </c>
      <c r="Q19" s="11">
        <f>'INPUT SHEET'!Q41</f>
        <v>45.874285714285712</v>
      </c>
    </row>
    <row r="21" spans="2:22" x14ac:dyDescent="0.3">
      <c r="B21" s="44" t="str">
        <f>'INPUT SHEET'!W29</f>
        <v>Shift-Wise Requisition</v>
      </c>
      <c r="C21" s="44"/>
      <c r="D21" s="44"/>
      <c r="E21" s="44"/>
      <c r="F21" s="44"/>
      <c r="G21" s="44"/>
      <c r="H21" s="44"/>
      <c r="I21" s="44"/>
    </row>
    <row r="22" spans="2:22" x14ac:dyDescent="0.3">
      <c r="B22" s="11" t="str">
        <f>'INPUT SHEET'!W30</f>
        <v>Grade</v>
      </c>
      <c r="C22" s="11" t="s">
        <v>62</v>
      </c>
      <c r="D22" s="11" t="str">
        <f>'INPUT SHEET'!Y30</f>
        <v>Grade</v>
      </c>
      <c r="E22" s="11" t="s">
        <v>62</v>
      </c>
      <c r="F22" s="11" t="s">
        <v>61</v>
      </c>
      <c r="G22" s="11" t="s">
        <v>62</v>
      </c>
      <c r="H22" s="11" t="s">
        <v>61</v>
      </c>
      <c r="I22" s="11" t="s">
        <v>62</v>
      </c>
    </row>
    <row r="23" spans="2:22" x14ac:dyDescent="0.3">
      <c r="B23" s="8" t="str">
        <f>'INPUT SHEET'!W31</f>
        <v>D1H</v>
      </c>
      <c r="C23" s="7">
        <f>'INPUT SHEET'!X31</f>
        <v>68</v>
      </c>
      <c r="D23" s="8" t="str">
        <f>'INPUT SHEET'!W36</f>
        <v>D3JT</v>
      </c>
      <c r="E23" s="7">
        <f>'INPUT SHEET'!X36</f>
        <v>1314.6666666666665</v>
      </c>
      <c r="F23" s="8" t="str">
        <f>'INPUT SHEET'!Y31</f>
        <v>E2H</v>
      </c>
      <c r="G23" s="7">
        <f>'INPUT SHEET'!Z31</f>
        <v>5168</v>
      </c>
      <c r="H23" s="8" t="str">
        <f>'INPUT SHEET'!Y36</f>
        <v>D2HT (R)</v>
      </c>
      <c r="I23" s="7">
        <f>'INPUT SHEET'!Z36</f>
        <v>0</v>
      </c>
    </row>
    <row r="24" spans="2:22" x14ac:dyDescent="0.3">
      <c r="B24" s="8" t="str">
        <f>'INPUT SHEET'!W32</f>
        <v>D1J</v>
      </c>
      <c r="C24" s="7">
        <f>'INPUT SHEET'!X32</f>
        <v>68</v>
      </c>
      <c r="D24" s="8" t="str">
        <f>'INPUT SHEET'!W37</f>
        <v>D2H(N)</v>
      </c>
      <c r="E24" s="7">
        <f>'INPUT SHEET'!X37</f>
        <v>827.33333333333326</v>
      </c>
      <c r="F24" s="8" t="str">
        <f>'INPUT SHEET'!Y32</f>
        <v>SMR</v>
      </c>
      <c r="G24" s="7">
        <f>'INPUT SHEET'!Z32</f>
        <v>646</v>
      </c>
      <c r="H24" s="8" t="str">
        <f>'INPUT SHEET'!Y37</f>
        <v>D3HT R</v>
      </c>
      <c r="I24" s="7">
        <f>'INPUT SHEET'!Z37</f>
        <v>0</v>
      </c>
    </row>
    <row r="25" spans="2:22" x14ac:dyDescent="0.3">
      <c r="B25" s="8" t="str">
        <f>'INPUT SHEET'!W33</f>
        <v>D2HT</v>
      </c>
      <c r="C25" s="7">
        <f>'INPUT SHEET'!X33</f>
        <v>1428</v>
      </c>
      <c r="D25" s="8" t="str">
        <f>'INPUT SHEET'!W38</f>
        <v>D3H (N)</v>
      </c>
      <c r="E25" s="7">
        <f>'INPUT SHEET'!X38</f>
        <v>2380</v>
      </c>
      <c r="F25" s="8" t="str">
        <f>'INPUT SHEET'!Y33</f>
        <v>BKD</v>
      </c>
      <c r="G25" s="7">
        <f>'INPUT SHEET'!Z33</f>
        <v>0</v>
      </c>
      <c r="H25" s="8">
        <f>'INPUT SHEET'!Y38</f>
        <v>0</v>
      </c>
      <c r="I25" s="7">
        <f>'INPUT SHEET'!Z38</f>
        <v>0</v>
      </c>
    </row>
    <row r="26" spans="2:22" x14ac:dyDescent="0.3">
      <c r="B26" s="8" t="str">
        <f>'INPUT SHEET'!W34</f>
        <v>D2JT</v>
      </c>
      <c r="C26" s="7">
        <f>'INPUT SHEET'!X34</f>
        <v>770.66666666666663</v>
      </c>
      <c r="D26" s="8" t="str">
        <f>'INPUT SHEET'!W39</f>
        <v>D3J (N)</v>
      </c>
      <c r="E26" s="7">
        <f>'INPUT SHEET'!X39</f>
        <v>1507.3333333333335</v>
      </c>
      <c r="F26" s="8" t="str">
        <f>'INPUT SHEET'!Y34</f>
        <v>BMC</v>
      </c>
      <c r="G26" s="7">
        <f>'INPUT SHEET'!Z34</f>
        <v>0</v>
      </c>
      <c r="H26" s="8">
        <f>'INPUT SHEET'!Y39</f>
        <v>0</v>
      </c>
      <c r="I26" s="7">
        <f>'INPUT SHEET'!Z39</f>
        <v>0</v>
      </c>
    </row>
    <row r="27" spans="2:22" x14ac:dyDescent="0.3">
      <c r="B27" s="8" t="str">
        <f>'INPUT SHEET'!W35</f>
        <v>D3HT</v>
      </c>
      <c r="C27" s="7">
        <f>'INPUT SHEET'!X35</f>
        <v>657.33333333333326</v>
      </c>
      <c r="D27" s="8" t="str">
        <f>'INPUT SHEET'!W41</f>
        <v>E1H</v>
      </c>
      <c r="E27" s="7">
        <f>'INPUT SHEET'!X41</f>
        <v>0</v>
      </c>
      <c r="F27" s="8" t="str">
        <f>'INPUT SHEET'!Y35</f>
        <v>D3J (V)</v>
      </c>
      <c r="G27" s="7">
        <f>'INPUT SHEET'!Z35</f>
        <v>0</v>
      </c>
      <c r="H27" s="8">
        <f>'INPUT SHEET'!Y41</f>
        <v>0</v>
      </c>
      <c r="I27" s="7">
        <f>'INPUT SHEET'!Z41</f>
        <v>0</v>
      </c>
    </row>
  </sheetData>
  <mergeCells count="7">
    <mergeCell ref="B21:I21"/>
    <mergeCell ref="S7:V7"/>
    <mergeCell ref="B7:D7"/>
    <mergeCell ref="K7:M7"/>
    <mergeCell ref="O7:Q7"/>
    <mergeCell ref="F7:G7"/>
    <mergeCell ref="H7:I7"/>
  </mergeCells>
  <conditionalFormatting sqref="S9:S18 U9:U18">
    <cfRule type="containsText" dxfId="3" priority="3" operator="containsText" text="J">
      <formula>NOT(ISERROR(SEARCH("J",S9)))</formula>
    </cfRule>
    <cfRule type="containsText" dxfId="2" priority="5" operator="containsText" text="H">
      <formula>NOT(ISERROR(SEARCH("H",S9)))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3846-E8A6-4B31-B07E-1B9F1F6B6341}">
  <sheetPr codeName="Sheet5">
    <tabColor theme="5" tint="-0.249977111117893"/>
  </sheetPr>
  <dimension ref="A3:S36"/>
  <sheetViews>
    <sheetView topLeftCell="C1" zoomScale="85" zoomScaleNormal="85" workbookViewId="0">
      <selection activeCell="J44" sqref="J44"/>
    </sheetView>
  </sheetViews>
  <sheetFormatPr defaultRowHeight="14.4" x14ac:dyDescent="0.3"/>
  <cols>
    <col min="1" max="1" width="11.44140625" bestFit="1" customWidth="1"/>
    <col min="2" max="2" width="11.88671875" bestFit="1" customWidth="1"/>
    <col min="3" max="3" width="4.6640625" bestFit="1" customWidth="1"/>
    <col min="4" max="4" width="4.109375" bestFit="1" customWidth="1"/>
    <col min="5" max="5" width="5.6640625" bestFit="1" customWidth="1"/>
    <col min="6" max="6" width="5" bestFit="1" customWidth="1"/>
    <col min="7" max="7" width="5.6640625" bestFit="1" customWidth="1"/>
    <col min="8" max="8" width="5" bestFit="1" customWidth="1"/>
    <col min="9" max="10" width="4.6640625" bestFit="1" customWidth="1"/>
    <col min="11" max="11" width="4.109375" bestFit="1" customWidth="1"/>
    <col min="12" max="13" width="4.44140625" bestFit="1" customWidth="1"/>
    <col min="14" max="14" width="4.44140625" customWidth="1"/>
    <col min="15" max="15" width="4.5546875" bestFit="1" customWidth="1"/>
    <col min="16" max="16" width="5" bestFit="1" customWidth="1"/>
    <col min="17" max="17" width="5.33203125" bestFit="1" customWidth="1"/>
    <col min="18" max="18" width="8.33203125" customWidth="1"/>
    <col min="19" max="19" width="7.88671875" customWidth="1"/>
  </cols>
  <sheetData>
    <row r="3" spans="1:19" hidden="1" x14ac:dyDescent="0.3">
      <c r="A3" s="6" t="s">
        <v>35</v>
      </c>
      <c r="B3" s="6" t="s">
        <v>14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60</v>
      </c>
      <c r="O3" s="6" t="s">
        <v>30</v>
      </c>
      <c r="P3" s="6" t="s">
        <v>31</v>
      </c>
      <c r="Q3" s="6" t="s">
        <v>32</v>
      </c>
      <c r="R3" s="6" t="s">
        <v>34</v>
      </c>
      <c r="S3" s="6" t="s">
        <v>33</v>
      </c>
    </row>
    <row r="4" spans="1:19" hidden="1" x14ac:dyDescent="0.3">
      <c r="A4" s="1">
        <v>5.8</v>
      </c>
      <c r="B4" s="1" t="s">
        <v>12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idden="1" x14ac:dyDescent="0.3">
      <c r="A5" s="1">
        <v>6</v>
      </c>
      <c r="B5" s="1" t="s">
        <v>12</v>
      </c>
      <c r="C5" s="1">
        <v>1</v>
      </c>
      <c r="D5" s="1"/>
      <c r="E5" s="1">
        <v>4</v>
      </c>
      <c r="F5" s="1"/>
      <c r="G5" s="1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idden="1" x14ac:dyDescent="0.3">
      <c r="A6" s="1">
        <v>6.5</v>
      </c>
      <c r="B6" s="1" t="s">
        <v>38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v>2</v>
      </c>
      <c r="P6" s="1">
        <v>2</v>
      </c>
      <c r="Q6" s="1">
        <v>2</v>
      </c>
      <c r="R6" s="1"/>
      <c r="S6" s="1"/>
    </row>
    <row r="7" spans="1:19" hidden="1" x14ac:dyDescent="0.3">
      <c r="A7" s="1">
        <v>7</v>
      </c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idden="1" x14ac:dyDescent="0.3">
      <c r="A8" s="1">
        <v>7.25</v>
      </c>
      <c r="B8" s="1" t="s">
        <v>13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idden="1" x14ac:dyDescent="0.3">
      <c r="A9" s="1">
        <v>7.7</v>
      </c>
      <c r="B9" s="1" t="s">
        <v>13</v>
      </c>
      <c r="C9" s="1"/>
      <c r="D9" s="1"/>
      <c r="E9" s="1"/>
      <c r="F9" s="1"/>
      <c r="G9" s="1"/>
      <c r="H9" s="1"/>
      <c r="I9" s="1">
        <v>1</v>
      </c>
      <c r="J9" s="1">
        <v>3</v>
      </c>
      <c r="K9" s="1">
        <v>1</v>
      </c>
      <c r="L9" s="1">
        <v>1</v>
      </c>
      <c r="M9" s="1"/>
      <c r="N9" s="1"/>
      <c r="O9" s="1"/>
      <c r="P9" s="1"/>
      <c r="Q9" s="1"/>
      <c r="R9" s="1"/>
      <c r="S9" s="1"/>
    </row>
    <row r="10" spans="1:19" hidden="1" x14ac:dyDescent="0.3">
      <c r="A10" s="1">
        <v>8</v>
      </c>
      <c r="B10" s="1" t="s">
        <v>13</v>
      </c>
      <c r="C10" s="1"/>
      <c r="D10" s="1"/>
      <c r="E10" s="1"/>
      <c r="F10" s="1"/>
      <c r="G10" s="1"/>
      <c r="H10" s="1"/>
      <c r="I10" s="1">
        <v>1</v>
      </c>
      <c r="J10" s="1">
        <v>3</v>
      </c>
      <c r="K10" s="1">
        <v>1</v>
      </c>
      <c r="L10" s="1">
        <v>1</v>
      </c>
      <c r="M10" s="1"/>
      <c r="N10" s="1"/>
      <c r="O10" s="1"/>
      <c r="P10" s="1"/>
      <c r="Q10" s="1"/>
      <c r="R10" s="1"/>
      <c r="S10" s="1"/>
    </row>
    <row r="11" spans="1:19" hidden="1" x14ac:dyDescent="0.3">
      <c r="A11" s="1">
        <v>8</v>
      </c>
      <c r="B11" s="1" t="s">
        <v>12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2</v>
      </c>
      <c r="P11" s="1">
        <v>2</v>
      </c>
      <c r="Q11" s="1">
        <v>2</v>
      </c>
      <c r="R11" s="1"/>
      <c r="S11" s="1"/>
    </row>
    <row r="12" spans="1:19" ht="15" hidden="1" customHeight="1" x14ac:dyDescent="0.3">
      <c r="A12" s="1">
        <v>8</v>
      </c>
      <c r="B12" s="1" t="s">
        <v>11</v>
      </c>
      <c r="C12" s="1"/>
      <c r="D12" s="1"/>
      <c r="E12" s="1"/>
      <c r="F12" s="1"/>
      <c r="G12" s="1"/>
      <c r="H12" s="1"/>
      <c r="I12" s="1"/>
      <c r="J12" s="1"/>
      <c r="K12" s="1"/>
      <c r="L12" s="1">
        <v>2</v>
      </c>
      <c r="M12" s="1">
        <v>4</v>
      </c>
      <c r="N12" s="1"/>
      <c r="O12" s="1"/>
      <c r="P12" s="1"/>
      <c r="Q12" s="1"/>
      <c r="R12" s="1"/>
      <c r="S12" s="1"/>
    </row>
    <row r="13" spans="1:19" hidden="1" x14ac:dyDescent="0.3">
      <c r="A13" s="1">
        <v>8.25</v>
      </c>
      <c r="B13" s="1" t="s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idden="1" x14ac:dyDescent="0.3">
      <c r="A14" s="1">
        <v>8.5</v>
      </c>
      <c r="B14" s="1" t="s">
        <v>36</v>
      </c>
      <c r="C14" s="1"/>
      <c r="D14" s="1"/>
      <c r="E14" s="1"/>
      <c r="F14" s="1"/>
      <c r="G14" s="1"/>
      <c r="H14" s="1"/>
      <c r="I14" s="1"/>
      <c r="J14" s="1"/>
      <c r="K14" s="1"/>
      <c r="L14" s="1">
        <v>2</v>
      </c>
      <c r="M14" s="1">
        <v>4</v>
      </c>
      <c r="N14" s="1"/>
      <c r="O14" s="1"/>
      <c r="P14" s="1"/>
      <c r="Q14" s="1"/>
      <c r="R14" s="1"/>
      <c r="S14" s="1"/>
    </row>
    <row r="15" spans="1:19" hidden="1" x14ac:dyDescent="0.3">
      <c r="A15" s="1">
        <v>9</v>
      </c>
      <c r="B15" s="1" t="s">
        <v>36</v>
      </c>
      <c r="C15" s="1"/>
      <c r="D15" s="1"/>
      <c r="E15" s="1">
        <v>1</v>
      </c>
      <c r="F15" s="1">
        <v>2</v>
      </c>
      <c r="G15" s="1">
        <v>2</v>
      </c>
      <c r="H15" s="1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idden="1" x14ac:dyDescent="0.3">
      <c r="A16" s="1">
        <v>9.5</v>
      </c>
      <c r="B16" s="1" t="s">
        <v>36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>
        <v>3</v>
      </c>
      <c r="S16" s="1">
        <v>3</v>
      </c>
    </row>
    <row r="17" spans="1:19" hidden="1" x14ac:dyDescent="0.3">
      <c r="A17" s="1">
        <v>10</v>
      </c>
      <c r="B17" s="1" t="s">
        <v>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idden="1" x14ac:dyDescent="0.3">
      <c r="A18" s="1">
        <v>10.5</v>
      </c>
      <c r="B18" s="1" t="s"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idden="1" x14ac:dyDescent="0.3">
      <c r="A19" s="1">
        <v>11</v>
      </c>
      <c r="B19" s="1" t="s">
        <v>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idden="1" x14ac:dyDescent="0.3">
      <c r="A20" s="1">
        <v>12</v>
      </c>
      <c r="B20" s="1" t="s">
        <v>5</v>
      </c>
      <c r="C20" s="1"/>
      <c r="D20" s="1"/>
      <c r="E20" s="1">
        <v>1</v>
      </c>
      <c r="F20" s="1">
        <v>2</v>
      </c>
      <c r="G20" s="1">
        <v>2</v>
      </c>
      <c r="H20" s="1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idden="1" x14ac:dyDescent="0.3">
      <c r="A21" s="1">
        <v>13</v>
      </c>
      <c r="B21" s="1" t="s">
        <v>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v>6</v>
      </c>
      <c r="N21" s="1"/>
      <c r="O21" s="1"/>
      <c r="P21" s="1"/>
      <c r="Q21" s="1"/>
      <c r="R21" s="1"/>
      <c r="S21" s="1"/>
    </row>
    <row r="22" spans="1:19" hidden="1" x14ac:dyDescent="0.3">
      <c r="A22" s="1">
        <v>14</v>
      </c>
      <c r="B22" s="1" t="s">
        <v>11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idden="1" x14ac:dyDescent="0.3">
      <c r="A23" s="1">
        <v>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idden="1" x14ac:dyDescent="0.3">
      <c r="A24" s="1">
        <v>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6" spans="1:19" x14ac:dyDescent="0.3">
      <c r="B26" s="1"/>
      <c r="C26" s="6" t="s">
        <v>19</v>
      </c>
      <c r="D26" s="6" t="s">
        <v>20</v>
      </c>
      <c r="E26" s="6" t="s">
        <v>21</v>
      </c>
      <c r="F26" s="6" t="s">
        <v>22</v>
      </c>
      <c r="G26" s="6" t="s">
        <v>23</v>
      </c>
      <c r="H26" s="6" t="s">
        <v>24</v>
      </c>
      <c r="I26" s="6" t="s">
        <v>25</v>
      </c>
      <c r="J26" s="6" t="s">
        <v>26</v>
      </c>
      <c r="K26" s="6" t="s">
        <v>27</v>
      </c>
      <c r="L26" s="6" t="s">
        <v>28</v>
      </c>
      <c r="M26" s="6" t="s">
        <v>29</v>
      </c>
      <c r="N26" s="6" t="s">
        <v>60</v>
      </c>
      <c r="O26" s="6" t="s">
        <v>30</v>
      </c>
      <c r="P26" s="6" t="s">
        <v>31</v>
      </c>
      <c r="Q26" s="6" t="s">
        <v>32</v>
      </c>
      <c r="R26" s="6" t="s">
        <v>69</v>
      </c>
      <c r="S26" s="6" t="s">
        <v>87</v>
      </c>
    </row>
    <row r="27" spans="1:19" x14ac:dyDescent="0.3">
      <c r="B27" s="1" t="s">
        <v>13</v>
      </c>
      <c r="C27" s="1"/>
      <c r="D27" s="1"/>
      <c r="E27" s="1"/>
      <c r="F27" s="1"/>
      <c r="G27" s="1"/>
      <c r="H27" s="1"/>
      <c r="I27" s="1">
        <v>1</v>
      </c>
      <c r="J27" s="1">
        <v>3</v>
      </c>
      <c r="K27" s="1">
        <v>2</v>
      </c>
      <c r="L27" s="1"/>
      <c r="M27" s="1"/>
      <c r="N27" s="1"/>
      <c r="O27" s="1"/>
      <c r="P27" s="1"/>
      <c r="Q27" s="1"/>
      <c r="R27" s="1"/>
      <c r="S27" s="1"/>
    </row>
    <row r="28" spans="1:19" x14ac:dyDescent="0.3">
      <c r="B28" s="1" t="s">
        <v>58</v>
      </c>
      <c r="C28" s="1"/>
      <c r="D28" s="1"/>
      <c r="E28" s="1"/>
      <c r="F28" s="1"/>
      <c r="G28" s="1"/>
      <c r="H28" s="1"/>
      <c r="I28" s="1">
        <v>2</v>
      </c>
      <c r="J28" s="1">
        <v>4</v>
      </c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B29" s="1" t="s">
        <v>5</v>
      </c>
      <c r="C29" s="1"/>
      <c r="D29" s="1"/>
      <c r="E29" s="1">
        <v>2</v>
      </c>
      <c r="F29" s="1">
        <v>1</v>
      </c>
      <c r="G29" s="1">
        <v>1</v>
      </c>
      <c r="H29" s="1">
        <v>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B30" s="1" t="s">
        <v>59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v>5</v>
      </c>
      <c r="N30" s="1">
        <v>1</v>
      </c>
      <c r="O30" s="1"/>
      <c r="P30" s="1"/>
      <c r="Q30" s="1"/>
      <c r="R30" s="1"/>
      <c r="S30" s="1"/>
    </row>
    <row r="31" spans="1:19" x14ac:dyDescent="0.3">
      <c r="B31" s="1" t="s">
        <v>11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6</v>
      </c>
      <c r="N31" s="1"/>
      <c r="O31" s="1"/>
      <c r="P31" s="1"/>
      <c r="Q31" s="1"/>
      <c r="R31" s="1"/>
      <c r="S31" s="1"/>
    </row>
    <row r="32" spans="1:19" x14ac:dyDescent="0.3">
      <c r="B32" s="1" t="s">
        <v>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 x14ac:dyDescent="0.3">
      <c r="B33" s="1" t="s">
        <v>36</v>
      </c>
      <c r="C33" s="1"/>
      <c r="D33" s="1"/>
      <c r="E33" s="1"/>
      <c r="F33" s="1"/>
      <c r="G33" s="1"/>
      <c r="H33" s="1"/>
      <c r="I33" s="1"/>
      <c r="J33" s="1"/>
      <c r="K33" s="1"/>
      <c r="L33" s="1">
        <v>2</v>
      </c>
      <c r="M33" s="1">
        <v>4</v>
      </c>
      <c r="N33" s="1"/>
      <c r="O33" s="1"/>
      <c r="P33" s="1"/>
      <c r="Q33" s="1"/>
      <c r="R33" s="1"/>
      <c r="S33" s="1"/>
    </row>
    <row r="34" spans="2:19" x14ac:dyDescent="0.3">
      <c r="B34" s="1" t="s">
        <v>12</v>
      </c>
      <c r="C34" s="1">
        <v>1</v>
      </c>
      <c r="D34" s="1">
        <v>1</v>
      </c>
      <c r="E34" s="1">
        <v>2</v>
      </c>
      <c r="F34" s="1">
        <v>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19" x14ac:dyDescent="0.3">
      <c r="B35" s="1" t="s">
        <v>37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 x14ac:dyDescent="0.3">
      <c r="B36" s="1" t="s">
        <v>38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2</v>
      </c>
      <c r="P36" s="1">
        <v>2</v>
      </c>
      <c r="Q36" s="1">
        <v>2</v>
      </c>
      <c r="R36" s="1"/>
      <c r="S36" s="1"/>
    </row>
  </sheetData>
  <conditionalFormatting sqref="C4:S24">
    <cfRule type="notContainsBlanks" dxfId="1" priority="2">
      <formula>LEN(TRIM(C4))&gt;0</formula>
    </cfRule>
  </conditionalFormatting>
  <conditionalFormatting sqref="C27:S36">
    <cfRule type="notContainsBlanks" dxfId="0" priority="1">
      <formula>LEN(TRIM(C27))&gt;0</formula>
    </cfRule>
  </conditionalFormatting>
  <dataValidations count="1">
    <dataValidation type="list" allowBlank="1" showInputMessage="1" showErrorMessage="1" sqref="B4:B23" xr:uid="{412F09E7-6E1D-4C5C-801D-1B2F4ADA9875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9284-9D26-4F8D-ACD4-D631B2679E05}">
  <sheetPr codeName="Sheet6">
    <tabColor rgb="FFFFC000"/>
  </sheetPr>
  <dimension ref="A1:H64"/>
  <sheetViews>
    <sheetView workbookViewId="0">
      <selection activeCell="H3" sqref="H3"/>
    </sheetView>
  </sheetViews>
  <sheetFormatPr defaultRowHeight="14.4" x14ac:dyDescent="0.3"/>
  <cols>
    <col min="5" max="5" width="17.44140625" bestFit="1" customWidth="1"/>
    <col min="6" max="6" width="24" bestFit="1" customWidth="1"/>
    <col min="7" max="7" width="12.33203125" bestFit="1" customWidth="1"/>
  </cols>
  <sheetData>
    <row r="1" spans="1:8" x14ac:dyDescent="0.3">
      <c r="A1" s="53" t="s">
        <v>39</v>
      </c>
      <c r="B1" s="53"/>
      <c r="C1" s="53"/>
    </row>
    <row r="2" spans="1:8" x14ac:dyDescent="0.3">
      <c r="A2" s="1" t="s">
        <v>40</v>
      </c>
      <c r="B2" s="1" t="s">
        <v>2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4">
        <v>0.55000000000000004</v>
      </c>
    </row>
    <row r="3" spans="1:8" x14ac:dyDescent="0.3">
      <c r="A3" s="1">
        <v>1</v>
      </c>
      <c r="B3" s="1">
        <v>155</v>
      </c>
      <c r="C3" s="1">
        <v>45</v>
      </c>
      <c r="D3" s="1">
        <v>3.5</v>
      </c>
      <c r="E3" s="1">
        <v>5.8820000000000001E-3</v>
      </c>
      <c r="F3" s="1">
        <v>22200</v>
      </c>
      <c r="G3" s="1">
        <f>E3*F3</f>
        <v>130.5804</v>
      </c>
      <c r="H3">
        <f>G3*0.55</f>
        <v>71.819220000000001</v>
      </c>
    </row>
    <row r="4" spans="1:8" x14ac:dyDescent="0.3">
      <c r="A4" s="1">
        <v>2</v>
      </c>
      <c r="B4" s="1">
        <v>155</v>
      </c>
      <c r="C4" s="1">
        <v>45</v>
      </c>
      <c r="D4" s="1">
        <v>3.5</v>
      </c>
      <c r="E4" s="1">
        <v>5.8820000000000001E-3</v>
      </c>
      <c r="F4" s="1">
        <v>22200</v>
      </c>
      <c r="G4" s="1">
        <f t="shared" ref="G4:G13" si="0">E4*F4</f>
        <v>130.5804</v>
      </c>
      <c r="H4">
        <f t="shared" ref="H4:H13" si="1">G4*0.55</f>
        <v>71.819220000000001</v>
      </c>
    </row>
    <row r="5" spans="1:8" x14ac:dyDescent="0.3">
      <c r="A5" s="1">
        <v>3</v>
      </c>
      <c r="B5" s="1">
        <v>155</v>
      </c>
      <c r="C5" s="1">
        <v>38</v>
      </c>
      <c r="D5" s="1">
        <v>3.5</v>
      </c>
      <c r="E5" s="1">
        <v>5.8820000000000001E-3</v>
      </c>
      <c r="F5" s="1">
        <v>21800</v>
      </c>
      <c r="G5" s="1">
        <f t="shared" si="0"/>
        <v>128.2276</v>
      </c>
      <c r="H5">
        <f t="shared" si="1"/>
        <v>70.525180000000006</v>
      </c>
    </row>
    <row r="6" spans="1:8" x14ac:dyDescent="0.3">
      <c r="A6" s="1">
        <v>4</v>
      </c>
      <c r="B6" s="1">
        <v>155</v>
      </c>
      <c r="C6" s="1">
        <v>45</v>
      </c>
      <c r="D6" s="1">
        <v>3.5</v>
      </c>
      <c r="E6" s="1">
        <v>5.8820000000000001E-3</v>
      </c>
      <c r="F6" s="1">
        <v>22200</v>
      </c>
      <c r="G6" s="1">
        <f t="shared" si="0"/>
        <v>130.5804</v>
      </c>
      <c r="H6">
        <f t="shared" si="1"/>
        <v>71.819220000000001</v>
      </c>
    </row>
    <row r="7" spans="1:8" x14ac:dyDescent="0.3">
      <c r="A7" s="1">
        <v>5</v>
      </c>
      <c r="B7" s="1">
        <v>155</v>
      </c>
      <c r="C7" s="1">
        <v>45</v>
      </c>
      <c r="D7" s="1">
        <v>3.5</v>
      </c>
      <c r="E7" s="1">
        <v>5.8820000000000001E-3</v>
      </c>
      <c r="F7" s="1">
        <v>22200</v>
      </c>
      <c r="G7" s="1">
        <f t="shared" si="0"/>
        <v>130.5804</v>
      </c>
      <c r="H7">
        <f t="shared" si="1"/>
        <v>71.819220000000001</v>
      </c>
    </row>
    <row r="8" spans="1:8" x14ac:dyDescent="0.3">
      <c r="A8" s="1">
        <v>6</v>
      </c>
      <c r="B8" s="1">
        <v>155</v>
      </c>
      <c r="C8" s="1">
        <v>45</v>
      </c>
      <c r="D8" s="1">
        <v>3.5</v>
      </c>
      <c r="E8" s="1">
        <v>5.8820000000000001E-3</v>
      </c>
      <c r="F8" s="1">
        <v>22200</v>
      </c>
      <c r="G8" s="1">
        <f t="shared" si="0"/>
        <v>130.5804</v>
      </c>
      <c r="H8">
        <f t="shared" si="1"/>
        <v>71.819220000000001</v>
      </c>
    </row>
    <row r="9" spans="1:8" x14ac:dyDescent="0.3">
      <c r="A9" s="1">
        <v>7</v>
      </c>
      <c r="B9" s="1">
        <v>155</v>
      </c>
      <c r="C9" s="1">
        <v>45</v>
      </c>
      <c r="D9" s="1">
        <v>3.5</v>
      </c>
      <c r="E9" s="1">
        <v>5.8820000000000001E-3</v>
      </c>
      <c r="F9" s="1">
        <v>22200</v>
      </c>
      <c r="G9" s="1">
        <f t="shared" si="0"/>
        <v>130.5804</v>
      </c>
      <c r="H9">
        <f t="shared" si="1"/>
        <v>71.819220000000001</v>
      </c>
    </row>
    <row r="10" spans="1:8" x14ac:dyDescent="0.3">
      <c r="A10" s="1">
        <v>8</v>
      </c>
      <c r="B10" s="1">
        <v>155</v>
      </c>
      <c r="C10" s="1">
        <v>45</v>
      </c>
      <c r="D10" s="1">
        <v>3.5</v>
      </c>
      <c r="E10" s="1">
        <v>5.8820000000000001E-3</v>
      </c>
      <c r="F10" s="1">
        <v>22200</v>
      </c>
      <c r="G10" s="1">
        <f t="shared" si="0"/>
        <v>130.5804</v>
      </c>
      <c r="H10">
        <f t="shared" si="1"/>
        <v>71.819220000000001</v>
      </c>
    </row>
    <row r="11" spans="1:8" x14ac:dyDescent="0.3">
      <c r="A11" s="1">
        <v>9</v>
      </c>
      <c r="B11" s="1">
        <v>155</v>
      </c>
      <c r="C11" s="1">
        <v>45</v>
      </c>
      <c r="D11" s="1">
        <v>3.5</v>
      </c>
      <c r="E11" s="1">
        <v>5.8820000000000001E-3</v>
      </c>
      <c r="F11" s="1">
        <v>22200</v>
      </c>
      <c r="G11" s="1">
        <f t="shared" si="0"/>
        <v>130.5804</v>
      </c>
      <c r="H11">
        <f t="shared" si="1"/>
        <v>71.819220000000001</v>
      </c>
    </row>
    <row r="12" spans="1:8" x14ac:dyDescent="0.3">
      <c r="A12" s="1">
        <v>10</v>
      </c>
      <c r="B12" s="1">
        <v>155</v>
      </c>
      <c r="C12" s="1">
        <v>45</v>
      </c>
      <c r="D12" s="1">
        <v>3.5</v>
      </c>
      <c r="E12" s="1">
        <v>5.8820000000000001E-3</v>
      </c>
      <c r="F12" s="1">
        <v>22200</v>
      </c>
      <c r="G12" s="1">
        <f t="shared" si="0"/>
        <v>130.5804</v>
      </c>
      <c r="H12">
        <f t="shared" si="1"/>
        <v>71.819220000000001</v>
      </c>
    </row>
    <row r="13" spans="1:8" x14ac:dyDescent="0.3">
      <c r="A13" s="1">
        <v>11</v>
      </c>
      <c r="B13" s="1">
        <v>155</v>
      </c>
      <c r="C13" s="1">
        <v>45</v>
      </c>
      <c r="D13" s="1">
        <v>3.5</v>
      </c>
      <c r="E13" s="1">
        <v>5.8820000000000001E-3</v>
      </c>
      <c r="F13" s="1">
        <v>22200</v>
      </c>
      <c r="G13" s="1">
        <f t="shared" si="0"/>
        <v>130.5804</v>
      </c>
      <c r="H13">
        <f t="shared" si="1"/>
        <v>71.819220000000001</v>
      </c>
    </row>
    <row r="15" spans="1:8" x14ac:dyDescent="0.3">
      <c r="A15" s="52" t="s">
        <v>46</v>
      </c>
      <c r="B15" s="52"/>
      <c r="C15" s="52"/>
    </row>
    <row r="16" spans="1:8" x14ac:dyDescent="0.3">
      <c r="A16" s="1" t="s">
        <v>40</v>
      </c>
      <c r="B16" s="1" t="s">
        <v>2</v>
      </c>
      <c r="C16" s="1" t="s">
        <v>41</v>
      </c>
      <c r="D16" s="1" t="s">
        <v>42</v>
      </c>
      <c r="E16" s="1" t="s">
        <v>43</v>
      </c>
      <c r="F16" s="1" t="s">
        <v>44</v>
      </c>
      <c r="G16" s="1" t="s">
        <v>45</v>
      </c>
    </row>
    <row r="17" spans="1:7" x14ac:dyDescent="0.3">
      <c r="A17" s="1">
        <v>1</v>
      </c>
      <c r="B17" s="1">
        <v>110</v>
      </c>
      <c r="C17" s="1">
        <v>30.5</v>
      </c>
      <c r="D17" s="1">
        <v>3.5</v>
      </c>
      <c r="E17" s="1">
        <v>2.4049999999999998E-2</v>
      </c>
      <c r="F17" s="1">
        <v>15050</v>
      </c>
      <c r="G17" s="1">
        <f>F17*E17</f>
        <v>361.95249999999999</v>
      </c>
    </row>
    <row r="18" spans="1:7" x14ac:dyDescent="0.3">
      <c r="A18" s="1">
        <v>2</v>
      </c>
      <c r="B18" s="1">
        <v>110</v>
      </c>
      <c r="C18" s="1">
        <v>30.5</v>
      </c>
      <c r="D18" s="1">
        <v>3.5</v>
      </c>
      <c r="E18" s="1">
        <v>2.4049999999999998E-2</v>
      </c>
      <c r="F18" s="1">
        <v>15050</v>
      </c>
      <c r="G18" s="1">
        <f t="shared" ref="G18:G23" si="2">F18*E18</f>
        <v>361.95249999999999</v>
      </c>
    </row>
    <row r="19" spans="1:7" x14ac:dyDescent="0.3">
      <c r="A19" s="1">
        <v>3</v>
      </c>
      <c r="B19" s="1">
        <v>110</v>
      </c>
      <c r="C19" s="1">
        <v>30.5</v>
      </c>
      <c r="D19" s="1">
        <v>3.5</v>
      </c>
      <c r="E19" s="1">
        <v>2.4049999999999998E-2</v>
      </c>
      <c r="F19" s="1">
        <v>15050</v>
      </c>
      <c r="G19" s="1">
        <f t="shared" si="2"/>
        <v>361.95249999999999</v>
      </c>
    </row>
    <row r="20" spans="1:7" x14ac:dyDescent="0.3">
      <c r="A20" s="1">
        <v>4</v>
      </c>
      <c r="B20" s="1">
        <v>110</v>
      </c>
      <c r="C20" s="1">
        <v>30.5</v>
      </c>
      <c r="D20" s="1">
        <v>3.5</v>
      </c>
      <c r="E20" s="1">
        <v>2.4049999999999998E-2</v>
      </c>
      <c r="F20" s="1">
        <v>15050</v>
      </c>
      <c r="G20" s="1">
        <f t="shared" si="2"/>
        <v>361.95249999999999</v>
      </c>
    </row>
    <row r="21" spans="1:7" x14ac:dyDescent="0.3">
      <c r="A21" s="1">
        <v>5</v>
      </c>
      <c r="B21" s="1">
        <v>110</v>
      </c>
      <c r="C21" s="1">
        <v>30.5</v>
      </c>
      <c r="D21" s="1">
        <v>3.5</v>
      </c>
      <c r="E21" s="1">
        <v>2.4049999999999998E-2</v>
      </c>
      <c r="F21" s="1">
        <v>15050</v>
      </c>
      <c r="G21" s="1">
        <f t="shared" si="2"/>
        <v>361.95249999999999</v>
      </c>
    </row>
    <row r="22" spans="1:7" x14ac:dyDescent="0.3">
      <c r="A22" s="1">
        <v>6</v>
      </c>
      <c r="B22" s="1">
        <v>110</v>
      </c>
      <c r="C22" s="1">
        <v>30.5</v>
      </c>
      <c r="D22" s="1">
        <v>3.5</v>
      </c>
      <c r="E22" s="1">
        <v>2.4049999999999998E-2</v>
      </c>
      <c r="F22" s="1">
        <v>15050</v>
      </c>
      <c r="G22" s="1">
        <f t="shared" si="2"/>
        <v>361.95249999999999</v>
      </c>
    </row>
    <row r="23" spans="1:7" x14ac:dyDescent="0.3">
      <c r="A23" s="1">
        <v>7</v>
      </c>
      <c r="B23" s="1">
        <v>110</v>
      </c>
      <c r="C23" s="1">
        <v>30.5</v>
      </c>
      <c r="D23" s="1">
        <v>3.5</v>
      </c>
      <c r="E23" s="1">
        <v>2.4049999999999998E-2</v>
      </c>
      <c r="F23" s="1">
        <v>15050</v>
      </c>
      <c r="G23" s="1">
        <f t="shared" si="2"/>
        <v>361.95249999999999</v>
      </c>
    </row>
    <row r="25" spans="1:7" x14ac:dyDescent="0.3">
      <c r="A25" s="52" t="s">
        <v>47</v>
      </c>
      <c r="B25" s="52"/>
      <c r="C25" s="52"/>
    </row>
    <row r="26" spans="1:7" x14ac:dyDescent="0.3">
      <c r="A26" s="1" t="s">
        <v>40</v>
      </c>
      <c r="B26" s="1" t="s">
        <v>2</v>
      </c>
      <c r="C26" s="1" t="s">
        <v>41</v>
      </c>
      <c r="D26" s="1" t="s">
        <v>42</v>
      </c>
      <c r="E26" s="1" t="s">
        <v>43</v>
      </c>
      <c r="F26" s="1" t="s">
        <v>44</v>
      </c>
      <c r="G26" s="1" t="s">
        <v>45</v>
      </c>
    </row>
    <row r="27" spans="1:7" x14ac:dyDescent="0.3">
      <c r="A27" s="1">
        <v>1</v>
      </c>
      <c r="B27" s="1">
        <v>105</v>
      </c>
      <c r="C27" s="1">
        <v>29.17</v>
      </c>
      <c r="D27" s="1">
        <v>3.5</v>
      </c>
      <c r="E27" s="1">
        <v>2.5000000000000001E-2</v>
      </c>
      <c r="F27" s="1">
        <v>14305</v>
      </c>
      <c r="G27" s="1">
        <f>F27*E27</f>
        <v>357.625</v>
      </c>
    </row>
    <row r="28" spans="1:7" x14ac:dyDescent="0.3">
      <c r="A28" s="1">
        <v>2</v>
      </c>
      <c r="B28" s="1">
        <v>105</v>
      </c>
      <c r="C28" s="1">
        <v>29.17</v>
      </c>
      <c r="D28" s="1">
        <v>3.5</v>
      </c>
      <c r="E28" s="1">
        <v>2.5000000000000001E-2</v>
      </c>
      <c r="F28" s="1">
        <v>14305</v>
      </c>
      <c r="G28" s="1">
        <f t="shared" ref="G28:G33" si="3">F28*E28</f>
        <v>357.625</v>
      </c>
    </row>
    <row r="29" spans="1:7" x14ac:dyDescent="0.3">
      <c r="A29" s="1">
        <v>3</v>
      </c>
      <c r="B29" s="1">
        <v>105</v>
      </c>
      <c r="C29" s="1">
        <v>29.17</v>
      </c>
      <c r="D29" s="1">
        <v>3.5</v>
      </c>
      <c r="E29" s="1">
        <v>2.5000000000000001E-2</v>
      </c>
      <c r="F29" s="1">
        <v>14305</v>
      </c>
      <c r="G29" s="1">
        <f t="shared" si="3"/>
        <v>357.625</v>
      </c>
    </row>
    <row r="30" spans="1:7" x14ac:dyDescent="0.3">
      <c r="A30" s="1">
        <v>4</v>
      </c>
      <c r="B30" s="1">
        <v>105</v>
      </c>
      <c r="C30" s="1">
        <v>29.17</v>
      </c>
      <c r="D30" s="1">
        <v>3.5</v>
      </c>
      <c r="E30" s="1">
        <v>2.5000000000000001E-2</v>
      </c>
      <c r="F30" s="1">
        <v>14305</v>
      </c>
      <c r="G30" s="1">
        <f t="shared" si="3"/>
        <v>357.625</v>
      </c>
    </row>
    <row r="31" spans="1:7" x14ac:dyDescent="0.3">
      <c r="A31" s="1">
        <v>5</v>
      </c>
      <c r="B31" s="1">
        <v>105</v>
      </c>
      <c r="C31" s="1">
        <v>29.17</v>
      </c>
      <c r="D31" s="1">
        <v>3.5</v>
      </c>
      <c r="E31" s="1">
        <v>2.5000000000000001E-2</v>
      </c>
      <c r="F31" s="1">
        <v>14305</v>
      </c>
      <c r="G31" s="1">
        <f t="shared" si="3"/>
        <v>357.625</v>
      </c>
    </row>
    <row r="32" spans="1:7" x14ac:dyDescent="0.3">
      <c r="A32" s="1">
        <v>6</v>
      </c>
      <c r="B32" s="1">
        <v>105</v>
      </c>
      <c r="C32" s="1">
        <v>29.17</v>
      </c>
      <c r="D32" s="1">
        <v>3.5</v>
      </c>
      <c r="E32" s="1">
        <v>2.5000000000000001E-2</v>
      </c>
      <c r="F32" s="1">
        <v>14305</v>
      </c>
      <c r="G32" s="1">
        <f t="shared" si="3"/>
        <v>357.625</v>
      </c>
    </row>
    <row r="33" spans="1:8" x14ac:dyDescent="0.3">
      <c r="A33" s="1">
        <v>7</v>
      </c>
      <c r="B33" s="1">
        <v>105</v>
      </c>
      <c r="C33" s="1">
        <v>29.17</v>
      </c>
      <c r="D33" s="1">
        <v>3.5</v>
      </c>
      <c r="E33" s="1">
        <v>2.5000000000000001E-2</v>
      </c>
      <c r="F33" s="1">
        <v>14305</v>
      </c>
      <c r="G33" s="1">
        <f t="shared" si="3"/>
        <v>357.625</v>
      </c>
    </row>
    <row r="35" spans="1:8" x14ac:dyDescent="0.3">
      <c r="A35" s="52" t="s">
        <v>48</v>
      </c>
      <c r="B35" s="52"/>
      <c r="C35" s="52"/>
    </row>
    <row r="36" spans="1:8" x14ac:dyDescent="0.3">
      <c r="A36" s="1" t="s">
        <v>40</v>
      </c>
      <c r="B36" s="1" t="s">
        <v>2</v>
      </c>
      <c r="C36" s="1" t="s">
        <v>41</v>
      </c>
      <c r="D36" s="1" t="s">
        <v>42</v>
      </c>
      <c r="E36" s="1" t="s">
        <v>43</v>
      </c>
      <c r="F36" s="1" t="s">
        <v>44</v>
      </c>
      <c r="G36" s="1" t="s">
        <v>45</v>
      </c>
    </row>
    <row r="37" spans="1:8" x14ac:dyDescent="0.3">
      <c r="A37" s="1">
        <v>1</v>
      </c>
      <c r="B37" s="1">
        <v>80</v>
      </c>
      <c r="C37" s="1">
        <v>22.23</v>
      </c>
      <c r="D37" s="1">
        <v>3.5</v>
      </c>
      <c r="E37" s="1">
        <v>3.6107E-2</v>
      </c>
      <c r="F37" s="1">
        <v>11020</v>
      </c>
      <c r="G37" s="1">
        <f>F37*E37</f>
        <v>397.89913999999999</v>
      </c>
    </row>
    <row r="38" spans="1:8" x14ac:dyDescent="0.3">
      <c r="A38" s="1">
        <v>2</v>
      </c>
      <c r="B38" s="1">
        <v>80</v>
      </c>
      <c r="C38" s="1">
        <v>22.23</v>
      </c>
      <c r="D38" s="1">
        <v>3.5</v>
      </c>
      <c r="E38" s="1">
        <v>3.6107E-2</v>
      </c>
      <c r="F38" s="1">
        <v>11020</v>
      </c>
      <c r="G38" s="1">
        <f t="shared" ref="G38:G43" si="4">F38*E38</f>
        <v>397.89913999999999</v>
      </c>
    </row>
    <row r="39" spans="1:8" x14ac:dyDescent="0.3">
      <c r="A39" s="1">
        <v>3</v>
      </c>
      <c r="B39" s="1">
        <v>80</v>
      </c>
      <c r="C39" s="1">
        <v>22.23</v>
      </c>
      <c r="D39" s="1">
        <v>3.5</v>
      </c>
      <c r="E39" s="1">
        <v>3.6107E-2</v>
      </c>
      <c r="F39" s="1">
        <v>11020</v>
      </c>
      <c r="G39" s="1">
        <f t="shared" si="4"/>
        <v>397.89913999999999</v>
      </c>
    </row>
    <row r="40" spans="1:8" x14ac:dyDescent="0.3">
      <c r="A40" s="1">
        <v>4</v>
      </c>
      <c r="B40" s="1">
        <v>80</v>
      </c>
      <c r="C40" s="1">
        <v>22.23</v>
      </c>
      <c r="D40" s="1">
        <v>3.5</v>
      </c>
      <c r="E40" s="1">
        <v>3.6107E-2</v>
      </c>
      <c r="F40" s="1">
        <v>11020</v>
      </c>
      <c r="G40" s="1">
        <f t="shared" si="4"/>
        <v>397.89913999999999</v>
      </c>
    </row>
    <row r="41" spans="1:8" x14ac:dyDescent="0.3">
      <c r="A41" s="1">
        <v>5</v>
      </c>
      <c r="B41" s="1">
        <v>80</v>
      </c>
      <c r="C41" s="1">
        <v>22.23</v>
      </c>
      <c r="D41" s="1">
        <v>3.5</v>
      </c>
      <c r="E41" s="1">
        <v>3.6107E-2</v>
      </c>
      <c r="F41" s="1">
        <v>11020</v>
      </c>
      <c r="G41" s="1">
        <f t="shared" si="4"/>
        <v>397.89913999999999</v>
      </c>
    </row>
    <row r="42" spans="1:8" x14ac:dyDescent="0.3">
      <c r="A42" s="1">
        <v>6</v>
      </c>
      <c r="B42" s="1">
        <v>80</v>
      </c>
      <c r="C42" s="1">
        <v>22.23</v>
      </c>
      <c r="D42" s="1">
        <v>3.5</v>
      </c>
      <c r="E42" s="1">
        <v>3.6107E-2</v>
      </c>
      <c r="F42" s="1">
        <v>11020</v>
      </c>
      <c r="G42" s="1">
        <f t="shared" si="4"/>
        <v>397.89913999999999</v>
      </c>
    </row>
    <row r="43" spans="1:8" x14ac:dyDescent="0.3">
      <c r="A43" s="1">
        <v>7</v>
      </c>
      <c r="B43" s="1">
        <v>80</v>
      </c>
      <c r="C43" s="1">
        <v>22.23</v>
      </c>
      <c r="D43" s="1">
        <v>3.5</v>
      </c>
      <c r="E43" s="1">
        <v>3.6107E-2</v>
      </c>
      <c r="F43" s="1">
        <v>11020</v>
      </c>
      <c r="G43" s="1">
        <f t="shared" si="4"/>
        <v>397.89913999999999</v>
      </c>
    </row>
    <row r="45" spans="1:8" x14ac:dyDescent="0.3">
      <c r="A45" s="52" t="s">
        <v>8</v>
      </c>
      <c r="B45" s="52"/>
      <c r="C45" s="52"/>
    </row>
    <row r="46" spans="1:8" x14ac:dyDescent="0.3">
      <c r="A46" s="1" t="s">
        <v>40</v>
      </c>
      <c r="B46" s="1" t="s">
        <v>2</v>
      </c>
      <c r="C46" s="1" t="s">
        <v>41</v>
      </c>
      <c r="D46" s="1" t="s">
        <v>42</v>
      </c>
      <c r="E46" s="1" t="s">
        <v>43</v>
      </c>
      <c r="F46" s="1" t="s">
        <v>57</v>
      </c>
      <c r="G46" s="1" t="s">
        <v>49</v>
      </c>
      <c r="H46">
        <v>0.85</v>
      </c>
    </row>
    <row r="47" spans="1:8" x14ac:dyDescent="0.3">
      <c r="A47" s="1">
        <v>1</v>
      </c>
      <c r="B47" s="1"/>
      <c r="C47" s="1"/>
      <c r="D47" s="1"/>
      <c r="E47" s="1"/>
      <c r="F47" s="1"/>
      <c r="G47" s="1"/>
    </row>
    <row r="48" spans="1:8" x14ac:dyDescent="0.3">
      <c r="A48" s="1">
        <v>2</v>
      </c>
      <c r="B48" s="1"/>
      <c r="C48" s="1"/>
      <c r="D48" s="1"/>
      <c r="E48" s="1"/>
      <c r="F48" s="1"/>
      <c r="G48" s="1"/>
    </row>
    <row r="49" spans="1:8" x14ac:dyDescent="0.3">
      <c r="A49" s="1">
        <v>3</v>
      </c>
      <c r="B49" s="1">
        <v>155</v>
      </c>
      <c r="C49" s="1">
        <v>49.5</v>
      </c>
      <c r="D49" s="1">
        <v>4</v>
      </c>
      <c r="E49" s="1">
        <v>7.0000000000000007E-2</v>
      </c>
      <c r="F49" s="1">
        <v>24000</v>
      </c>
      <c r="G49" s="1">
        <f t="shared" ref="G49:G59" si="5">F49*E49</f>
        <v>1680.0000000000002</v>
      </c>
      <c r="H49">
        <f>G49*0.85</f>
        <v>1428.0000000000002</v>
      </c>
    </row>
    <row r="50" spans="1:8" x14ac:dyDescent="0.3">
      <c r="A50" s="1">
        <v>4</v>
      </c>
      <c r="B50" s="1">
        <v>155</v>
      </c>
      <c r="C50" s="1">
        <v>49.5</v>
      </c>
      <c r="D50" s="1">
        <v>4</v>
      </c>
      <c r="E50" s="1">
        <v>7.0000000000000007E-2</v>
      </c>
      <c r="F50" s="1">
        <v>24000</v>
      </c>
      <c r="G50" s="1">
        <f t="shared" si="5"/>
        <v>1680.0000000000002</v>
      </c>
      <c r="H50">
        <f t="shared" ref="H50:H59" si="6">G50*0.85</f>
        <v>1428.0000000000002</v>
      </c>
    </row>
    <row r="51" spans="1:8" x14ac:dyDescent="0.3">
      <c r="A51" s="1">
        <v>5</v>
      </c>
      <c r="B51" s="1">
        <v>155</v>
      </c>
      <c r="C51" s="1">
        <v>49.5</v>
      </c>
      <c r="D51" s="1">
        <v>4</v>
      </c>
      <c r="E51" s="1">
        <v>7.0000000000000007E-2</v>
      </c>
      <c r="F51" s="1">
        <v>24000</v>
      </c>
      <c r="G51" s="1">
        <f t="shared" si="5"/>
        <v>1680.0000000000002</v>
      </c>
      <c r="H51">
        <f t="shared" si="6"/>
        <v>1428.0000000000002</v>
      </c>
    </row>
    <row r="52" spans="1:8" x14ac:dyDescent="0.3">
      <c r="A52" s="1">
        <v>6</v>
      </c>
      <c r="B52" s="1">
        <v>155</v>
      </c>
      <c r="C52" s="1">
        <v>49.5</v>
      </c>
      <c r="D52" s="1">
        <v>4</v>
      </c>
      <c r="E52" s="1">
        <v>7.0000000000000007E-2</v>
      </c>
      <c r="F52" s="1">
        <v>24000</v>
      </c>
      <c r="G52" s="1">
        <f t="shared" si="5"/>
        <v>1680.0000000000002</v>
      </c>
      <c r="H52">
        <f t="shared" si="6"/>
        <v>1428.0000000000002</v>
      </c>
    </row>
    <row r="53" spans="1:8" x14ac:dyDescent="0.3">
      <c r="A53" s="1">
        <v>7</v>
      </c>
      <c r="B53" s="1">
        <v>155</v>
      </c>
      <c r="C53" s="1">
        <v>49.5</v>
      </c>
      <c r="D53" s="1">
        <v>4</v>
      </c>
      <c r="E53" s="1">
        <v>7.0000000000000007E-2</v>
      </c>
      <c r="F53" s="1">
        <v>24000</v>
      </c>
      <c r="G53" s="1">
        <f t="shared" si="5"/>
        <v>1680.0000000000002</v>
      </c>
      <c r="H53">
        <f t="shared" si="6"/>
        <v>1428.0000000000002</v>
      </c>
    </row>
    <row r="54" spans="1:8" x14ac:dyDescent="0.3">
      <c r="A54" s="1">
        <v>8</v>
      </c>
      <c r="B54" s="1">
        <v>155</v>
      </c>
      <c r="C54" s="1">
        <v>49.5</v>
      </c>
      <c r="D54" s="1">
        <v>4</v>
      </c>
      <c r="E54" s="1">
        <v>7.0000000000000007E-2</v>
      </c>
      <c r="F54" s="1">
        <v>24000</v>
      </c>
      <c r="G54" s="1">
        <f t="shared" si="5"/>
        <v>1680.0000000000002</v>
      </c>
      <c r="H54">
        <f t="shared" si="6"/>
        <v>1428.0000000000002</v>
      </c>
    </row>
    <row r="55" spans="1:8" x14ac:dyDescent="0.3">
      <c r="A55" s="1">
        <v>9</v>
      </c>
      <c r="B55" s="1">
        <v>155</v>
      </c>
      <c r="C55" s="1">
        <v>49.5</v>
      </c>
      <c r="D55" s="1">
        <v>4</v>
      </c>
      <c r="E55" s="1">
        <v>7.0000000000000007E-2</v>
      </c>
      <c r="F55" s="1">
        <v>24000</v>
      </c>
      <c r="G55" s="1">
        <f t="shared" si="5"/>
        <v>1680.0000000000002</v>
      </c>
      <c r="H55">
        <f t="shared" si="6"/>
        <v>1428.0000000000002</v>
      </c>
    </row>
    <row r="56" spans="1:8" x14ac:dyDescent="0.3">
      <c r="A56" s="1">
        <v>10</v>
      </c>
      <c r="B56" s="1">
        <v>155</v>
      </c>
      <c r="C56" s="1">
        <v>49.5</v>
      </c>
      <c r="D56" s="1">
        <v>4</v>
      </c>
      <c r="E56" s="1">
        <v>7.0000000000000007E-2</v>
      </c>
      <c r="F56" s="1">
        <v>24000</v>
      </c>
      <c r="G56" s="1">
        <f t="shared" si="5"/>
        <v>1680.0000000000002</v>
      </c>
      <c r="H56">
        <f t="shared" si="6"/>
        <v>1428.0000000000002</v>
      </c>
    </row>
    <row r="57" spans="1:8" x14ac:dyDescent="0.3">
      <c r="A57" s="1">
        <v>11</v>
      </c>
      <c r="B57" s="1">
        <v>155</v>
      </c>
      <c r="C57" s="1">
        <v>49.5</v>
      </c>
      <c r="D57" s="1">
        <v>4</v>
      </c>
      <c r="E57" s="1">
        <v>7.0000000000000007E-2</v>
      </c>
      <c r="F57" s="1">
        <v>24000</v>
      </c>
      <c r="G57" s="1">
        <f t="shared" si="5"/>
        <v>1680.0000000000002</v>
      </c>
      <c r="H57">
        <f t="shared" si="6"/>
        <v>1428.0000000000002</v>
      </c>
    </row>
    <row r="58" spans="1:8" x14ac:dyDescent="0.3">
      <c r="A58" s="1">
        <v>12</v>
      </c>
      <c r="B58" s="1">
        <v>155</v>
      </c>
      <c r="C58" s="1">
        <v>49.5</v>
      </c>
      <c r="D58" s="1">
        <v>4</v>
      </c>
      <c r="E58" s="1">
        <v>7.0000000000000007E-2</v>
      </c>
      <c r="F58" s="1">
        <v>24000</v>
      </c>
      <c r="G58" s="1">
        <f t="shared" si="5"/>
        <v>1680.0000000000002</v>
      </c>
      <c r="H58">
        <f t="shared" si="6"/>
        <v>1428.0000000000002</v>
      </c>
    </row>
    <row r="59" spans="1:8" x14ac:dyDescent="0.3">
      <c r="A59" s="1">
        <v>13</v>
      </c>
      <c r="B59" s="1">
        <v>155</v>
      </c>
      <c r="C59" s="1">
        <v>49.5</v>
      </c>
      <c r="D59" s="1">
        <v>4</v>
      </c>
      <c r="E59" s="1">
        <v>7.0000000000000007E-2</v>
      </c>
      <c r="F59" s="1">
        <v>24000</v>
      </c>
      <c r="G59" s="1">
        <f t="shared" si="5"/>
        <v>1680.0000000000002</v>
      </c>
      <c r="H59">
        <f t="shared" si="6"/>
        <v>1428.0000000000002</v>
      </c>
    </row>
    <row r="60" spans="1:8" x14ac:dyDescent="0.3">
      <c r="G60" s="5">
        <f>SUM(G49:G59)</f>
        <v>18480.000000000004</v>
      </c>
    </row>
    <row r="61" spans="1:8" x14ac:dyDescent="0.3">
      <c r="G61">
        <f>G60*0.85</f>
        <v>15708.000000000002</v>
      </c>
    </row>
    <row r="62" spans="1:8" x14ac:dyDescent="0.3">
      <c r="A62" s="52" t="s">
        <v>17</v>
      </c>
      <c r="B62" s="52"/>
      <c r="C62" s="52"/>
    </row>
    <row r="63" spans="1:8" x14ac:dyDescent="0.3">
      <c r="A63" s="1" t="s">
        <v>40</v>
      </c>
      <c r="B63" s="1" t="s">
        <v>2</v>
      </c>
      <c r="C63" s="1" t="s">
        <v>41</v>
      </c>
      <c r="D63" s="1" t="s">
        <v>42</v>
      </c>
      <c r="E63" s="1" t="s">
        <v>43</v>
      </c>
      <c r="F63" s="1" t="s">
        <v>57</v>
      </c>
      <c r="G63" s="1" t="s">
        <v>49</v>
      </c>
      <c r="H63">
        <v>0.85</v>
      </c>
    </row>
    <row r="64" spans="1:8" x14ac:dyDescent="0.3">
      <c r="A64" s="1">
        <v>8</v>
      </c>
      <c r="B64" s="1">
        <v>183</v>
      </c>
      <c r="C64" s="1">
        <v>58.4</v>
      </c>
      <c r="D64" s="1">
        <v>4</v>
      </c>
      <c r="E64" s="1">
        <v>9.425E-2</v>
      </c>
      <c r="F64" s="1">
        <v>28037</v>
      </c>
      <c r="G64" s="1">
        <f>F64*E64</f>
        <v>2642.4872500000001</v>
      </c>
      <c r="H64">
        <f>G64*0.85</f>
        <v>2246.1141625</v>
      </c>
    </row>
  </sheetData>
  <mergeCells count="6">
    <mergeCell ref="A62:C62"/>
    <mergeCell ref="A1:C1"/>
    <mergeCell ref="A15:C15"/>
    <mergeCell ref="A25:C25"/>
    <mergeCell ref="A35:C35"/>
    <mergeCell ref="A45:C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1F20-41E8-4904-99BF-73D4CD774A57}">
  <dimension ref="A1:L14"/>
  <sheetViews>
    <sheetView workbookViewId="0">
      <selection activeCell="J17" sqref="J17"/>
    </sheetView>
  </sheetViews>
  <sheetFormatPr defaultRowHeight="14.4" x14ac:dyDescent="0.3"/>
  <cols>
    <col min="3" max="3" width="13.21875" bestFit="1" customWidth="1"/>
  </cols>
  <sheetData>
    <row r="1" spans="1:12" x14ac:dyDescent="0.3">
      <c r="C1" s="54" t="s">
        <v>75</v>
      </c>
      <c r="D1" s="54"/>
    </row>
    <row r="2" spans="1:12" x14ac:dyDescent="0.3">
      <c r="C2" t="s">
        <v>81</v>
      </c>
      <c r="D2" t="s">
        <v>82</v>
      </c>
    </row>
    <row r="3" spans="1:12" x14ac:dyDescent="0.3">
      <c r="C3" t="s">
        <v>83</v>
      </c>
      <c r="D3" t="s">
        <v>7</v>
      </c>
      <c r="G3" s="54" t="s">
        <v>86</v>
      </c>
      <c r="H3" s="54"/>
      <c r="I3" s="54"/>
      <c r="J3" s="54"/>
      <c r="K3" s="54"/>
      <c r="L3" s="54"/>
    </row>
    <row r="4" spans="1:12" x14ac:dyDescent="0.3">
      <c r="A4">
        <v>7.25</v>
      </c>
      <c r="B4" t="s">
        <v>76</v>
      </c>
      <c r="C4">
        <v>1</v>
      </c>
      <c r="D4">
        <v>0.625</v>
      </c>
      <c r="G4" t="str">
        <f>Dashboard!S8</f>
        <v>Grade</v>
      </c>
      <c r="H4" t="str">
        <f>Dashboard!T8</f>
        <v>Kg</v>
      </c>
      <c r="I4" t="s">
        <v>85</v>
      </c>
      <c r="J4" t="str">
        <f>Dashboard!U8</f>
        <v>Grade</v>
      </c>
      <c r="K4" t="str">
        <f>Dashboard!V8</f>
        <v>Kg</v>
      </c>
      <c r="L4" t="s">
        <v>85</v>
      </c>
    </row>
    <row r="5" spans="1:12" x14ac:dyDescent="0.3">
      <c r="A5">
        <v>8</v>
      </c>
      <c r="B5" t="s">
        <v>76</v>
      </c>
      <c r="C5">
        <v>18</v>
      </c>
      <c r="D5">
        <v>14.875</v>
      </c>
      <c r="G5" t="str">
        <f>Dashboard!S9</f>
        <v>D1H</v>
      </c>
      <c r="H5">
        <f>Dashboard!T9</f>
        <v>204</v>
      </c>
      <c r="J5" t="str">
        <f>Dashboard!U9</f>
        <v>E2H</v>
      </c>
      <c r="K5">
        <f>Dashboard!V9</f>
        <v>15504</v>
      </c>
    </row>
    <row r="6" spans="1:12" x14ac:dyDescent="0.3">
      <c r="A6">
        <v>8.25</v>
      </c>
      <c r="B6" t="s">
        <v>80</v>
      </c>
      <c r="C6">
        <v>1</v>
      </c>
      <c r="D6">
        <v>2.5</v>
      </c>
      <c r="G6" t="str">
        <f>Dashboard!S10</f>
        <v>D1J</v>
      </c>
      <c r="H6">
        <f>Dashboard!T10</f>
        <v>204</v>
      </c>
      <c r="J6" t="str">
        <f>Dashboard!U10</f>
        <v>SMR</v>
      </c>
      <c r="K6">
        <f>Dashboard!V10</f>
        <v>1938</v>
      </c>
    </row>
    <row r="7" spans="1:12" x14ac:dyDescent="0.3">
      <c r="A7">
        <v>6</v>
      </c>
      <c r="B7" t="s">
        <v>12</v>
      </c>
      <c r="C7">
        <v>1</v>
      </c>
      <c r="D7">
        <v>1</v>
      </c>
      <c r="G7" t="str">
        <f>Dashboard!S11</f>
        <v>D2HT</v>
      </c>
      <c r="H7">
        <f>Dashboard!T11</f>
        <v>4284</v>
      </c>
      <c r="J7" t="str">
        <f>Dashboard!U11</f>
        <v>BKD</v>
      </c>
      <c r="K7">
        <f>Dashboard!V11</f>
        <v>0</v>
      </c>
    </row>
    <row r="8" spans="1:12" x14ac:dyDescent="0.3">
      <c r="A8">
        <v>13</v>
      </c>
      <c r="B8" t="s">
        <v>77</v>
      </c>
      <c r="C8">
        <v>19</v>
      </c>
      <c r="D8">
        <v>17.125</v>
      </c>
      <c r="G8" t="str">
        <f>Dashboard!S12</f>
        <v>D2JT</v>
      </c>
      <c r="H8">
        <f>Dashboard!T12</f>
        <v>2312</v>
      </c>
      <c r="J8" t="str">
        <f>Dashboard!U12</f>
        <v>BMC</v>
      </c>
      <c r="K8">
        <f>Dashboard!V12</f>
        <v>0</v>
      </c>
    </row>
    <row r="9" spans="1:12" x14ac:dyDescent="0.3">
      <c r="A9">
        <v>9</v>
      </c>
      <c r="B9" t="s">
        <v>78</v>
      </c>
      <c r="C9">
        <v>0.5</v>
      </c>
      <c r="D9">
        <v>0.75</v>
      </c>
      <c r="G9" t="str">
        <f>Dashboard!S13</f>
        <v>D3HT</v>
      </c>
      <c r="H9">
        <f>Dashboard!T13</f>
        <v>1971.9999999999998</v>
      </c>
      <c r="J9" t="str">
        <f>Dashboard!U13</f>
        <v>D3J (V)</v>
      </c>
      <c r="K9">
        <f>Dashboard!V13</f>
        <v>0</v>
      </c>
    </row>
    <row r="10" spans="1:12" x14ac:dyDescent="0.3">
      <c r="A10">
        <v>14</v>
      </c>
      <c r="B10" t="s">
        <v>79</v>
      </c>
      <c r="C10">
        <v>14.5</v>
      </c>
      <c r="D10">
        <v>15.125</v>
      </c>
      <c r="G10" t="str">
        <f>Dashboard!S14</f>
        <v>D3JT</v>
      </c>
      <c r="H10">
        <f>Dashboard!T14</f>
        <v>3943.9999999999995</v>
      </c>
      <c r="J10" t="str">
        <f>Dashboard!U14</f>
        <v>D2HT (R)</v>
      </c>
      <c r="K10">
        <f>Dashboard!V14</f>
        <v>0</v>
      </c>
    </row>
    <row r="11" spans="1:12" x14ac:dyDescent="0.3">
      <c r="B11" s="2" t="s">
        <v>84</v>
      </c>
      <c r="C11" s="2">
        <f>SUM(C4:C10)</f>
        <v>55</v>
      </c>
      <c r="D11" s="2">
        <f>SUM(D4:D10)</f>
        <v>52</v>
      </c>
      <c r="G11" t="str">
        <f>Dashboard!S15</f>
        <v>D2H(N)</v>
      </c>
      <c r="H11">
        <f>Dashboard!T15</f>
        <v>2482</v>
      </c>
      <c r="J11" t="str">
        <f>Dashboard!U15</f>
        <v>D3HT R</v>
      </c>
      <c r="K11">
        <f>Dashboard!V15</f>
        <v>0</v>
      </c>
    </row>
    <row r="12" spans="1:12" x14ac:dyDescent="0.3">
      <c r="G12" t="str">
        <f>Dashboard!S16</f>
        <v>D3H (N)</v>
      </c>
      <c r="H12">
        <f>Dashboard!T16</f>
        <v>7140</v>
      </c>
      <c r="J12">
        <f>Dashboard!U16</f>
        <v>0</v>
      </c>
      <c r="K12">
        <f>Dashboard!V16</f>
        <v>0</v>
      </c>
    </row>
    <row r="13" spans="1:12" x14ac:dyDescent="0.3">
      <c r="G13" t="str">
        <f>Dashboard!S17</f>
        <v>D3J (N)</v>
      </c>
      <c r="H13">
        <f>Dashboard!T17</f>
        <v>4522</v>
      </c>
      <c r="J13">
        <f>Dashboard!U17</f>
        <v>0</v>
      </c>
      <c r="K13">
        <f>Dashboard!V17</f>
        <v>0</v>
      </c>
    </row>
    <row r="14" spans="1:12" x14ac:dyDescent="0.3">
      <c r="G14" t="str">
        <f>Dashboard!S18</f>
        <v>E1H</v>
      </c>
      <c r="H14">
        <f>Dashboard!T18</f>
        <v>0</v>
      </c>
      <c r="J14">
        <f>Dashboard!U18</f>
        <v>0</v>
      </c>
      <c r="K14">
        <f>Dashboard!V18</f>
        <v>0</v>
      </c>
    </row>
  </sheetData>
  <mergeCells count="2">
    <mergeCell ref="C1:D1"/>
    <mergeCell ref="G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 SHEET</vt:lpstr>
      <vt:lpstr>Dashboard</vt:lpstr>
      <vt:lpstr>Batch</vt:lpstr>
      <vt:lpstr>DRG-FC Calc</vt:lpstr>
      <vt:lpstr>Cross-Check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Baizid Molla</cp:lastModifiedBy>
  <dcterms:created xsi:type="dcterms:W3CDTF">2015-06-05T18:17:20Z</dcterms:created>
  <dcterms:modified xsi:type="dcterms:W3CDTF">2024-12-17T12:17:46Z</dcterms:modified>
</cp:coreProperties>
</file>